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omments7.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omments8.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5.xml" ContentType="application/vnd.openxmlformats-officedocument.drawing+xml"/>
  <Override PartName="/xl/comments9.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6.xml" ContentType="application/vnd.openxmlformats-officedocument.drawing+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drawings/drawing8.xml" ContentType="application/vnd.openxmlformats-officedocument.drawing+xml"/>
  <Override PartName="/xl/charts/chart30.xml" ContentType="application/vnd.openxmlformats-officedocument.drawingml.chart+xml"/>
  <Override PartName="/xl/comments10.xml" ContentType="application/vnd.openxmlformats-officedocument.spreadsheetml.comments+xml"/>
  <Override PartName="/xl/drawings/drawing9.xml" ContentType="application/vnd.openxmlformats-officedocument.drawing+xml"/>
  <Override PartName="/xl/charts/chart31.xml" ContentType="application/vnd.openxmlformats-officedocument.drawingml.chart+xml"/>
  <Override PartName="/xl/drawings/drawing10.xml" ContentType="application/vnd.openxmlformats-officedocument.drawing+xml"/>
  <Override PartName="/xl/charts/chart32.xml" ContentType="application/vnd.openxmlformats-officedocument.drawingml.chart+xml"/>
  <Override PartName="/xl/drawings/drawing11.xml" ContentType="application/vnd.openxmlformats-officedocument.drawing+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9915" windowWidth="20490" windowHeight="13680" tabRatio="593"/>
  </bookViews>
  <sheets>
    <sheet name="Population Vulnerability" sheetId="1" r:id="rId1"/>
    <sheet name="Collision Vulnerability" sheetId="2" r:id="rId2"/>
    <sheet name="Displacement Vulnerability" sheetId="3" r:id="rId3"/>
    <sheet name="Analysis1" sheetId="6" r:id="rId4"/>
    <sheet name="Analysis2" sheetId="8" r:id="rId5"/>
    <sheet name="NFR.DFR.graphs" sheetId="16" r:id="rId6"/>
    <sheet name="HF.graphs" sheetId="17" r:id="rId7"/>
    <sheet name="RSZ.graphs" sheetId="18" r:id="rId8"/>
    <sheet name="MacroAvoid" sheetId="20" r:id="rId9"/>
    <sheet name="finalScores_tax" sheetId="9" r:id="rId10"/>
    <sheet name="PS.circle" sheetId="22" r:id="rId11"/>
    <sheet name="CS.DS.circle" sheetId="21" r:id="rId12"/>
    <sheet name="Terms" sheetId="4" r:id="rId13"/>
    <sheet name="Addtional Species" sheetId="5" r:id="rId14"/>
    <sheet name="finalPopScore" sheetId="10" r:id="rId15"/>
    <sheet name="MacroAvoidScores" sheetId="14" r:id="rId16"/>
    <sheet name="HabFlexScore" sheetId="15" r:id="rId17"/>
  </sheets>
  <calcPr calcId="145621"/>
</workbook>
</file>

<file path=xl/calcChain.xml><?xml version="1.0" encoding="utf-8"?>
<calcChain xmlns="http://schemas.openxmlformats.org/spreadsheetml/2006/main">
  <c r="T38" i="1" l="1"/>
  <c r="S38" i="1"/>
  <c r="N38" i="1"/>
  <c r="AM5" i="2" l="1"/>
  <c r="AN5" i="2"/>
  <c r="AM6" i="2"/>
  <c r="AN6"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AM43" i="2"/>
  <c r="AN43" i="2"/>
  <c r="AM44" i="2"/>
  <c r="AN44" i="2"/>
  <c r="AM45" i="2"/>
  <c r="AN45" i="2"/>
  <c r="AM46" i="2"/>
  <c r="AN46" i="2"/>
  <c r="AM47" i="2"/>
  <c r="AN47" i="2"/>
  <c r="AM48" i="2"/>
  <c r="AN48" i="2"/>
  <c r="AM49" i="2"/>
  <c r="AN49" i="2"/>
  <c r="AM50" i="2"/>
  <c r="AN50" i="2"/>
  <c r="AM51" i="2"/>
  <c r="AN51" i="2"/>
  <c r="AM52" i="2"/>
  <c r="AN52" i="2"/>
  <c r="AM53" i="2"/>
  <c r="AN53" i="2"/>
  <c r="AM54" i="2"/>
  <c r="AN54" i="2"/>
  <c r="AM55" i="2"/>
  <c r="AN55" i="2"/>
  <c r="AM56" i="2"/>
  <c r="AN56" i="2"/>
  <c r="AM57" i="2"/>
  <c r="AN57" i="2"/>
  <c r="AM58" i="2"/>
  <c r="AN58" i="2"/>
  <c r="AM59" i="2"/>
  <c r="AN59" i="2"/>
  <c r="AM60" i="2"/>
  <c r="AN60" i="2"/>
  <c r="AM61" i="2"/>
  <c r="AN61" i="2"/>
  <c r="AM62" i="2"/>
  <c r="AN62" i="2"/>
  <c r="AM63" i="2"/>
  <c r="AN63" i="2"/>
  <c r="AM64" i="2"/>
  <c r="AN64" i="2"/>
  <c r="AM65" i="2"/>
  <c r="AN65" i="2"/>
  <c r="AM66" i="2"/>
  <c r="AN66" i="2"/>
  <c r="AM67" i="2"/>
  <c r="AN67" i="2"/>
  <c r="AM68" i="2"/>
  <c r="AN68" i="2"/>
  <c r="AM69" i="2"/>
  <c r="AN69" i="2"/>
  <c r="AM70" i="2"/>
  <c r="AN70" i="2"/>
  <c r="AM71" i="2"/>
  <c r="AN71" i="2"/>
  <c r="AM72" i="2"/>
  <c r="AN72" i="2"/>
  <c r="AM73" i="2"/>
  <c r="AN73" i="2"/>
  <c r="AM74" i="2"/>
  <c r="AN74" i="2"/>
  <c r="AM75" i="2"/>
  <c r="AN75" i="2"/>
  <c r="AM76" i="2"/>
  <c r="AN76" i="2"/>
  <c r="AM77" i="2"/>
  <c r="AN77" i="2"/>
  <c r="AM78" i="2"/>
  <c r="AN78" i="2"/>
  <c r="AM79" i="2"/>
  <c r="AN79" i="2"/>
  <c r="AN4" i="2"/>
  <c r="AM4" i="2"/>
  <c r="AF5" i="2"/>
  <c r="AG5" i="2"/>
  <c r="AF6" i="2"/>
  <c r="AG6" i="2"/>
  <c r="AF7" i="2"/>
  <c r="AG7" i="2"/>
  <c r="AF8" i="2"/>
  <c r="AG8" i="2"/>
  <c r="AF9" i="2"/>
  <c r="AG9" i="2"/>
  <c r="AF10" i="2"/>
  <c r="AG10" i="2"/>
  <c r="AF11" i="2"/>
  <c r="AG11" i="2"/>
  <c r="AF12" i="2"/>
  <c r="AG12" i="2"/>
  <c r="AF13" i="2"/>
  <c r="AG13" i="2"/>
  <c r="AF14" i="2"/>
  <c r="AG14" i="2"/>
  <c r="AF15" i="2"/>
  <c r="AG15" i="2"/>
  <c r="AF16" i="2"/>
  <c r="AG16" i="2"/>
  <c r="AF17" i="2"/>
  <c r="AG17" i="2"/>
  <c r="AF18" i="2"/>
  <c r="AG18" i="2"/>
  <c r="AF19" i="2"/>
  <c r="AG19" i="2"/>
  <c r="AF20" i="2"/>
  <c r="AG20" i="2"/>
  <c r="AF21" i="2"/>
  <c r="AG21" i="2"/>
  <c r="AF22" i="2"/>
  <c r="AG22" i="2"/>
  <c r="AF23" i="2"/>
  <c r="AG23" i="2"/>
  <c r="AF24" i="2"/>
  <c r="AG24" i="2"/>
  <c r="AF25" i="2"/>
  <c r="AG25" i="2"/>
  <c r="AF26" i="2"/>
  <c r="AG26" i="2"/>
  <c r="AF27" i="2"/>
  <c r="AG27" i="2"/>
  <c r="AF28" i="2"/>
  <c r="AG28" i="2"/>
  <c r="AF29" i="2"/>
  <c r="AG29" i="2"/>
  <c r="AF30" i="2"/>
  <c r="AG30" i="2"/>
  <c r="AF31" i="2"/>
  <c r="AG31" i="2"/>
  <c r="AF32" i="2"/>
  <c r="AG32" i="2"/>
  <c r="AF33" i="2"/>
  <c r="AG33" i="2"/>
  <c r="AF34" i="2"/>
  <c r="AG34" i="2"/>
  <c r="AF35" i="2"/>
  <c r="AG35" i="2"/>
  <c r="AF36" i="2"/>
  <c r="AG36" i="2"/>
  <c r="AF37" i="2"/>
  <c r="AG37" i="2"/>
  <c r="AF38" i="2"/>
  <c r="AG38" i="2"/>
  <c r="AF39" i="2"/>
  <c r="AG39" i="2"/>
  <c r="AF40" i="2"/>
  <c r="AG40" i="2"/>
  <c r="AF41" i="2"/>
  <c r="AG41" i="2"/>
  <c r="AF42" i="2"/>
  <c r="AG42" i="2"/>
  <c r="AF43" i="2"/>
  <c r="AG43" i="2"/>
  <c r="AF44" i="2"/>
  <c r="AG44" i="2"/>
  <c r="AF45" i="2"/>
  <c r="AG45" i="2"/>
  <c r="AF46" i="2"/>
  <c r="AG46" i="2"/>
  <c r="AF47" i="2"/>
  <c r="AG47" i="2"/>
  <c r="AF48" i="2"/>
  <c r="AG48" i="2"/>
  <c r="AF49" i="2"/>
  <c r="AG49" i="2"/>
  <c r="AF50" i="2"/>
  <c r="AG50" i="2"/>
  <c r="AF51" i="2"/>
  <c r="AG51" i="2"/>
  <c r="AF52" i="2"/>
  <c r="AG52" i="2"/>
  <c r="AF53" i="2"/>
  <c r="AG53" i="2"/>
  <c r="AF54" i="2"/>
  <c r="AG54" i="2"/>
  <c r="AF55" i="2"/>
  <c r="AG55" i="2"/>
  <c r="AF56" i="2"/>
  <c r="AG56" i="2"/>
  <c r="AF57" i="2"/>
  <c r="AG57" i="2"/>
  <c r="AF58" i="2"/>
  <c r="AG58" i="2"/>
  <c r="AF59" i="2"/>
  <c r="AG59" i="2"/>
  <c r="AF60" i="2"/>
  <c r="AG60" i="2"/>
  <c r="AF61" i="2"/>
  <c r="AG61" i="2"/>
  <c r="AF62" i="2"/>
  <c r="AG62" i="2"/>
  <c r="AF63" i="2"/>
  <c r="AG63" i="2"/>
  <c r="AF64" i="2"/>
  <c r="AG64" i="2"/>
  <c r="AF65" i="2"/>
  <c r="AG65" i="2"/>
  <c r="AF66" i="2"/>
  <c r="AG66" i="2"/>
  <c r="AF67" i="2"/>
  <c r="AG67" i="2"/>
  <c r="AF68" i="2"/>
  <c r="AG68" i="2"/>
  <c r="AF69" i="2"/>
  <c r="AG69" i="2"/>
  <c r="AF70" i="2"/>
  <c r="AG70" i="2"/>
  <c r="AF71" i="2"/>
  <c r="AG71" i="2"/>
  <c r="AF72" i="2"/>
  <c r="AG72" i="2"/>
  <c r="AF73" i="2"/>
  <c r="AG73" i="2"/>
  <c r="AF74" i="2"/>
  <c r="AG74" i="2"/>
  <c r="AF75" i="2"/>
  <c r="AG75" i="2"/>
  <c r="AF76" i="2"/>
  <c r="AG76" i="2"/>
  <c r="AF77" i="2"/>
  <c r="AG77" i="2"/>
  <c r="AF78" i="2"/>
  <c r="AG78" i="2"/>
  <c r="AF79" i="2"/>
  <c r="AG79" i="2"/>
  <c r="AG4" i="2"/>
  <c r="AF4" i="2"/>
  <c r="S5" i="2"/>
  <c r="T5" i="2"/>
  <c r="S6" i="2"/>
  <c r="T6" i="2"/>
  <c r="S7" i="2"/>
  <c r="T7" i="2"/>
  <c r="S8" i="2"/>
  <c r="T8" i="2"/>
  <c r="S9" i="2"/>
  <c r="T9" i="2"/>
  <c r="S10" i="2"/>
  <c r="T10" i="2"/>
  <c r="S11" i="2"/>
  <c r="T11" i="2"/>
  <c r="S12" i="2"/>
  <c r="T12" i="2"/>
  <c r="S13" i="2"/>
  <c r="T13" i="2"/>
  <c r="S14" i="2"/>
  <c r="T14" i="2"/>
  <c r="S15"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S33" i="2"/>
  <c r="T33" i="2"/>
  <c r="S34" i="2"/>
  <c r="T34" i="2"/>
  <c r="S35" i="2"/>
  <c r="T35" i="2"/>
  <c r="S36" i="2"/>
  <c r="T36" i="2"/>
  <c r="S37" i="2"/>
  <c r="T37" i="2"/>
  <c r="S38" i="2"/>
  <c r="T38" i="2"/>
  <c r="S39" i="2"/>
  <c r="T39" i="2"/>
  <c r="S40" i="2"/>
  <c r="T40" i="2"/>
  <c r="S41" i="2"/>
  <c r="T41" i="2"/>
  <c r="S42" i="2"/>
  <c r="T42" i="2"/>
  <c r="S43" i="2"/>
  <c r="T43" i="2"/>
  <c r="S44" i="2"/>
  <c r="T44" i="2"/>
  <c r="S45" i="2"/>
  <c r="T45" i="2"/>
  <c r="S46" i="2"/>
  <c r="T46" i="2"/>
  <c r="S47" i="2"/>
  <c r="T47" i="2"/>
  <c r="S48" i="2"/>
  <c r="T48" i="2"/>
  <c r="S49" i="2"/>
  <c r="T49" i="2"/>
  <c r="S50" i="2"/>
  <c r="T50" i="2"/>
  <c r="S51" i="2"/>
  <c r="T51" i="2"/>
  <c r="S52" i="2"/>
  <c r="T52" i="2"/>
  <c r="S53" i="2"/>
  <c r="T53" i="2"/>
  <c r="S54" i="2"/>
  <c r="T54" i="2"/>
  <c r="S55" i="2"/>
  <c r="T55" i="2"/>
  <c r="S56" i="2"/>
  <c r="T56" i="2"/>
  <c r="S57" i="2"/>
  <c r="T57" i="2"/>
  <c r="S58" i="2"/>
  <c r="T58" i="2"/>
  <c r="S59" i="2"/>
  <c r="T59" i="2"/>
  <c r="S60" i="2"/>
  <c r="T60" i="2"/>
  <c r="S61" i="2"/>
  <c r="T61" i="2"/>
  <c r="S62" i="2"/>
  <c r="T62" i="2"/>
  <c r="S63" i="2"/>
  <c r="T63" i="2"/>
  <c r="S64" i="2"/>
  <c r="T64" i="2"/>
  <c r="S65" i="2"/>
  <c r="T65" i="2"/>
  <c r="S66" i="2"/>
  <c r="T66" i="2"/>
  <c r="S67" i="2"/>
  <c r="T67" i="2"/>
  <c r="S68" i="2"/>
  <c r="T68" i="2"/>
  <c r="S69" i="2"/>
  <c r="T69" i="2"/>
  <c r="S70" i="2"/>
  <c r="T70" i="2"/>
  <c r="S71" i="2"/>
  <c r="T71" i="2"/>
  <c r="S72" i="2"/>
  <c r="T72" i="2"/>
  <c r="S73" i="2"/>
  <c r="T73" i="2"/>
  <c r="S74" i="2"/>
  <c r="T74" i="2"/>
  <c r="S75" i="2"/>
  <c r="T75" i="2"/>
  <c r="S76" i="2"/>
  <c r="T76" i="2"/>
  <c r="S77" i="2"/>
  <c r="T77" i="2"/>
  <c r="S78" i="2"/>
  <c r="T78" i="2"/>
  <c r="S79" i="2"/>
  <c r="T79" i="2"/>
  <c r="T4" i="2"/>
  <c r="S4" i="2"/>
  <c r="M5" i="2"/>
  <c r="N5"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N4" i="2"/>
  <c r="M4" i="2"/>
  <c r="AR5" i="1"/>
  <c r="AS5" i="1"/>
  <c r="AR6" i="1"/>
  <c r="AS6" i="1"/>
  <c r="AR7" i="1"/>
  <c r="AS7" i="1"/>
  <c r="AR8" i="1"/>
  <c r="AS8" i="1"/>
  <c r="AR9" i="1"/>
  <c r="AS9" i="1"/>
  <c r="AR10" i="1"/>
  <c r="AS10" i="1"/>
  <c r="AR11" i="1"/>
  <c r="AS11" i="1"/>
  <c r="AR12" i="1"/>
  <c r="AS12" i="1"/>
  <c r="AR13" i="1"/>
  <c r="AS13" i="1"/>
  <c r="AR14" i="1"/>
  <c r="AS14" i="1"/>
  <c r="AR15" i="1"/>
  <c r="AS15" i="1"/>
  <c r="AR16" i="1"/>
  <c r="AS16" i="1"/>
  <c r="AR17" i="1"/>
  <c r="AS17" i="1"/>
  <c r="AR18" i="1"/>
  <c r="AS18" i="1"/>
  <c r="AR19" i="1"/>
  <c r="AS19" i="1"/>
  <c r="AR20" i="1"/>
  <c r="AS20" i="1"/>
  <c r="AR21" i="1"/>
  <c r="AS21" i="1"/>
  <c r="AR22" i="1"/>
  <c r="AS22" i="1"/>
  <c r="AR23" i="1"/>
  <c r="AS23" i="1"/>
  <c r="AR24" i="1"/>
  <c r="AS24" i="1"/>
  <c r="AR25" i="1"/>
  <c r="AS25" i="1"/>
  <c r="AR26" i="1"/>
  <c r="AS26" i="1"/>
  <c r="AR27" i="1"/>
  <c r="AS27" i="1"/>
  <c r="AR28" i="1"/>
  <c r="AS28" i="1"/>
  <c r="AR29" i="1"/>
  <c r="AS29" i="1"/>
  <c r="AR30" i="1"/>
  <c r="AS30" i="1"/>
  <c r="AR31" i="1"/>
  <c r="AS31" i="1"/>
  <c r="AR32" i="1"/>
  <c r="AS32" i="1"/>
  <c r="AR33" i="1"/>
  <c r="AS33" i="1"/>
  <c r="AR34" i="1"/>
  <c r="AS34" i="1"/>
  <c r="AR35" i="1"/>
  <c r="AS35" i="1"/>
  <c r="AR36" i="1"/>
  <c r="AS36" i="1"/>
  <c r="AR37" i="1"/>
  <c r="AS37" i="1"/>
  <c r="AR38" i="1"/>
  <c r="AS38" i="1"/>
  <c r="AR39" i="1"/>
  <c r="AS39" i="1"/>
  <c r="AR40" i="1"/>
  <c r="AS40" i="1"/>
  <c r="AR41" i="1"/>
  <c r="AS41" i="1"/>
  <c r="AR42" i="1"/>
  <c r="AS42" i="1"/>
  <c r="AR43" i="1"/>
  <c r="AS43" i="1"/>
  <c r="AR44" i="1"/>
  <c r="AS44" i="1"/>
  <c r="AR45" i="1"/>
  <c r="AS45" i="1"/>
  <c r="AR46" i="1"/>
  <c r="AS46" i="1"/>
  <c r="AR47" i="1"/>
  <c r="AS47" i="1"/>
  <c r="AR48" i="1"/>
  <c r="AS48" i="1"/>
  <c r="AR49" i="1"/>
  <c r="AS49" i="1"/>
  <c r="AR50" i="1"/>
  <c r="AS50" i="1"/>
  <c r="AR51" i="1"/>
  <c r="AS51" i="1"/>
  <c r="AR52" i="1"/>
  <c r="AS52" i="1"/>
  <c r="AR53" i="1"/>
  <c r="AS53" i="1"/>
  <c r="AR54" i="1"/>
  <c r="AS54" i="1"/>
  <c r="AR55" i="1"/>
  <c r="AS55" i="1"/>
  <c r="AR56" i="1"/>
  <c r="AS56" i="1"/>
  <c r="AR57" i="1"/>
  <c r="AS57" i="1"/>
  <c r="AR58" i="1"/>
  <c r="AS58" i="1"/>
  <c r="AR59" i="1"/>
  <c r="AS59" i="1"/>
  <c r="AR60" i="1"/>
  <c r="AS60" i="1"/>
  <c r="AR61" i="1"/>
  <c r="AS61" i="1"/>
  <c r="AR62" i="1"/>
  <c r="AS62" i="1"/>
  <c r="AR63" i="1"/>
  <c r="AS63" i="1"/>
  <c r="AR64" i="1"/>
  <c r="AS64" i="1"/>
  <c r="AR65" i="1"/>
  <c r="AS65" i="1"/>
  <c r="AR66" i="1"/>
  <c r="AS66" i="1"/>
  <c r="AR67" i="1"/>
  <c r="AS67" i="1"/>
  <c r="AR68" i="1"/>
  <c r="AS68" i="1"/>
  <c r="AR69" i="1"/>
  <c r="AS69" i="1"/>
  <c r="AR70" i="1"/>
  <c r="AS70" i="1"/>
  <c r="AR71" i="1"/>
  <c r="AS71" i="1"/>
  <c r="AR72" i="1"/>
  <c r="AS72" i="1"/>
  <c r="AR73" i="1"/>
  <c r="AS73" i="1"/>
  <c r="AR74" i="1"/>
  <c r="AS74" i="1"/>
  <c r="AR75" i="1"/>
  <c r="AS75" i="1"/>
  <c r="AR76" i="1"/>
  <c r="AS76" i="1"/>
  <c r="AR77" i="1"/>
  <c r="AS77" i="1"/>
  <c r="AR78" i="1"/>
  <c r="AS78" i="1"/>
  <c r="AR79" i="1"/>
  <c r="AS79" i="1"/>
  <c r="X5" i="1"/>
  <c r="Y5" i="1"/>
  <c r="X6" i="1"/>
  <c r="Y6" i="1"/>
  <c r="X7" i="1"/>
  <c r="Y7" i="1"/>
  <c r="X8" i="1"/>
  <c r="Y8" i="1"/>
  <c r="X9" i="1"/>
  <c r="Y9" i="1"/>
  <c r="X10" i="1"/>
  <c r="Y10" i="1"/>
  <c r="X11" i="1"/>
  <c r="Y11" i="1"/>
  <c r="X12" i="1"/>
  <c r="Y12" i="1"/>
  <c r="X13" i="1"/>
  <c r="Y13" i="1"/>
  <c r="X14" i="1"/>
  <c r="Y14" i="1"/>
  <c r="X15" i="1"/>
  <c r="Y15" i="1"/>
  <c r="X16" i="1"/>
  <c r="Y16" i="1"/>
  <c r="X17" i="1"/>
  <c r="Y17" i="1"/>
  <c r="X18" i="1"/>
  <c r="Y18" i="1"/>
  <c r="X19" i="1"/>
  <c r="Y19" i="1"/>
  <c r="X20" i="1"/>
  <c r="Y20" i="1"/>
  <c r="X21" i="1"/>
  <c r="Y21" i="1"/>
  <c r="X22" i="1"/>
  <c r="Y22" i="1"/>
  <c r="X23" i="1"/>
  <c r="Y23" i="1"/>
  <c r="X24" i="1"/>
  <c r="Y24" i="1"/>
  <c r="X25" i="1"/>
  <c r="Y25" i="1"/>
  <c r="X26" i="1"/>
  <c r="Y26" i="1"/>
  <c r="X27" i="1"/>
  <c r="Y27" i="1"/>
  <c r="X28" i="1"/>
  <c r="Y28" i="1"/>
  <c r="X29" i="1"/>
  <c r="Y29" i="1"/>
  <c r="X30" i="1"/>
  <c r="Y30" i="1"/>
  <c r="X31" i="1"/>
  <c r="Y31" i="1"/>
  <c r="X32" i="1"/>
  <c r="Y32" i="1"/>
  <c r="X33" i="1"/>
  <c r="Y33" i="1"/>
  <c r="X34" i="1"/>
  <c r="Y34" i="1"/>
  <c r="X35" i="1"/>
  <c r="Y35" i="1"/>
  <c r="X36" i="1"/>
  <c r="Y36" i="1"/>
  <c r="X37" i="1"/>
  <c r="Y37" i="1"/>
  <c r="X38" i="1"/>
  <c r="Y38" i="1"/>
  <c r="X39" i="1"/>
  <c r="Y39" i="1"/>
  <c r="X40" i="1"/>
  <c r="Y40" i="1"/>
  <c r="X41" i="1"/>
  <c r="Y41" i="1"/>
  <c r="X42" i="1"/>
  <c r="Y42" i="1"/>
  <c r="X43" i="1"/>
  <c r="Y43" i="1"/>
  <c r="X44" i="1"/>
  <c r="Y44" i="1"/>
  <c r="X45" i="1"/>
  <c r="Y45" i="1"/>
  <c r="X46" i="1"/>
  <c r="Y46" i="1"/>
  <c r="X47" i="1"/>
  <c r="Y47" i="1"/>
  <c r="X48" i="1"/>
  <c r="Y48" i="1"/>
  <c r="X49" i="1"/>
  <c r="Y49" i="1"/>
  <c r="X50" i="1"/>
  <c r="Y50" i="1"/>
  <c r="X51" i="1"/>
  <c r="Y51" i="1"/>
  <c r="X52" i="1"/>
  <c r="Y52" i="1"/>
  <c r="X53" i="1"/>
  <c r="Y53" i="1"/>
  <c r="X54" i="1"/>
  <c r="Y54" i="1"/>
  <c r="X55" i="1"/>
  <c r="Y55" i="1"/>
  <c r="X56" i="1"/>
  <c r="Y56" i="1"/>
  <c r="X57" i="1"/>
  <c r="Y57" i="1"/>
  <c r="X58" i="1"/>
  <c r="Y58" i="1"/>
  <c r="X59" i="1"/>
  <c r="Y59" i="1"/>
  <c r="X60" i="1"/>
  <c r="Y60" i="1"/>
  <c r="X61" i="1"/>
  <c r="Y61" i="1"/>
  <c r="X62" i="1"/>
  <c r="Y62" i="1"/>
  <c r="X63" i="1"/>
  <c r="Y63" i="1"/>
  <c r="X64" i="1"/>
  <c r="Y64" i="1"/>
  <c r="X65" i="1"/>
  <c r="Y65" i="1"/>
  <c r="X66" i="1"/>
  <c r="Y66" i="1"/>
  <c r="X67" i="1"/>
  <c r="Y67" i="1"/>
  <c r="X68" i="1"/>
  <c r="Y68" i="1"/>
  <c r="X69" i="1"/>
  <c r="Y69" i="1"/>
  <c r="X70" i="1"/>
  <c r="Y70" i="1"/>
  <c r="X71" i="1"/>
  <c r="Y71" i="1"/>
  <c r="X72" i="1"/>
  <c r="Y72" i="1"/>
  <c r="X73" i="1"/>
  <c r="Y73" i="1"/>
  <c r="X74" i="1"/>
  <c r="Y74" i="1"/>
  <c r="X75" i="1"/>
  <c r="Y75" i="1"/>
  <c r="X76" i="1"/>
  <c r="Y76" i="1"/>
  <c r="X77" i="1"/>
  <c r="Y77" i="1"/>
  <c r="X78" i="1"/>
  <c r="Y78" i="1"/>
  <c r="X79" i="1"/>
  <c r="Y79"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J4" i="1"/>
  <c r="L4" i="1" s="1"/>
  <c r="K4" i="1" l="1"/>
  <c r="AB15" i="6"/>
  <c r="AB14" i="6"/>
  <c r="AB13" i="6"/>
  <c r="AB12" i="6"/>
  <c r="AB11" i="6"/>
  <c r="AB10" i="6"/>
  <c r="AB9" i="6"/>
  <c r="AB8" i="6"/>
  <c r="AB7" i="6"/>
  <c r="AB6" i="6"/>
  <c r="AB5" i="6"/>
  <c r="AB4" i="6"/>
  <c r="AB3" i="6"/>
  <c r="AB2" i="6"/>
  <c r="P75" i="3"/>
  <c r="V75" i="3"/>
  <c r="AE75" i="3"/>
  <c r="AK75" i="3"/>
  <c r="P4" i="3"/>
  <c r="V4" i="3"/>
  <c r="AE4" i="3"/>
  <c r="AK4" i="3" s="1"/>
  <c r="P5" i="3"/>
  <c r="V5" i="3"/>
  <c r="AE5" i="3"/>
  <c r="AK5" i="3"/>
  <c r="P6" i="3"/>
  <c r="V6" i="3"/>
  <c r="AE6" i="3"/>
  <c r="AK6" i="3" s="1"/>
  <c r="P7" i="3"/>
  <c r="V7" i="3"/>
  <c r="AE7" i="3"/>
  <c r="AK7" i="3"/>
  <c r="P8" i="3"/>
  <c r="V8" i="3"/>
  <c r="AE8" i="3"/>
  <c r="AK8" i="3" s="1"/>
  <c r="P9" i="3"/>
  <c r="V9" i="3"/>
  <c r="AE9" i="3"/>
  <c r="AK9" i="3"/>
  <c r="P10" i="3"/>
  <c r="V10" i="3"/>
  <c r="AE10" i="3"/>
  <c r="AK10" i="3" s="1"/>
  <c r="P11" i="3"/>
  <c r="V11" i="3"/>
  <c r="AE11" i="3"/>
  <c r="AK11" i="3"/>
  <c r="P12" i="3"/>
  <c r="V12" i="3"/>
  <c r="AE12" i="3"/>
  <c r="AK12" i="3" s="1"/>
  <c r="P13" i="3"/>
  <c r="V13" i="3"/>
  <c r="AE13" i="3"/>
  <c r="AK13" i="3"/>
  <c r="P14" i="3"/>
  <c r="V14" i="3"/>
  <c r="AE14" i="3"/>
  <c r="AK14" i="3" s="1"/>
  <c r="P15" i="3"/>
  <c r="V15" i="3"/>
  <c r="AE15" i="3"/>
  <c r="AK15" i="3"/>
  <c r="P16" i="3"/>
  <c r="V16" i="3"/>
  <c r="AE16" i="3"/>
  <c r="AK16" i="3" s="1"/>
  <c r="P17" i="3"/>
  <c r="V17" i="3"/>
  <c r="AE17" i="3"/>
  <c r="AK17" i="3"/>
  <c r="P18" i="3"/>
  <c r="V18" i="3"/>
  <c r="AE18" i="3"/>
  <c r="AK18" i="3" s="1"/>
  <c r="P19" i="3"/>
  <c r="V19" i="3"/>
  <c r="AE19" i="3"/>
  <c r="AK19" i="3"/>
  <c r="P20" i="3"/>
  <c r="V20" i="3"/>
  <c r="AE20" i="3"/>
  <c r="AK20" i="3" s="1"/>
  <c r="P21" i="3"/>
  <c r="V21" i="3"/>
  <c r="AE21" i="3"/>
  <c r="AK21" i="3"/>
  <c r="P22" i="3"/>
  <c r="V22" i="3"/>
  <c r="AE22" i="3"/>
  <c r="AK22" i="3" s="1"/>
  <c r="P23" i="3"/>
  <c r="V23" i="3"/>
  <c r="AE23" i="3"/>
  <c r="AK23" i="3"/>
  <c r="P24" i="3"/>
  <c r="V24" i="3"/>
  <c r="AE24" i="3"/>
  <c r="AK24" i="3" s="1"/>
  <c r="P25" i="3"/>
  <c r="V25" i="3"/>
  <c r="AE25" i="3"/>
  <c r="AK25" i="3"/>
  <c r="P26" i="3"/>
  <c r="V26" i="3"/>
  <c r="AE26" i="3"/>
  <c r="AK26" i="3" s="1"/>
  <c r="P27" i="3"/>
  <c r="V27" i="3"/>
  <c r="AE27" i="3"/>
  <c r="AK27" i="3"/>
  <c r="P28" i="3"/>
  <c r="V28" i="3"/>
  <c r="AE28" i="3"/>
  <c r="AK28" i="3" s="1"/>
  <c r="P29" i="3"/>
  <c r="V29" i="3"/>
  <c r="AE29" i="3"/>
  <c r="AK29" i="3"/>
  <c r="P30" i="3"/>
  <c r="V30" i="3"/>
  <c r="AE30" i="3"/>
  <c r="AK30" i="3" s="1"/>
  <c r="P31" i="3"/>
  <c r="V31" i="3"/>
  <c r="AE31" i="3"/>
  <c r="AK31" i="3"/>
  <c r="P32" i="3"/>
  <c r="V32" i="3"/>
  <c r="AE32" i="3"/>
  <c r="AK32" i="3" s="1"/>
  <c r="P33" i="3"/>
  <c r="V33" i="3"/>
  <c r="AE33" i="3"/>
  <c r="AK33" i="3"/>
  <c r="P34" i="3"/>
  <c r="V34" i="3"/>
  <c r="AE34" i="3"/>
  <c r="AK34" i="3" s="1"/>
  <c r="P35" i="3"/>
  <c r="V35" i="3"/>
  <c r="AE35" i="3"/>
  <c r="AK35" i="3"/>
  <c r="P36" i="3"/>
  <c r="V36" i="3"/>
  <c r="AE36" i="3"/>
  <c r="AK36" i="3" s="1"/>
  <c r="P37" i="3"/>
  <c r="V37" i="3"/>
  <c r="AE37" i="3"/>
  <c r="AK37" i="3"/>
  <c r="P38" i="3"/>
  <c r="V38" i="3"/>
  <c r="AE38" i="3"/>
  <c r="AK38" i="3" s="1"/>
  <c r="P39" i="3"/>
  <c r="V39" i="3"/>
  <c r="AE39" i="3"/>
  <c r="AK39" i="3"/>
  <c r="P40" i="3"/>
  <c r="V40" i="3"/>
  <c r="AE40" i="3"/>
  <c r="AK40" i="3" s="1"/>
  <c r="P41" i="3"/>
  <c r="V41" i="3"/>
  <c r="AE41" i="3"/>
  <c r="AK41" i="3"/>
  <c r="P42" i="3"/>
  <c r="V42" i="3"/>
  <c r="AE42" i="3"/>
  <c r="AK42" i="3" s="1"/>
  <c r="P43" i="3"/>
  <c r="V43" i="3"/>
  <c r="AE43" i="3"/>
  <c r="AK43" i="3"/>
  <c r="P44" i="3"/>
  <c r="V44" i="3"/>
  <c r="AE44" i="3"/>
  <c r="AK44" i="3" s="1"/>
  <c r="P45" i="3"/>
  <c r="V45" i="3"/>
  <c r="AE45" i="3"/>
  <c r="AK45" i="3"/>
  <c r="P46" i="3"/>
  <c r="V46" i="3"/>
  <c r="AE46" i="3"/>
  <c r="AK46" i="3" s="1"/>
  <c r="P47" i="3"/>
  <c r="V47" i="3"/>
  <c r="AE47" i="3"/>
  <c r="AK47" i="3"/>
  <c r="P48" i="3"/>
  <c r="V48" i="3"/>
  <c r="AE48" i="3"/>
  <c r="AK48" i="3" s="1"/>
  <c r="P49" i="3"/>
  <c r="V49" i="3"/>
  <c r="AE49" i="3"/>
  <c r="AK49" i="3"/>
  <c r="P50" i="3"/>
  <c r="V50" i="3"/>
  <c r="AE50" i="3"/>
  <c r="AK50" i="3" s="1"/>
  <c r="P51" i="3"/>
  <c r="V51" i="3"/>
  <c r="AE51" i="3"/>
  <c r="AK51" i="3"/>
  <c r="P52" i="3"/>
  <c r="V52" i="3"/>
  <c r="AE52" i="3"/>
  <c r="AK52" i="3" s="1"/>
  <c r="P53" i="3"/>
  <c r="V53" i="3"/>
  <c r="AE53" i="3"/>
  <c r="AK53" i="3"/>
  <c r="P54" i="3"/>
  <c r="V54" i="3"/>
  <c r="AE54" i="3"/>
  <c r="AK54" i="3" s="1"/>
  <c r="P55" i="3"/>
  <c r="V55" i="3"/>
  <c r="AE55" i="3"/>
  <c r="AK55" i="3"/>
  <c r="P56" i="3"/>
  <c r="V56" i="3"/>
  <c r="AE56" i="3"/>
  <c r="AK56" i="3" s="1"/>
  <c r="P57" i="3"/>
  <c r="V57" i="3"/>
  <c r="AE57" i="3"/>
  <c r="AK57" i="3"/>
  <c r="P58" i="3"/>
  <c r="V58" i="3"/>
  <c r="AE58" i="3"/>
  <c r="AK58" i="3" s="1"/>
  <c r="P59" i="3"/>
  <c r="V59" i="3"/>
  <c r="AE59" i="3"/>
  <c r="AK59" i="3"/>
  <c r="P60" i="3"/>
  <c r="V60" i="3"/>
  <c r="AE60" i="3"/>
  <c r="AK60" i="3" s="1"/>
  <c r="P61" i="3"/>
  <c r="V61" i="3"/>
  <c r="AE61" i="3"/>
  <c r="AK61" i="3"/>
  <c r="P62" i="3"/>
  <c r="V62" i="3"/>
  <c r="AE62" i="3"/>
  <c r="AK62" i="3" s="1"/>
  <c r="P63" i="3"/>
  <c r="V63" i="3"/>
  <c r="AE63" i="3"/>
  <c r="AK63" i="3"/>
  <c r="P64" i="3"/>
  <c r="V64" i="3"/>
  <c r="AE64" i="3"/>
  <c r="AK64" i="3" s="1"/>
  <c r="P65" i="3"/>
  <c r="V65" i="3"/>
  <c r="AE65" i="3"/>
  <c r="AK65" i="3"/>
  <c r="P66" i="3"/>
  <c r="V66" i="3"/>
  <c r="AE66" i="3"/>
  <c r="AK66" i="3" s="1"/>
  <c r="P67" i="3"/>
  <c r="V67" i="3"/>
  <c r="AE67" i="3"/>
  <c r="AK67" i="3"/>
  <c r="P68" i="3"/>
  <c r="V68" i="3"/>
  <c r="AE68" i="3"/>
  <c r="AK68" i="3" s="1"/>
  <c r="P69" i="3"/>
  <c r="V69" i="3"/>
  <c r="AE69" i="3"/>
  <c r="AK69" i="3"/>
  <c r="P70" i="3"/>
  <c r="V70" i="3"/>
  <c r="AE70" i="3"/>
  <c r="AK70" i="3" s="1"/>
  <c r="P71" i="3"/>
  <c r="V71" i="3"/>
  <c r="AE71" i="3"/>
  <c r="AK71" i="3"/>
  <c r="P72" i="3"/>
  <c r="V72" i="3"/>
  <c r="AE72" i="3"/>
  <c r="AK72" i="3"/>
  <c r="P73" i="3"/>
  <c r="V73" i="3"/>
  <c r="AE73" i="3"/>
  <c r="AK73" i="3"/>
  <c r="P76" i="3"/>
  <c r="V76" i="3"/>
  <c r="AE76" i="3"/>
  <c r="AK76" i="3" s="1"/>
  <c r="P74" i="3"/>
  <c r="V74" i="3"/>
  <c r="AE74" i="3"/>
  <c r="AK74" i="3" s="1"/>
  <c r="P78" i="3"/>
  <c r="V78" i="3"/>
  <c r="AE78" i="3"/>
  <c r="AK78" i="3"/>
  <c r="P79" i="3"/>
  <c r="V79" i="3"/>
  <c r="AE79" i="3"/>
  <c r="AK79" i="3" s="1"/>
  <c r="P77" i="3"/>
  <c r="V77" i="3"/>
  <c r="AE77" i="3"/>
  <c r="AK77" i="3" s="1"/>
  <c r="E75" i="17"/>
  <c r="G75" i="17"/>
  <c r="F73" i="20"/>
  <c r="G73" i="20"/>
  <c r="F75" i="20"/>
  <c r="G75" i="20"/>
  <c r="F3" i="20"/>
  <c r="G3" i="20"/>
  <c r="F4" i="20"/>
  <c r="G4" i="20"/>
  <c r="F5" i="20"/>
  <c r="G5" i="20"/>
  <c r="F6" i="20"/>
  <c r="G6" i="20"/>
  <c r="F7" i="20"/>
  <c r="G7" i="20"/>
  <c r="F8" i="20"/>
  <c r="G8" i="20"/>
  <c r="F9" i="20"/>
  <c r="G9" i="20"/>
  <c r="F10" i="20"/>
  <c r="G10" i="20"/>
  <c r="F11" i="20"/>
  <c r="G11" i="20"/>
  <c r="F12" i="20"/>
  <c r="G12" i="20"/>
  <c r="F13" i="20"/>
  <c r="G13" i="20"/>
  <c r="F14" i="20"/>
  <c r="G14" i="20"/>
  <c r="F15" i="20"/>
  <c r="G15" i="20"/>
  <c r="F16" i="20"/>
  <c r="G16" i="20"/>
  <c r="F17" i="20"/>
  <c r="G17" i="20"/>
  <c r="F18" i="20"/>
  <c r="G18" i="20"/>
  <c r="F19" i="20"/>
  <c r="G19" i="20"/>
  <c r="F20" i="20"/>
  <c r="G20" i="20"/>
  <c r="F21" i="20"/>
  <c r="G21" i="20"/>
  <c r="F22" i="20"/>
  <c r="G22" i="20"/>
  <c r="F23" i="20"/>
  <c r="G23" i="20"/>
  <c r="F24" i="20"/>
  <c r="G24" i="20"/>
  <c r="F25" i="20"/>
  <c r="G25" i="20"/>
  <c r="F26" i="20"/>
  <c r="G26" i="20"/>
  <c r="F27" i="20"/>
  <c r="G27" i="20"/>
  <c r="F28" i="20"/>
  <c r="G28" i="20"/>
  <c r="F29" i="20"/>
  <c r="G29" i="20"/>
  <c r="F30" i="20"/>
  <c r="G30" i="20"/>
  <c r="F31" i="20"/>
  <c r="G31" i="20"/>
  <c r="F32" i="20"/>
  <c r="G32" i="20"/>
  <c r="F33" i="20"/>
  <c r="G33" i="20"/>
  <c r="F34" i="20"/>
  <c r="G34" i="20"/>
  <c r="F35" i="20"/>
  <c r="G35" i="20"/>
  <c r="F36" i="20"/>
  <c r="G36" i="20"/>
  <c r="F37" i="20"/>
  <c r="G37" i="20"/>
  <c r="F38" i="20"/>
  <c r="G38" i="20"/>
  <c r="F39" i="20"/>
  <c r="G39" i="20"/>
  <c r="F40" i="20"/>
  <c r="G40" i="20"/>
  <c r="F41" i="20"/>
  <c r="G41" i="20"/>
  <c r="F42" i="20"/>
  <c r="G42" i="20"/>
  <c r="F43" i="20"/>
  <c r="G43" i="20"/>
  <c r="F44" i="20"/>
  <c r="G44" i="20"/>
  <c r="F45" i="20"/>
  <c r="G45" i="20"/>
  <c r="F46" i="20"/>
  <c r="G46" i="20"/>
  <c r="F47" i="20"/>
  <c r="G47" i="20"/>
  <c r="F48" i="20"/>
  <c r="G48" i="20"/>
  <c r="F49" i="20"/>
  <c r="G49" i="20"/>
  <c r="F50" i="20"/>
  <c r="G50" i="20"/>
  <c r="F51" i="20"/>
  <c r="G51" i="20"/>
  <c r="F52" i="20"/>
  <c r="G52" i="20"/>
  <c r="F53" i="20"/>
  <c r="G53" i="20"/>
  <c r="F54" i="20"/>
  <c r="G54" i="20"/>
  <c r="F55" i="20"/>
  <c r="G55" i="20"/>
  <c r="F56" i="20"/>
  <c r="G56" i="20"/>
  <c r="F57" i="20"/>
  <c r="G57" i="20"/>
  <c r="F58" i="20"/>
  <c r="G58" i="20"/>
  <c r="F59" i="20"/>
  <c r="G59" i="20"/>
  <c r="F60" i="20"/>
  <c r="G60" i="20"/>
  <c r="F61" i="20"/>
  <c r="G61" i="20"/>
  <c r="F62" i="20"/>
  <c r="G62" i="20"/>
  <c r="F63" i="20"/>
  <c r="G63" i="20"/>
  <c r="F64" i="20"/>
  <c r="G64" i="20"/>
  <c r="F65" i="20"/>
  <c r="G65" i="20"/>
  <c r="F66" i="20"/>
  <c r="G66" i="20"/>
  <c r="F67" i="20"/>
  <c r="G67" i="20"/>
  <c r="F77" i="20"/>
  <c r="G77" i="20"/>
  <c r="F68" i="20"/>
  <c r="G68" i="20"/>
  <c r="F69" i="20"/>
  <c r="G69" i="20"/>
  <c r="F70" i="20"/>
  <c r="G70" i="20"/>
  <c r="F71" i="20"/>
  <c r="G71" i="20"/>
  <c r="F74" i="20"/>
  <c r="G74" i="20"/>
  <c r="F72" i="20"/>
  <c r="G72" i="20"/>
  <c r="F76" i="20"/>
  <c r="G76" i="20"/>
  <c r="G2" i="20"/>
  <c r="F2" i="20"/>
  <c r="G73" i="16"/>
  <c r="H73" i="16"/>
  <c r="H3" i="18"/>
  <c r="J3" i="18"/>
  <c r="L3" i="18"/>
  <c r="H4" i="18"/>
  <c r="J4" i="18"/>
  <c r="L4" i="18"/>
  <c r="H5" i="18"/>
  <c r="J5" i="18"/>
  <c r="L5" i="18"/>
  <c r="H6" i="18"/>
  <c r="J6" i="18"/>
  <c r="L6" i="18"/>
  <c r="H7" i="18"/>
  <c r="J7" i="18"/>
  <c r="L7" i="18"/>
  <c r="H8" i="18"/>
  <c r="J8" i="18"/>
  <c r="L8" i="18"/>
  <c r="H9" i="18"/>
  <c r="J9" i="18"/>
  <c r="L9" i="18"/>
  <c r="H10" i="18"/>
  <c r="J10" i="18"/>
  <c r="L10" i="18"/>
  <c r="H11" i="18"/>
  <c r="J11" i="18"/>
  <c r="L11" i="18"/>
  <c r="H12" i="18"/>
  <c r="J12" i="18"/>
  <c r="L12" i="18"/>
  <c r="H13" i="18"/>
  <c r="J13" i="18"/>
  <c r="L13" i="18"/>
  <c r="H14" i="18"/>
  <c r="J14" i="18"/>
  <c r="L14" i="18"/>
  <c r="H15" i="18"/>
  <c r="J15" i="18"/>
  <c r="L15" i="18"/>
  <c r="H16" i="18"/>
  <c r="J16" i="18"/>
  <c r="L16" i="18"/>
  <c r="H17" i="18"/>
  <c r="J17" i="18"/>
  <c r="L17" i="18"/>
  <c r="H18" i="18"/>
  <c r="J18" i="18"/>
  <c r="L18" i="18"/>
  <c r="H19" i="18"/>
  <c r="J19" i="18"/>
  <c r="L19" i="18"/>
  <c r="H20" i="18"/>
  <c r="J20" i="18"/>
  <c r="L20" i="18"/>
  <c r="H21" i="18"/>
  <c r="J21" i="18"/>
  <c r="L21" i="18"/>
  <c r="H22" i="18"/>
  <c r="J22" i="18"/>
  <c r="L22" i="18"/>
  <c r="H23" i="18"/>
  <c r="J23" i="18"/>
  <c r="L23" i="18"/>
  <c r="H24" i="18"/>
  <c r="J24" i="18"/>
  <c r="L24" i="18"/>
  <c r="H25" i="18"/>
  <c r="J25" i="18"/>
  <c r="L25" i="18"/>
  <c r="H26" i="18"/>
  <c r="J26" i="18"/>
  <c r="L26" i="18"/>
  <c r="H27" i="18"/>
  <c r="J27" i="18"/>
  <c r="L27" i="18"/>
  <c r="H28" i="18"/>
  <c r="J28" i="18"/>
  <c r="L28" i="18"/>
  <c r="H29" i="18"/>
  <c r="J29" i="18"/>
  <c r="L29" i="18"/>
  <c r="H30" i="18"/>
  <c r="J30" i="18"/>
  <c r="L30" i="18"/>
  <c r="H31" i="18"/>
  <c r="J31" i="18"/>
  <c r="L31" i="18"/>
  <c r="H32" i="18"/>
  <c r="J32" i="18"/>
  <c r="L32" i="18"/>
  <c r="H33" i="18"/>
  <c r="J33" i="18"/>
  <c r="L33" i="18"/>
  <c r="H34" i="18"/>
  <c r="J34" i="18"/>
  <c r="L34" i="18"/>
  <c r="H35" i="18"/>
  <c r="J35" i="18"/>
  <c r="L35" i="18"/>
  <c r="H36" i="18"/>
  <c r="J36" i="18"/>
  <c r="L36" i="18"/>
  <c r="H37" i="18"/>
  <c r="J37" i="18"/>
  <c r="L37" i="18"/>
  <c r="H38" i="18"/>
  <c r="J38" i="18"/>
  <c r="L38" i="18"/>
  <c r="H39" i="18"/>
  <c r="J39" i="18"/>
  <c r="L39" i="18"/>
  <c r="H40" i="18"/>
  <c r="J40" i="18"/>
  <c r="L40" i="18"/>
  <c r="H41" i="18"/>
  <c r="J41" i="18"/>
  <c r="L41" i="18"/>
  <c r="H42" i="18"/>
  <c r="J42" i="18"/>
  <c r="L42" i="18"/>
  <c r="H43" i="18"/>
  <c r="J43" i="18"/>
  <c r="L43" i="18"/>
  <c r="H44" i="18"/>
  <c r="J44" i="18"/>
  <c r="L44" i="18"/>
  <c r="H45" i="18"/>
  <c r="J45" i="18"/>
  <c r="L45" i="18"/>
  <c r="H46" i="18"/>
  <c r="J46" i="18"/>
  <c r="L46" i="18"/>
  <c r="H47" i="18"/>
  <c r="J47" i="18"/>
  <c r="L47" i="18"/>
  <c r="H48" i="18"/>
  <c r="J48" i="18"/>
  <c r="L48" i="18"/>
  <c r="H49" i="18"/>
  <c r="J49" i="18"/>
  <c r="L49" i="18"/>
  <c r="H50" i="18"/>
  <c r="J50" i="18"/>
  <c r="L50" i="18"/>
  <c r="H51" i="18"/>
  <c r="J51" i="18"/>
  <c r="L51" i="18"/>
  <c r="H52" i="18"/>
  <c r="J52" i="18"/>
  <c r="L52" i="18"/>
  <c r="H53" i="18"/>
  <c r="J53" i="18"/>
  <c r="L53" i="18"/>
  <c r="H54" i="18"/>
  <c r="J54" i="18"/>
  <c r="L54" i="18"/>
  <c r="H55" i="18"/>
  <c r="J55" i="18"/>
  <c r="L55" i="18"/>
  <c r="H56" i="18"/>
  <c r="J56" i="18"/>
  <c r="L56" i="18"/>
  <c r="H57" i="18"/>
  <c r="J57" i="18"/>
  <c r="L57" i="18"/>
  <c r="H58" i="18"/>
  <c r="J58" i="18"/>
  <c r="L58" i="18"/>
  <c r="H59" i="18"/>
  <c r="J59" i="18"/>
  <c r="L59" i="18"/>
  <c r="H60" i="18"/>
  <c r="J60" i="18"/>
  <c r="L60" i="18"/>
  <c r="H61" i="18"/>
  <c r="J61" i="18"/>
  <c r="L61" i="18"/>
  <c r="H62" i="18"/>
  <c r="J62" i="18"/>
  <c r="L62" i="18"/>
  <c r="H63" i="18"/>
  <c r="J63" i="18"/>
  <c r="L63" i="18"/>
  <c r="H64" i="18"/>
  <c r="J64" i="18"/>
  <c r="L64" i="18"/>
  <c r="H65" i="18"/>
  <c r="J65" i="18"/>
  <c r="L65" i="18"/>
  <c r="H66" i="18"/>
  <c r="J66" i="18"/>
  <c r="L66" i="18"/>
  <c r="H67" i="18"/>
  <c r="J67" i="18"/>
  <c r="L67" i="18"/>
  <c r="H77" i="18"/>
  <c r="J77" i="18"/>
  <c r="L77" i="18"/>
  <c r="H68" i="18"/>
  <c r="J68" i="18"/>
  <c r="L68" i="18"/>
  <c r="H69" i="18"/>
  <c r="J69" i="18"/>
  <c r="L69" i="18"/>
  <c r="H70" i="18"/>
  <c r="J70" i="18"/>
  <c r="L70" i="18"/>
  <c r="H71" i="18"/>
  <c r="J71" i="18"/>
  <c r="L71" i="18"/>
  <c r="H73" i="18"/>
  <c r="J73" i="18"/>
  <c r="L73" i="18"/>
  <c r="H74" i="18"/>
  <c r="J74" i="18"/>
  <c r="L74" i="18"/>
  <c r="H72" i="18"/>
  <c r="J72" i="18"/>
  <c r="L72" i="18"/>
  <c r="H76" i="18"/>
  <c r="J76" i="18"/>
  <c r="L76" i="18"/>
  <c r="H75" i="18"/>
  <c r="J75" i="18"/>
  <c r="L75" i="18"/>
  <c r="I3" i="18"/>
  <c r="K3" i="18"/>
  <c r="I4" i="18"/>
  <c r="K4" i="18"/>
  <c r="I5" i="18"/>
  <c r="K5" i="18"/>
  <c r="I6" i="18"/>
  <c r="K6" i="18"/>
  <c r="I7" i="18"/>
  <c r="K7" i="18"/>
  <c r="I8" i="18"/>
  <c r="K8" i="18"/>
  <c r="I9" i="18"/>
  <c r="K9" i="18"/>
  <c r="I10" i="18"/>
  <c r="K10" i="18"/>
  <c r="I11" i="18"/>
  <c r="K11" i="18"/>
  <c r="I12" i="18"/>
  <c r="K12" i="18"/>
  <c r="I13" i="18"/>
  <c r="K13" i="18"/>
  <c r="I14" i="18"/>
  <c r="K14" i="18"/>
  <c r="I15" i="18"/>
  <c r="K15" i="18"/>
  <c r="I16" i="18"/>
  <c r="K16" i="18"/>
  <c r="I17" i="18"/>
  <c r="K17" i="18"/>
  <c r="I18" i="18"/>
  <c r="K18" i="18"/>
  <c r="I19" i="18"/>
  <c r="K19" i="18"/>
  <c r="I20" i="18"/>
  <c r="K20" i="18"/>
  <c r="I21" i="18"/>
  <c r="K21" i="18"/>
  <c r="I22" i="18"/>
  <c r="K22" i="18"/>
  <c r="I23" i="18"/>
  <c r="K23" i="18"/>
  <c r="I24" i="18"/>
  <c r="K24" i="18"/>
  <c r="I25" i="18"/>
  <c r="K25" i="18"/>
  <c r="I26" i="18"/>
  <c r="K26" i="18"/>
  <c r="I27" i="18"/>
  <c r="K27" i="18"/>
  <c r="I28" i="18"/>
  <c r="K28" i="18"/>
  <c r="I29" i="18"/>
  <c r="K29" i="18"/>
  <c r="I30" i="18"/>
  <c r="K30" i="18"/>
  <c r="I31" i="18"/>
  <c r="K31" i="18"/>
  <c r="I32" i="18"/>
  <c r="K32" i="18"/>
  <c r="I33" i="18"/>
  <c r="K33" i="18"/>
  <c r="I34" i="18"/>
  <c r="K34" i="18"/>
  <c r="I35" i="18"/>
  <c r="K35" i="18"/>
  <c r="I36" i="18"/>
  <c r="K36" i="18"/>
  <c r="I37" i="18"/>
  <c r="K37" i="18"/>
  <c r="I38" i="18"/>
  <c r="K38" i="18"/>
  <c r="I39" i="18"/>
  <c r="K39" i="18"/>
  <c r="I40" i="18"/>
  <c r="K40" i="18"/>
  <c r="I41" i="18"/>
  <c r="K41" i="18"/>
  <c r="I42" i="18"/>
  <c r="K42" i="18"/>
  <c r="I43" i="18"/>
  <c r="K43" i="18"/>
  <c r="I44" i="18"/>
  <c r="K44" i="18"/>
  <c r="I45" i="18"/>
  <c r="K45" i="18"/>
  <c r="I46" i="18"/>
  <c r="K46" i="18"/>
  <c r="I47" i="18"/>
  <c r="K47" i="18"/>
  <c r="I48" i="18"/>
  <c r="K48" i="18"/>
  <c r="I49" i="18"/>
  <c r="K49" i="18"/>
  <c r="I50" i="18"/>
  <c r="K50" i="18"/>
  <c r="I51" i="18"/>
  <c r="K51" i="18"/>
  <c r="I52" i="18"/>
  <c r="K52" i="18"/>
  <c r="I53" i="18"/>
  <c r="K53" i="18"/>
  <c r="I54" i="18"/>
  <c r="K54" i="18"/>
  <c r="I55" i="18"/>
  <c r="K55" i="18"/>
  <c r="I56" i="18"/>
  <c r="K56" i="18"/>
  <c r="I57" i="18"/>
  <c r="K57" i="18"/>
  <c r="I58" i="18"/>
  <c r="K58" i="18"/>
  <c r="I59" i="18"/>
  <c r="K59" i="18"/>
  <c r="I60" i="18"/>
  <c r="K60" i="18"/>
  <c r="I61" i="18"/>
  <c r="K61" i="18"/>
  <c r="I62" i="18"/>
  <c r="K62" i="18"/>
  <c r="I63" i="18"/>
  <c r="K63" i="18"/>
  <c r="I64" i="18"/>
  <c r="K64" i="18"/>
  <c r="I65" i="18"/>
  <c r="K65" i="18"/>
  <c r="I66" i="18"/>
  <c r="K66" i="18"/>
  <c r="I67" i="18"/>
  <c r="K67" i="18"/>
  <c r="I77" i="18"/>
  <c r="K77" i="18"/>
  <c r="I68" i="18"/>
  <c r="K68" i="18"/>
  <c r="I69" i="18"/>
  <c r="K69" i="18"/>
  <c r="I70" i="18"/>
  <c r="K70" i="18"/>
  <c r="I71" i="18"/>
  <c r="K71" i="18"/>
  <c r="I73" i="18"/>
  <c r="K73" i="18"/>
  <c r="I74" i="18"/>
  <c r="K74" i="18"/>
  <c r="I72" i="18"/>
  <c r="K72" i="18"/>
  <c r="I76" i="18"/>
  <c r="K76" i="18"/>
  <c r="I75" i="18"/>
  <c r="K75" i="18"/>
  <c r="H2" i="18"/>
  <c r="J2" i="18"/>
  <c r="L2" i="18"/>
  <c r="I2" i="18"/>
  <c r="K2" i="18"/>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77" i="17"/>
  <c r="G68" i="17"/>
  <c r="G69" i="17"/>
  <c r="G70" i="17"/>
  <c r="G71" i="17"/>
  <c r="G73" i="17"/>
  <c r="G74" i="17"/>
  <c r="G72" i="17"/>
  <c r="G76" i="17"/>
  <c r="G2" i="17"/>
  <c r="E3" i="17"/>
  <c r="E4"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77" i="17"/>
  <c r="E68" i="17"/>
  <c r="E69" i="17"/>
  <c r="E70" i="17"/>
  <c r="E71" i="17"/>
  <c r="E73" i="17"/>
  <c r="E74" i="17"/>
  <c r="E72" i="17"/>
  <c r="E76" i="17"/>
  <c r="E2" i="17"/>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77" i="6"/>
  <c r="P68" i="6"/>
  <c r="P69" i="6"/>
  <c r="P70" i="6"/>
  <c r="P71" i="6"/>
  <c r="P73" i="6"/>
  <c r="P74" i="6"/>
  <c r="P72" i="6"/>
  <c r="P76" i="6"/>
  <c r="P75" i="6"/>
  <c r="P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77" i="6"/>
  <c r="N68" i="6"/>
  <c r="N69" i="6"/>
  <c r="N70" i="6"/>
  <c r="N71" i="6"/>
  <c r="N73" i="6"/>
  <c r="N74" i="6"/>
  <c r="N72" i="6"/>
  <c r="N76" i="6"/>
  <c r="N75" i="6"/>
  <c r="N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77" i="6"/>
  <c r="K68" i="6"/>
  <c r="K69" i="6"/>
  <c r="K70" i="6"/>
  <c r="K71" i="6"/>
  <c r="K73" i="6"/>
  <c r="K74" i="6"/>
  <c r="K72" i="6"/>
  <c r="K76" i="6"/>
  <c r="K75" i="6"/>
  <c r="K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77" i="6"/>
  <c r="I68" i="6"/>
  <c r="I69" i="6"/>
  <c r="I70" i="6"/>
  <c r="I71" i="6"/>
  <c r="I73" i="6"/>
  <c r="I74" i="6"/>
  <c r="I72" i="6"/>
  <c r="I76" i="6"/>
  <c r="I75" i="6"/>
  <c r="I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77" i="6"/>
  <c r="G68" i="6"/>
  <c r="G69" i="6"/>
  <c r="G70" i="6"/>
  <c r="G71" i="6"/>
  <c r="G73" i="6"/>
  <c r="G74" i="6"/>
  <c r="G72" i="6"/>
  <c r="G76" i="6"/>
  <c r="G75" i="6"/>
  <c r="E3" i="6"/>
  <c r="E4" i="6"/>
  <c r="E5" i="6"/>
  <c r="E6" i="6"/>
  <c r="E7" i="6"/>
  <c r="E8" i="6"/>
  <c r="E9" i="6"/>
  <c r="E10" i="6"/>
  <c r="E11" i="6"/>
  <c r="E12" i="6"/>
  <c r="E13" i="6"/>
  <c r="E14" i="6"/>
  <c r="E15" i="6"/>
  <c r="E16" i="6"/>
  <c r="E17" i="6"/>
  <c r="E19" i="6"/>
  <c r="E20" i="6"/>
  <c r="E22" i="6"/>
  <c r="E23" i="6"/>
  <c r="E24" i="6"/>
  <c r="E25" i="6"/>
  <c r="E26" i="6"/>
  <c r="E27" i="6"/>
  <c r="E28" i="6"/>
  <c r="E29" i="6"/>
  <c r="E30" i="6"/>
  <c r="E31" i="6"/>
  <c r="E32" i="6"/>
  <c r="E33" i="6"/>
  <c r="E34" i="6"/>
  <c r="E36" i="6"/>
  <c r="E37" i="6"/>
  <c r="E38" i="6"/>
  <c r="E39" i="6"/>
  <c r="E40" i="6"/>
  <c r="E41" i="6"/>
  <c r="E42" i="6"/>
  <c r="E43" i="6"/>
  <c r="E44" i="6"/>
  <c r="E45" i="6"/>
  <c r="E46" i="6"/>
  <c r="E47" i="6"/>
  <c r="E48" i="6"/>
  <c r="E49" i="6"/>
  <c r="E50" i="6"/>
  <c r="E51" i="6"/>
  <c r="E52" i="6"/>
  <c r="E53" i="6"/>
  <c r="E54" i="6"/>
  <c r="E55" i="6"/>
  <c r="E57" i="6"/>
  <c r="E58" i="6"/>
  <c r="E59" i="6"/>
  <c r="E60" i="6"/>
  <c r="E61" i="6"/>
  <c r="E62" i="6"/>
  <c r="E63" i="6"/>
  <c r="E64" i="6"/>
  <c r="E65" i="6"/>
  <c r="E66" i="6"/>
  <c r="E67" i="6"/>
  <c r="E77" i="6"/>
  <c r="E69" i="6"/>
  <c r="E70" i="6"/>
  <c r="E71" i="6"/>
  <c r="E74" i="6"/>
  <c r="E76" i="6"/>
  <c r="G2" i="6"/>
  <c r="E2" i="6"/>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G57" i="16"/>
  <c r="H57" i="16"/>
  <c r="G58" i="16"/>
  <c r="H58" i="16"/>
  <c r="G59" i="16"/>
  <c r="H59" i="16"/>
  <c r="G60" i="16"/>
  <c r="H60" i="16"/>
  <c r="G61" i="16"/>
  <c r="H61" i="16"/>
  <c r="G62" i="16"/>
  <c r="H62" i="16"/>
  <c r="G63" i="16"/>
  <c r="H63" i="16"/>
  <c r="G64" i="16"/>
  <c r="H64" i="16"/>
  <c r="G65" i="16"/>
  <c r="H65" i="16"/>
  <c r="G66" i="16"/>
  <c r="H66" i="16"/>
  <c r="G67" i="16"/>
  <c r="H67" i="16"/>
  <c r="G77" i="16"/>
  <c r="H77" i="16"/>
  <c r="G68" i="16"/>
  <c r="H68" i="16"/>
  <c r="G69" i="16"/>
  <c r="H69" i="16"/>
  <c r="G70" i="16"/>
  <c r="H70" i="16"/>
  <c r="G71" i="16"/>
  <c r="H71" i="16"/>
  <c r="G74" i="16"/>
  <c r="H74" i="16"/>
  <c r="G72" i="16"/>
  <c r="H72" i="16"/>
  <c r="G76" i="16"/>
  <c r="H76" i="16"/>
  <c r="G75" i="16"/>
  <c r="H75" i="16"/>
  <c r="H2" i="16"/>
  <c r="G2" i="16"/>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9" i="2"/>
  <c r="AE70" i="2"/>
  <c r="AE71" i="2"/>
  <c r="AE72" i="2"/>
  <c r="AE73" i="2"/>
  <c r="AE75" i="2"/>
  <c r="AE76" i="2"/>
  <c r="AE74" i="2"/>
  <c r="AE78" i="2"/>
  <c r="AE77" i="2"/>
  <c r="AE4" i="2"/>
  <c r="Y15" i="6"/>
  <c r="Y14" i="6"/>
  <c r="Y13" i="6"/>
  <c r="Y12" i="6"/>
  <c r="Y11" i="6"/>
  <c r="Y10" i="6"/>
  <c r="Y9" i="6"/>
  <c r="Y8" i="6"/>
  <c r="Y7" i="6"/>
  <c r="Y6" i="6"/>
  <c r="Y5" i="6"/>
  <c r="Y4" i="6"/>
  <c r="Y3" i="6"/>
  <c r="Y2" i="6"/>
  <c r="U2" i="6"/>
  <c r="U15" i="6"/>
  <c r="U14" i="6"/>
  <c r="U13" i="6"/>
  <c r="U12" i="6"/>
  <c r="U11" i="6"/>
  <c r="U10" i="6"/>
  <c r="U8" i="6"/>
  <c r="U7" i="6"/>
  <c r="U6" i="6"/>
  <c r="U5" i="6"/>
  <c r="U4" i="6"/>
  <c r="U3" i="6"/>
  <c r="W4" i="6"/>
  <c r="V4" i="6"/>
  <c r="V3" i="6"/>
  <c r="W3" i="6"/>
  <c r="W2" i="6"/>
  <c r="V2" i="6"/>
  <c r="L4" i="2"/>
  <c r="R4" i="2"/>
  <c r="AL4" i="2"/>
  <c r="AR4" i="2"/>
  <c r="AX4" i="2" s="1"/>
  <c r="L5" i="2"/>
  <c r="R5" i="2"/>
  <c r="AL5" i="2"/>
  <c r="AR5" i="2"/>
  <c r="AX5" i="2" s="1"/>
  <c r="L6" i="2"/>
  <c r="R6" i="2"/>
  <c r="AL6" i="2"/>
  <c r="AR6" i="2"/>
  <c r="AX6" i="2" s="1"/>
  <c r="L7" i="2"/>
  <c r="R7" i="2"/>
  <c r="AL7" i="2"/>
  <c r="AR7" i="2"/>
  <c r="L8" i="2"/>
  <c r="R8" i="2"/>
  <c r="AL8" i="2"/>
  <c r="AR8" i="2"/>
  <c r="AX8" i="2" s="1"/>
  <c r="L9" i="2"/>
  <c r="R9" i="2"/>
  <c r="AL9" i="2"/>
  <c r="AR9" i="2"/>
  <c r="AX9" i="2" s="1"/>
  <c r="L10" i="2"/>
  <c r="R10" i="2"/>
  <c r="AL10" i="2"/>
  <c r="AR10" i="2"/>
  <c r="AX10" i="2" s="1"/>
  <c r="L11" i="2"/>
  <c r="R11" i="2"/>
  <c r="AL11" i="2"/>
  <c r="AR11" i="2"/>
  <c r="L12" i="2"/>
  <c r="R12" i="2"/>
  <c r="AL12" i="2"/>
  <c r="AR12" i="2"/>
  <c r="AX12" i="2" s="1"/>
  <c r="L13" i="2"/>
  <c r="R13" i="2"/>
  <c r="AL13" i="2"/>
  <c r="AR13" i="2"/>
  <c r="AX13" i="2" s="1"/>
  <c r="L14" i="2"/>
  <c r="R14" i="2"/>
  <c r="AL14" i="2"/>
  <c r="AR14" i="2"/>
  <c r="AX14" i="2" s="1"/>
  <c r="L15" i="2"/>
  <c r="R15" i="2"/>
  <c r="AL15" i="2"/>
  <c r="AR15" i="2"/>
  <c r="L16" i="2"/>
  <c r="R16" i="2"/>
  <c r="AL16" i="2"/>
  <c r="AR16" i="2"/>
  <c r="AX16" i="2" s="1"/>
  <c r="L17" i="2"/>
  <c r="R17" i="2"/>
  <c r="AL17" i="2"/>
  <c r="AR17" i="2"/>
  <c r="AX17" i="2" s="1"/>
  <c r="L18" i="2"/>
  <c r="R18" i="2"/>
  <c r="AL18" i="2"/>
  <c r="AR18" i="2"/>
  <c r="AX18" i="2" s="1"/>
  <c r="L19" i="2"/>
  <c r="R19" i="2"/>
  <c r="AL19" i="2"/>
  <c r="AR19" i="2"/>
  <c r="L20" i="2"/>
  <c r="R20" i="2"/>
  <c r="AL20" i="2"/>
  <c r="AR20" i="2"/>
  <c r="AX20" i="2" s="1"/>
  <c r="L21" i="2"/>
  <c r="R21" i="2"/>
  <c r="AL21" i="2"/>
  <c r="AR21" i="2"/>
  <c r="AX21" i="2" s="1"/>
  <c r="L22" i="2"/>
  <c r="R22" i="2"/>
  <c r="AL22" i="2"/>
  <c r="AR22" i="2"/>
  <c r="AX22" i="2" s="1"/>
  <c r="L23" i="2"/>
  <c r="R23" i="2"/>
  <c r="AL23" i="2"/>
  <c r="AR23" i="2"/>
  <c r="L24" i="2"/>
  <c r="R24" i="2"/>
  <c r="AL24" i="2"/>
  <c r="AR24" i="2"/>
  <c r="AX24" i="2" s="1"/>
  <c r="L25" i="2"/>
  <c r="R25" i="2"/>
  <c r="AL25" i="2"/>
  <c r="AR25" i="2"/>
  <c r="AX25" i="2" s="1"/>
  <c r="L26" i="2"/>
  <c r="R26" i="2"/>
  <c r="AL26" i="2"/>
  <c r="AR26" i="2"/>
  <c r="AX26" i="2" s="1"/>
  <c r="L27" i="2"/>
  <c r="R27" i="2"/>
  <c r="AL27" i="2"/>
  <c r="AR27" i="2"/>
  <c r="L28" i="2"/>
  <c r="R28" i="2"/>
  <c r="AL28" i="2"/>
  <c r="AR28" i="2"/>
  <c r="AX28" i="2" s="1"/>
  <c r="L29" i="2"/>
  <c r="R29" i="2"/>
  <c r="AL29" i="2"/>
  <c r="AR29" i="2"/>
  <c r="AX29" i="2" s="1"/>
  <c r="L30" i="2"/>
  <c r="R30" i="2"/>
  <c r="AL30" i="2"/>
  <c r="AR30" i="2"/>
  <c r="AX30" i="2" s="1"/>
  <c r="L31" i="2"/>
  <c r="R31" i="2"/>
  <c r="AL31" i="2"/>
  <c r="AR31" i="2"/>
  <c r="L32" i="2"/>
  <c r="R32" i="2"/>
  <c r="AL32" i="2"/>
  <c r="AR32" i="2"/>
  <c r="AX32" i="2" s="1"/>
  <c r="L33" i="2"/>
  <c r="R33" i="2"/>
  <c r="AL33" i="2"/>
  <c r="AR33" i="2"/>
  <c r="AX33" i="2" s="1"/>
  <c r="L34" i="2"/>
  <c r="R34" i="2"/>
  <c r="AL34" i="2"/>
  <c r="AR34" i="2"/>
  <c r="AX34" i="2" s="1"/>
  <c r="L35" i="2"/>
  <c r="R35" i="2"/>
  <c r="AL35" i="2"/>
  <c r="AR35" i="2"/>
  <c r="L36" i="2"/>
  <c r="R36" i="2"/>
  <c r="AL36" i="2"/>
  <c r="AR36" i="2"/>
  <c r="AX36" i="2" s="1"/>
  <c r="L37" i="2"/>
  <c r="R37" i="2"/>
  <c r="AL37" i="2"/>
  <c r="AR37" i="2"/>
  <c r="AX37" i="2" s="1"/>
  <c r="L38" i="2"/>
  <c r="R38" i="2"/>
  <c r="AL38" i="2"/>
  <c r="AR38" i="2"/>
  <c r="AX38" i="2" s="1"/>
  <c r="L39" i="2"/>
  <c r="R39" i="2"/>
  <c r="AL39" i="2"/>
  <c r="AR39" i="2"/>
  <c r="L40" i="2"/>
  <c r="R40" i="2"/>
  <c r="AL40" i="2"/>
  <c r="AR40" i="2"/>
  <c r="AX40" i="2" s="1"/>
  <c r="L41" i="2"/>
  <c r="R41" i="2"/>
  <c r="AL41" i="2"/>
  <c r="AR41" i="2"/>
  <c r="AX41" i="2" s="1"/>
  <c r="L42" i="2"/>
  <c r="R42" i="2"/>
  <c r="AL42" i="2"/>
  <c r="AR42" i="2"/>
  <c r="AX42" i="2" s="1"/>
  <c r="L43" i="2"/>
  <c r="R43" i="2"/>
  <c r="AL43" i="2"/>
  <c r="AR43" i="2"/>
  <c r="L44" i="2"/>
  <c r="R44" i="2"/>
  <c r="AL44" i="2"/>
  <c r="AR44" i="2"/>
  <c r="AX44" i="2" s="1"/>
  <c r="L45" i="2"/>
  <c r="R45" i="2"/>
  <c r="AL45" i="2"/>
  <c r="AR45" i="2"/>
  <c r="AX45" i="2" s="1"/>
  <c r="L46" i="2"/>
  <c r="R46" i="2"/>
  <c r="AL46" i="2"/>
  <c r="AR46" i="2"/>
  <c r="AX46" i="2" s="1"/>
  <c r="L47" i="2"/>
  <c r="R47" i="2"/>
  <c r="AL47" i="2"/>
  <c r="AR47" i="2"/>
  <c r="AX47" i="2" s="1"/>
  <c r="L48" i="2"/>
  <c r="R48" i="2"/>
  <c r="AL48" i="2"/>
  <c r="AR48" i="2"/>
  <c r="AX48" i="2" s="1"/>
  <c r="L49" i="2"/>
  <c r="R49" i="2"/>
  <c r="AL49" i="2"/>
  <c r="AR49" i="2"/>
  <c r="AX49" i="2" s="1"/>
  <c r="L50" i="2"/>
  <c r="R50" i="2"/>
  <c r="AL50" i="2"/>
  <c r="AR50" i="2"/>
  <c r="AX50" i="2" s="1"/>
  <c r="L51" i="2"/>
  <c r="R51" i="2"/>
  <c r="AL51" i="2"/>
  <c r="AR51" i="2"/>
  <c r="AX51" i="2" s="1"/>
  <c r="L52" i="2"/>
  <c r="R52" i="2"/>
  <c r="AL52" i="2"/>
  <c r="AR52" i="2"/>
  <c r="AX52" i="2" s="1"/>
  <c r="L53" i="2"/>
  <c r="R53" i="2"/>
  <c r="AL53" i="2"/>
  <c r="AR53" i="2"/>
  <c r="AX53" i="2" s="1"/>
  <c r="L54" i="2"/>
  <c r="R54" i="2"/>
  <c r="AL54" i="2"/>
  <c r="AR54" i="2"/>
  <c r="AX54" i="2" s="1"/>
  <c r="L55" i="2"/>
  <c r="R55" i="2"/>
  <c r="AL55" i="2"/>
  <c r="L56" i="2"/>
  <c r="R56" i="2"/>
  <c r="AL56" i="2"/>
  <c r="AR56" i="2"/>
  <c r="L57" i="2"/>
  <c r="R57" i="2"/>
  <c r="AL57" i="2"/>
  <c r="AR57" i="2"/>
  <c r="AX57" i="2" s="1"/>
  <c r="L58" i="2"/>
  <c r="R58" i="2"/>
  <c r="AL58" i="2"/>
  <c r="AR58" i="2"/>
  <c r="AX58" i="2" s="1"/>
  <c r="L59" i="2"/>
  <c r="R59" i="2"/>
  <c r="AL59" i="2"/>
  <c r="AR59" i="2"/>
  <c r="AX59" i="2" s="1"/>
  <c r="L60" i="2"/>
  <c r="R60" i="2"/>
  <c r="AL60" i="2"/>
  <c r="AR60" i="2"/>
  <c r="AX60" i="2" s="1"/>
  <c r="L61" i="2"/>
  <c r="R61" i="2"/>
  <c r="AL61" i="2"/>
  <c r="AR61" i="2"/>
  <c r="AX61" i="2" s="1"/>
  <c r="L62" i="2"/>
  <c r="R62" i="2"/>
  <c r="AL62" i="2"/>
  <c r="AR62" i="2"/>
  <c r="AX62" i="2" s="1"/>
  <c r="L63" i="2"/>
  <c r="R63" i="2"/>
  <c r="AL63" i="2"/>
  <c r="AR63" i="2"/>
  <c r="AX63" i="2" s="1"/>
  <c r="L64" i="2"/>
  <c r="R64" i="2"/>
  <c r="AL64" i="2"/>
  <c r="AR64" i="2"/>
  <c r="L65" i="2"/>
  <c r="R65" i="2"/>
  <c r="AL65" i="2"/>
  <c r="AR65" i="2"/>
  <c r="AX65" i="2" s="1"/>
  <c r="L66" i="2"/>
  <c r="R66" i="2"/>
  <c r="AL66" i="2"/>
  <c r="AR66" i="2"/>
  <c r="AX66" i="2" s="1"/>
  <c r="L67" i="2"/>
  <c r="R67" i="2"/>
  <c r="AL67" i="2"/>
  <c r="AR67" i="2"/>
  <c r="AX67" i="2" s="1"/>
  <c r="L68" i="2"/>
  <c r="R68" i="2"/>
  <c r="AL68" i="2"/>
  <c r="AR68" i="2"/>
  <c r="AX68" i="2" s="1"/>
  <c r="L69" i="2"/>
  <c r="R69" i="2"/>
  <c r="AL69" i="2"/>
  <c r="AR69" i="2"/>
  <c r="AX69" i="2" s="1"/>
  <c r="L79" i="2"/>
  <c r="R79" i="2"/>
  <c r="AL79" i="2"/>
  <c r="AR79" i="2"/>
  <c r="AX79" i="2" s="1"/>
  <c r="L70" i="2"/>
  <c r="R70" i="2"/>
  <c r="AL70" i="2"/>
  <c r="AR70" i="2"/>
  <c r="AX70" i="2" s="1"/>
  <c r="L71" i="2"/>
  <c r="R71" i="2"/>
  <c r="AL71" i="2"/>
  <c r="AR71" i="2"/>
  <c r="L72" i="2"/>
  <c r="R72" i="2"/>
  <c r="AL72" i="2"/>
  <c r="AR72" i="2"/>
  <c r="AX72" i="2" s="1"/>
  <c r="L73" i="2"/>
  <c r="R73" i="2"/>
  <c r="AL73" i="2"/>
  <c r="AR73" i="2"/>
  <c r="AX73" i="2" s="1"/>
  <c r="L75" i="2"/>
  <c r="R75" i="2"/>
  <c r="AL75" i="2"/>
  <c r="AR75" i="2"/>
  <c r="AX75" i="2" s="1"/>
  <c r="L76" i="2"/>
  <c r="R76" i="2"/>
  <c r="AL76" i="2"/>
  <c r="AR76" i="2"/>
  <c r="AX76" i="2" s="1"/>
  <c r="L74" i="2"/>
  <c r="R74" i="2"/>
  <c r="AL74" i="2"/>
  <c r="AR74" i="2"/>
  <c r="AX74" i="2" s="1"/>
  <c r="L78" i="2"/>
  <c r="R78" i="2"/>
  <c r="AL78" i="2"/>
  <c r="AR78" i="2"/>
  <c r="AX78" i="2" s="1"/>
  <c r="L77" i="2"/>
  <c r="R77" i="2"/>
  <c r="AL77" i="2"/>
  <c r="AR77" i="2"/>
  <c r="AX77" i="2" s="1"/>
  <c r="AS4" i="2"/>
  <c r="AT4" i="2"/>
  <c r="AZ4" i="2" s="1"/>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9" i="2"/>
  <c r="AS70" i="2"/>
  <c r="AS71" i="2"/>
  <c r="AS72" i="2"/>
  <c r="AS73" i="2"/>
  <c r="AS75" i="2"/>
  <c r="AS76" i="2"/>
  <c r="AS74" i="2"/>
  <c r="AS78" i="2"/>
  <c r="AS77" i="2"/>
  <c r="AT5" i="2"/>
  <c r="AT6" i="2"/>
  <c r="AZ6" i="2" s="1"/>
  <c r="AT7" i="2"/>
  <c r="AZ7" i="2" s="1"/>
  <c r="AT8" i="2"/>
  <c r="AZ8" i="2" s="1"/>
  <c r="AT9" i="2"/>
  <c r="AT10" i="2"/>
  <c r="AT11" i="2"/>
  <c r="AT12" i="2"/>
  <c r="AZ12" i="2" s="1"/>
  <c r="AT13" i="2"/>
  <c r="AZ13" i="2" s="1"/>
  <c r="AT14" i="2"/>
  <c r="AZ14" i="2" s="1"/>
  <c r="AT15" i="2"/>
  <c r="AZ15" i="2" s="1"/>
  <c r="AT16" i="2"/>
  <c r="AZ16" i="2" s="1"/>
  <c r="AT17" i="2"/>
  <c r="AT18" i="2"/>
  <c r="AZ18" i="2" s="1"/>
  <c r="AT19" i="2"/>
  <c r="AT20" i="2"/>
  <c r="AZ20" i="2" s="1"/>
  <c r="AT21" i="2"/>
  <c r="AZ21" i="2" s="1"/>
  <c r="AT22" i="2"/>
  <c r="AZ22" i="2" s="1"/>
  <c r="AT23" i="2"/>
  <c r="AZ23" i="2" s="1"/>
  <c r="AT24" i="2"/>
  <c r="AZ24" i="2" s="1"/>
  <c r="AT25" i="2"/>
  <c r="AT26" i="2"/>
  <c r="AZ26" i="2" s="1"/>
  <c r="AT27" i="2"/>
  <c r="AT28" i="2"/>
  <c r="AZ28" i="2" s="1"/>
  <c r="AT29" i="2"/>
  <c r="AZ29" i="2" s="1"/>
  <c r="AT30" i="2"/>
  <c r="AZ30" i="2" s="1"/>
  <c r="AT31" i="2"/>
  <c r="AZ31" i="2" s="1"/>
  <c r="AT32" i="2"/>
  <c r="AZ32" i="2" s="1"/>
  <c r="AT33" i="2"/>
  <c r="AT34" i="2"/>
  <c r="AZ34" i="2" s="1"/>
  <c r="AT35" i="2"/>
  <c r="AZ35" i="2" s="1"/>
  <c r="AT36" i="2"/>
  <c r="AZ36" i="2" s="1"/>
  <c r="AT37" i="2"/>
  <c r="AT38" i="2"/>
  <c r="AZ38" i="2" s="1"/>
  <c r="AT39" i="2"/>
  <c r="AZ39" i="2" s="1"/>
  <c r="AT40" i="2"/>
  <c r="AZ40" i="2" s="1"/>
  <c r="AT41" i="2"/>
  <c r="AT42" i="2"/>
  <c r="AZ42" i="2" s="1"/>
  <c r="AT43" i="2"/>
  <c r="AZ43" i="2" s="1"/>
  <c r="AT44" i="2"/>
  <c r="AZ44" i="2" s="1"/>
  <c r="AT45" i="2"/>
  <c r="AZ45" i="2" s="1"/>
  <c r="AT46" i="2"/>
  <c r="AZ46" i="2" s="1"/>
  <c r="AT47" i="2"/>
  <c r="AZ47" i="2" s="1"/>
  <c r="AT48" i="2"/>
  <c r="AZ48" i="2" s="1"/>
  <c r="AT49" i="2"/>
  <c r="AT50" i="2"/>
  <c r="AZ50" i="2" s="1"/>
  <c r="AT51" i="2"/>
  <c r="AZ51" i="2" s="1"/>
  <c r="AT52" i="2"/>
  <c r="AZ52" i="2" s="1"/>
  <c r="AT53" i="2"/>
  <c r="AT54" i="2"/>
  <c r="AZ54" i="2" s="1"/>
  <c r="AT56" i="2"/>
  <c r="AZ56" i="2" s="1"/>
  <c r="AT57" i="2"/>
  <c r="AZ57" i="2" s="1"/>
  <c r="AT58" i="2"/>
  <c r="AZ58" i="2" s="1"/>
  <c r="AT59" i="2"/>
  <c r="AT60" i="2"/>
  <c r="AZ60" i="2" s="1"/>
  <c r="AT61" i="2"/>
  <c r="AZ61" i="2" s="1"/>
  <c r="AT62" i="2"/>
  <c r="AZ62" i="2" s="1"/>
  <c r="AT63" i="2"/>
  <c r="AZ63" i="2" s="1"/>
  <c r="AT64" i="2"/>
  <c r="AZ64" i="2" s="1"/>
  <c r="AT65" i="2"/>
  <c r="AZ65" i="2" s="1"/>
  <c r="AT66" i="2"/>
  <c r="AZ66" i="2" s="1"/>
  <c r="AT67" i="2"/>
  <c r="AZ67" i="2" s="1"/>
  <c r="AT68" i="2"/>
  <c r="AZ68" i="2" s="1"/>
  <c r="AT69" i="2"/>
  <c r="AT79" i="2"/>
  <c r="AZ79" i="2" s="1"/>
  <c r="AT70" i="2"/>
  <c r="AZ70" i="2" s="1"/>
  <c r="AT71" i="2"/>
  <c r="AZ71" i="2" s="1"/>
  <c r="AT72" i="2"/>
  <c r="AZ72" i="2" s="1"/>
  <c r="AT73" i="2"/>
  <c r="AZ73" i="2" s="1"/>
  <c r="AT75" i="2"/>
  <c r="AZ75" i="2" s="1"/>
  <c r="AT76" i="2"/>
  <c r="AZ76" i="2" s="1"/>
  <c r="AT74" i="2"/>
  <c r="AZ74" i="2" s="1"/>
  <c r="AT78" i="2"/>
  <c r="AZ78" i="2" s="1"/>
  <c r="AT77" i="2"/>
  <c r="AZ77" i="2" s="1"/>
  <c r="J19" i="1"/>
  <c r="W19" i="1"/>
  <c r="AQ19" i="1"/>
  <c r="AX19" i="1"/>
  <c r="BA19" i="1" s="1"/>
  <c r="T15" i="6"/>
  <c r="T14" i="6"/>
  <c r="X15" i="6"/>
  <c r="X14" i="6"/>
  <c r="X13" i="6"/>
  <c r="T13" i="6"/>
  <c r="T12" i="6"/>
  <c r="X12" i="6"/>
  <c r="X11" i="6"/>
  <c r="T11" i="6"/>
  <c r="T10" i="6"/>
  <c r="X10" i="6"/>
  <c r="T9" i="6"/>
  <c r="X9" i="6"/>
  <c r="X8" i="6"/>
  <c r="T8" i="6"/>
  <c r="X7" i="6"/>
  <c r="T7" i="6"/>
  <c r="X6" i="6"/>
  <c r="T6" i="6"/>
  <c r="X5" i="6"/>
  <c r="T5" i="6"/>
  <c r="X4" i="6"/>
  <c r="T4" i="6"/>
  <c r="X3" i="6"/>
  <c r="T3" i="6"/>
  <c r="X2" i="6"/>
  <c r="T2" i="6"/>
  <c r="M3" i="3"/>
  <c r="M2" i="3"/>
  <c r="AX7" i="2"/>
  <c r="AX11" i="2"/>
  <c r="AX15" i="2"/>
  <c r="AX19" i="2"/>
  <c r="AX23" i="2"/>
  <c r="AX27" i="2"/>
  <c r="AX31" i="2"/>
  <c r="AX35" i="2"/>
  <c r="AX39" i="2"/>
  <c r="AX43" i="2"/>
  <c r="AX56" i="2"/>
  <c r="AX64" i="2"/>
  <c r="AX71" i="2"/>
  <c r="AZ5" i="2"/>
  <c r="AZ9" i="2"/>
  <c r="AZ10" i="2"/>
  <c r="AZ11" i="2"/>
  <c r="AZ17" i="2"/>
  <c r="AZ19" i="2"/>
  <c r="AZ25" i="2"/>
  <c r="AZ27" i="2"/>
  <c r="AZ33" i="2"/>
  <c r="AZ37" i="2"/>
  <c r="AZ41" i="2"/>
  <c r="AZ49" i="2"/>
  <c r="AZ53" i="2"/>
  <c r="AZ59" i="2"/>
  <c r="AZ69" i="2"/>
  <c r="AY31" i="2"/>
  <c r="AY58" i="2"/>
  <c r="AY54" i="2"/>
  <c r="AY7" i="2"/>
  <c r="AY8" i="2"/>
  <c r="AY9" i="2"/>
  <c r="AY10" i="2"/>
  <c r="AY11" i="2"/>
  <c r="AY13" i="2"/>
  <c r="AY14" i="2"/>
  <c r="AY15" i="2"/>
  <c r="AY16" i="2"/>
  <c r="AY17" i="2"/>
  <c r="AY18" i="2"/>
  <c r="AY22" i="2"/>
  <c r="AY23" i="2"/>
  <c r="AY24" i="2"/>
  <c r="AY25" i="2"/>
  <c r="AY26" i="2"/>
  <c r="AY27" i="2"/>
  <c r="AY28" i="2"/>
  <c r="AY29" i="2"/>
  <c r="AY30" i="2"/>
  <c r="AY32" i="2"/>
  <c r="AY33" i="2"/>
  <c r="AY34" i="2"/>
  <c r="AY35" i="2"/>
  <c r="AY36" i="2"/>
  <c r="AY37" i="2"/>
  <c r="AY38" i="2"/>
  <c r="AY39" i="2"/>
  <c r="AY43" i="2"/>
  <c r="AY44" i="2"/>
  <c r="AY45" i="2"/>
  <c r="AY46" i="2"/>
  <c r="AY47" i="2"/>
  <c r="AY48" i="2"/>
  <c r="AY49" i="2"/>
  <c r="AY50" i="2"/>
  <c r="AY51" i="2"/>
  <c r="AY52" i="2"/>
  <c r="AY53" i="2"/>
  <c r="AY56" i="2"/>
  <c r="AY57" i="2"/>
  <c r="AY59" i="2"/>
  <c r="AY60" i="2"/>
  <c r="AY61" i="2"/>
  <c r="AY62" i="2"/>
  <c r="AY63" i="2"/>
  <c r="AY64" i="2"/>
  <c r="AY65" i="2"/>
  <c r="AY66" i="2"/>
  <c r="AY67" i="2"/>
  <c r="AY69" i="2"/>
  <c r="AY79" i="2"/>
  <c r="AY70" i="2"/>
  <c r="AY71" i="2"/>
  <c r="AY72" i="2"/>
  <c r="AY73" i="2"/>
  <c r="AY75" i="2"/>
  <c r="AY76" i="2"/>
  <c r="AY74" i="2"/>
  <c r="AY78" i="2"/>
  <c r="AY77" i="2"/>
  <c r="AY4" i="2"/>
  <c r="AY5" i="2"/>
  <c r="AY6" i="2"/>
  <c r="AY12" i="2"/>
  <c r="AY19" i="2"/>
  <c r="AY20" i="2"/>
  <c r="AY21" i="2"/>
  <c r="AY40" i="2"/>
  <c r="AY41" i="2"/>
  <c r="AY42" i="2"/>
  <c r="AY68" i="2"/>
  <c r="O2" i="3"/>
  <c r="P2" i="3"/>
  <c r="T2" i="3"/>
  <c r="U2" i="3"/>
  <c r="AA2" i="3"/>
  <c r="AB2" i="3"/>
  <c r="O3" i="3"/>
  <c r="P3" i="3"/>
  <c r="T3" i="3"/>
  <c r="U3" i="3"/>
  <c r="AA3" i="3"/>
  <c r="AB3" i="3"/>
  <c r="AE3" i="3"/>
  <c r="N3" i="3"/>
  <c r="N2" i="3"/>
  <c r="H4" i="2"/>
  <c r="H8" i="2"/>
  <c r="H9" i="2"/>
  <c r="H12" i="2"/>
  <c r="H13" i="2"/>
  <c r="H17" i="2"/>
  <c r="H18" i="2"/>
  <c r="H20" i="2"/>
  <c r="H22" i="2"/>
  <c r="H26" i="2"/>
  <c r="H30" i="2"/>
  <c r="H31" i="2"/>
  <c r="H32" i="2"/>
  <c r="H33" i="2"/>
  <c r="H34" i="2"/>
  <c r="H37" i="2"/>
  <c r="H45" i="2"/>
  <c r="H47" i="2"/>
  <c r="H50" i="2"/>
  <c r="H52" i="2"/>
  <c r="H53" i="2"/>
  <c r="H57" i="2"/>
  <c r="H58" i="2"/>
  <c r="H59" i="2"/>
  <c r="H62" i="2"/>
  <c r="H63" i="2"/>
  <c r="H65" i="2"/>
  <c r="H68" i="2"/>
  <c r="H72" i="2"/>
  <c r="H76" i="2"/>
  <c r="H74" i="2"/>
  <c r="H78" i="2"/>
  <c r="H2" i="2"/>
  <c r="J2" i="2"/>
  <c r="K2" i="2"/>
  <c r="L2" i="2"/>
  <c r="M2" i="2"/>
  <c r="N2" i="2"/>
  <c r="P2" i="2"/>
  <c r="Q2" i="2"/>
  <c r="R2" i="2"/>
  <c r="S2" i="2"/>
  <c r="T2" i="2"/>
  <c r="AB2" i="2"/>
  <c r="AC2" i="2"/>
  <c r="AD2" i="2"/>
  <c r="AE2" i="2"/>
  <c r="AF2" i="2"/>
  <c r="AG2" i="2"/>
  <c r="AI2" i="2"/>
  <c r="AJ2" i="2"/>
  <c r="AK2" i="2"/>
  <c r="AL2" i="2"/>
  <c r="AP2" i="2"/>
  <c r="H3" i="2"/>
  <c r="J3" i="2"/>
  <c r="K3" i="2"/>
  <c r="L3" i="2"/>
  <c r="M3" i="2"/>
  <c r="N3" i="2"/>
  <c r="P3" i="2"/>
  <c r="Q3" i="2"/>
  <c r="R3" i="2"/>
  <c r="S3" i="2"/>
  <c r="T3" i="2"/>
  <c r="AB3" i="2"/>
  <c r="AC3" i="2"/>
  <c r="AD3" i="2"/>
  <c r="AE3" i="2"/>
  <c r="AF3" i="2"/>
  <c r="AG3" i="2"/>
  <c r="AI3" i="2"/>
  <c r="AJ3" i="2"/>
  <c r="AK3" i="2"/>
  <c r="AL3" i="2"/>
  <c r="AP3" i="2"/>
  <c r="G3" i="2"/>
  <c r="G2" i="2"/>
  <c r="O42" i="1"/>
  <c r="S42" i="1"/>
  <c r="G62" i="1"/>
  <c r="G63" i="1"/>
  <c r="J10" i="1"/>
  <c r="J11" i="1"/>
  <c r="J12" i="1"/>
  <c r="J13" i="1"/>
  <c r="J14" i="1"/>
  <c r="J15" i="1"/>
  <c r="J16" i="1"/>
  <c r="J17" i="1"/>
  <c r="J18" i="1"/>
  <c r="J20" i="1"/>
  <c r="J21" i="1"/>
  <c r="J22" i="1"/>
  <c r="J23" i="1"/>
  <c r="J24" i="1"/>
  <c r="J25" i="1"/>
  <c r="J26" i="1"/>
  <c r="J27" i="1"/>
  <c r="J28" i="1"/>
  <c r="J29" i="1"/>
  <c r="J30" i="1"/>
  <c r="J31" i="1"/>
  <c r="J32" i="1"/>
  <c r="J33" i="1"/>
  <c r="J34" i="1"/>
  <c r="J35" i="1"/>
  <c r="J36" i="1"/>
  <c r="J37" i="1"/>
  <c r="J38" i="1"/>
  <c r="J39" i="1"/>
  <c r="J40" i="1"/>
  <c r="J41" i="1"/>
  <c r="J42" i="1"/>
  <c r="J5" i="1"/>
  <c r="J6" i="1"/>
  <c r="J7" i="1"/>
  <c r="J8" i="1"/>
  <c r="J9" i="1"/>
  <c r="J45" i="1"/>
  <c r="J46" i="1"/>
  <c r="J47" i="1"/>
  <c r="J48" i="1"/>
  <c r="J49" i="1"/>
  <c r="J50" i="1"/>
  <c r="J51" i="1"/>
  <c r="J52" i="1"/>
  <c r="J53" i="1"/>
  <c r="J54" i="1"/>
  <c r="J55" i="1"/>
  <c r="J56" i="1"/>
  <c r="J57" i="1"/>
  <c r="J58" i="1"/>
  <c r="J59" i="1"/>
  <c r="J60" i="1"/>
  <c r="J61" i="1"/>
  <c r="J62" i="1"/>
  <c r="J63" i="1"/>
  <c r="J64" i="1"/>
  <c r="J65" i="1"/>
  <c r="J66" i="1"/>
  <c r="J67" i="1"/>
  <c r="J68" i="1"/>
  <c r="J69" i="1"/>
  <c r="J79" i="1"/>
  <c r="J70" i="1"/>
  <c r="J71" i="1"/>
  <c r="J72" i="1"/>
  <c r="J73" i="1"/>
  <c r="J75" i="1"/>
  <c r="J76" i="1"/>
  <c r="J74" i="1"/>
  <c r="J78" i="1"/>
  <c r="J77" i="1"/>
  <c r="J43" i="1"/>
  <c r="J44" i="1"/>
  <c r="K3" i="1"/>
  <c r="L3" i="1"/>
  <c r="N17" i="1"/>
  <c r="N31" i="1"/>
  <c r="N35" i="1"/>
  <c r="N36" i="1"/>
  <c r="N40" i="1"/>
  <c r="N41" i="1"/>
  <c r="N6" i="1"/>
  <c r="N54" i="1"/>
  <c r="N55" i="1"/>
  <c r="N56" i="1"/>
  <c r="P79" i="1"/>
  <c r="Q79" i="1"/>
  <c r="R79" i="1"/>
  <c r="N79" i="1"/>
  <c r="N70" i="1"/>
  <c r="N73" i="1"/>
  <c r="N74" i="1"/>
  <c r="N77" i="1"/>
  <c r="R44" i="1"/>
  <c r="N44" i="1"/>
  <c r="N3" i="1"/>
  <c r="O16" i="1"/>
  <c r="O17" i="1"/>
  <c r="O27" i="1"/>
  <c r="O35" i="1"/>
  <c r="O36" i="1"/>
  <c r="O40" i="1"/>
  <c r="O41" i="1"/>
  <c r="O6" i="1"/>
  <c r="O54" i="1"/>
  <c r="O55" i="1"/>
  <c r="O56" i="1"/>
  <c r="O57" i="1"/>
  <c r="O58" i="1"/>
  <c r="O79" i="1"/>
  <c r="O70" i="1"/>
  <c r="O73" i="1"/>
  <c r="O74" i="1"/>
  <c r="O77" i="1"/>
  <c r="O3" i="1"/>
  <c r="P36" i="1"/>
  <c r="P3" i="1"/>
  <c r="Q36" i="1"/>
  <c r="Q3" i="1"/>
  <c r="R16" i="1"/>
  <c r="R17" i="1"/>
  <c r="R18" i="1"/>
  <c r="R57" i="1"/>
  <c r="R58" i="1"/>
  <c r="R43" i="1"/>
  <c r="R3" i="1"/>
  <c r="G10" i="1"/>
  <c r="S10" i="1"/>
  <c r="G11" i="1"/>
  <c r="S11" i="1"/>
  <c r="G12" i="1"/>
  <c r="S12" i="1"/>
  <c r="G14" i="1"/>
  <c r="S14" i="1"/>
  <c r="S15" i="1"/>
  <c r="G16" i="1"/>
  <c r="S16" i="1"/>
  <c r="G17" i="1"/>
  <c r="S17" i="1"/>
  <c r="S19" i="1"/>
  <c r="S26" i="1"/>
  <c r="S27" i="1"/>
  <c r="G28" i="1"/>
  <c r="S28" i="1"/>
  <c r="S29" i="1"/>
  <c r="G31" i="1"/>
  <c r="S31" i="1"/>
  <c r="S32" i="1"/>
  <c r="G34" i="1"/>
  <c r="S34" i="1"/>
  <c r="S35" i="1"/>
  <c r="G36" i="1"/>
  <c r="S36" i="1"/>
  <c r="S40" i="1"/>
  <c r="G41" i="1"/>
  <c r="S41" i="1"/>
  <c r="G4" i="1"/>
  <c r="S4" i="1"/>
  <c r="G5" i="1"/>
  <c r="S5" i="1"/>
  <c r="G6" i="1"/>
  <c r="S6" i="1"/>
  <c r="G7" i="1"/>
  <c r="S7" i="1"/>
  <c r="G8" i="1"/>
  <c r="S8" i="1"/>
  <c r="G9" i="1"/>
  <c r="S9" i="1"/>
  <c r="G45" i="1"/>
  <c r="S45" i="1"/>
  <c r="G47" i="1"/>
  <c r="S47" i="1"/>
  <c r="S48" i="1"/>
  <c r="G50" i="1"/>
  <c r="S50" i="1"/>
  <c r="S51" i="1"/>
  <c r="G52" i="1"/>
  <c r="S52" i="1"/>
  <c r="S53" i="1"/>
  <c r="S54" i="1"/>
  <c r="S55" i="1"/>
  <c r="G56" i="1"/>
  <c r="S56" i="1"/>
  <c r="S57" i="1"/>
  <c r="G58" i="1"/>
  <c r="S58" i="1"/>
  <c r="G59" i="1"/>
  <c r="S59" i="1"/>
  <c r="S60" i="1"/>
  <c r="S61" i="1"/>
  <c r="S62" i="1"/>
  <c r="S63" i="1"/>
  <c r="G64" i="1"/>
  <c r="S64" i="1"/>
  <c r="G66" i="1"/>
  <c r="S66" i="1"/>
  <c r="G67" i="1"/>
  <c r="S67" i="1"/>
  <c r="G79" i="1"/>
  <c r="S79" i="1"/>
  <c r="G70" i="1"/>
  <c r="S70" i="1"/>
  <c r="G71" i="1"/>
  <c r="S71" i="1"/>
  <c r="S73" i="1"/>
  <c r="S76" i="1"/>
  <c r="S74" i="1"/>
  <c r="S77" i="1"/>
  <c r="G43" i="1"/>
  <c r="S43" i="1"/>
  <c r="G44" i="1"/>
  <c r="S44" i="1"/>
  <c r="S3" i="1"/>
  <c r="T10" i="1"/>
  <c r="T11" i="1"/>
  <c r="T12" i="1"/>
  <c r="T14" i="1"/>
  <c r="T15" i="1"/>
  <c r="T16" i="1"/>
  <c r="T17" i="1"/>
  <c r="G18" i="1"/>
  <c r="T18" i="1"/>
  <c r="T19" i="1"/>
  <c r="T26" i="1"/>
  <c r="T27" i="1"/>
  <c r="T28" i="1"/>
  <c r="T29" i="1"/>
  <c r="T31" i="1"/>
  <c r="T32" i="1"/>
  <c r="G33" i="1"/>
  <c r="T33" i="1"/>
  <c r="T34" i="1"/>
  <c r="T35" i="1"/>
  <c r="T36" i="1"/>
  <c r="T2" i="1"/>
  <c r="T40" i="1"/>
  <c r="T41" i="1"/>
  <c r="T4" i="1"/>
  <c r="T5" i="1"/>
  <c r="T6" i="1"/>
  <c r="T7" i="1"/>
  <c r="T9" i="1"/>
  <c r="T45" i="1"/>
  <c r="G46" i="1"/>
  <c r="T46" i="1"/>
  <c r="T47" i="1"/>
  <c r="T48" i="1"/>
  <c r="T49" i="1"/>
  <c r="T50" i="1"/>
  <c r="T51" i="1"/>
  <c r="T52" i="1"/>
  <c r="T53" i="1"/>
  <c r="T54" i="1"/>
  <c r="T55" i="1"/>
  <c r="T56" i="1"/>
  <c r="T57" i="1"/>
  <c r="T58" i="1"/>
  <c r="T59" i="1"/>
  <c r="T60" i="1"/>
  <c r="T61" i="1"/>
  <c r="T62" i="1"/>
  <c r="T63" i="1"/>
  <c r="T64" i="1"/>
  <c r="T66" i="1"/>
  <c r="T67" i="1"/>
  <c r="T69" i="1"/>
  <c r="T79" i="1"/>
  <c r="T70" i="1"/>
  <c r="T71" i="1"/>
  <c r="T73" i="1"/>
  <c r="T76" i="1"/>
  <c r="T74" i="1"/>
  <c r="T77" i="1"/>
  <c r="T43" i="1"/>
  <c r="T3" i="1"/>
  <c r="U3" i="1"/>
  <c r="V3" i="1"/>
  <c r="W10" i="1"/>
  <c r="W11" i="1"/>
  <c r="W12" i="1"/>
  <c r="W13" i="1"/>
  <c r="W14" i="1"/>
  <c r="W15" i="1"/>
  <c r="W16" i="1"/>
  <c r="W17" i="1"/>
  <c r="W18" i="1"/>
  <c r="W20" i="1"/>
  <c r="W21" i="1"/>
  <c r="W22" i="1"/>
  <c r="W23" i="1"/>
  <c r="W24" i="1"/>
  <c r="W25" i="1"/>
  <c r="W26" i="1"/>
  <c r="W27" i="1"/>
  <c r="W28" i="1"/>
  <c r="W29" i="1"/>
  <c r="W30" i="1"/>
  <c r="W31" i="1"/>
  <c r="W32" i="1"/>
  <c r="W33" i="1"/>
  <c r="W34" i="1"/>
  <c r="W35" i="1"/>
  <c r="W36" i="1"/>
  <c r="W37" i="1"/>
  <c r="W38" i="1"/>
  <c r="W39" i="1"/>
  <c r="W40" i="1"/>
  <c r="W41" i="1"/>
  <c r="W42" i="1"/>
  <c r="W4" i="1"/>
  <c r="W5" i="1"/>
  <c r="W6" i="1"/>
  <c r="W7" i="1"/>
  <c r="W8" i="1"/>
  <c r="W9" i="1"/>
  <c r="W45" i="1"/>
  <c r="W46" i="1"/>
  <c r="W47" i="1"/>
  <c r="W48" i="1"/>
  <c r="W49" i="1"/>
  <c r="W50" i="1"/>
  <c r="W51" i="1"/>
  <c r="W52" i="1"/>
  <c r="W53" i="1"/>
  <c r="W54" i="1"/>
  <c r="W55" i="1"/>
  <c r="W56" i="1"/>
  <c r="W57" i="1"/>
  <c r="W58" i="1"/>
  <c r="W59" i="1"/>
  <c r="W60" i="1"/>
  <c r="W61" i="1"/>
  <c r="W62" i="1"/>
  <c r="W63" i="1"/>
  <c r="W64" i="1"/>
  <c r="W65" i="1"/>
  <c r="W66" i="1"/>
  <c r="W67" i="1"/>
  <c r="W68" i="1"/>
  <c r="W69" i="1"/>
  <c r="W79" i="1"/>
  <c r="W70" i="1"/>
  <c r="W71" i="1"/>
  <c r="W72" i="1"/>
  <c r="W73" i="1"/>
  <c r="W75" i="1"/>
  <c r="W76" i="1"/>
  <c r="W74" i="1"/>
  <c r="W78" i="1"/>
  <c r="W77" i="1"/>
  <c r="W43" i="1"/>
  <c r="W44" i="1"/>
  <c r="W3" i="1"/>
  <c r="X3" i="1"/>
  <c r="Y3" i="1"/>
  <c r="AA3" i="1"/>
  <c r="AB3" i="1"/>
  <c r="AC3" i="1"/>
  <c r="AD3" i="1"/>
  <c r="AE3" i="1"/>
  <c r="AF3" i="1"/>
  <c r="AG3" i="1"/>
  <c r="AH3" i="1"/>
  <c r="AI3" i="1"/>
  <c r="AJ3" i="1"/>
  <c r="AK3" i="1"/>
  <c r="AL10" i="1"/>
  <c r="AL11" i="1"/>
  <c r="AL12" i="1"/>
  <c r="AL13" i="1"/>
  <c r="AL14" i="1"/>
  <c r="AL15" i="1"/>
  <c r="AL16" i="1"/>
  <c r="AL18" i="1"/>
  <c r="AL21" i="1"/>
  <c r="AL22" i="1"/>
  <c r="AL23" i="1"/>
  <c r="AL25" i="1"/>
  <c r="AL26" i="1"/>
  <c r="AL27" i="1"/>
  <c r="AL29" i="1"/>
  <c r="AL30" i="1"/>
  <c r="AL31" i="1"/>
  <c r="AL32" i="1"/>
  <c r="AL33" i="1"/>
  <c r="AL34" i="1"/>
  <c r="AL35" i="1"/>
  <c r="AL36" i="1"/>
  <c r="AL37" i="1"/>
  <c r="AL38" i="1"/>
  <c r="AL39" i="1"/>
  <c r="AL40" i="1"/>
  <c r="AL41" i="1"/>
  <c r="AL42" i="1"/>
  <c r="AL4" i="1"/>
  <c r="AY4" i="1" s="1"/>
  <c r="AL5" i="1"/>
  <c r="AL6" i="1"/>
  <c r="AL7" i="1"/>
  <c r="AL8" i="1"/>
  <c r="AL9" i="1"/>
  <c r="AL45" i="1"/>
  <c r="AL46" i="1"/>
  <c r="AL47" i="1"/>
  <c r="AL48" i="1"/>
  <c r="AL49" i="1"/>
  <c r="AL50" i="1"/>
  <c r="AL51" i="1"/>
  <c r="AL52" i="1"/>
  <c r="AL53" i="1"/>
  <c r="AL54" i="1"/>
  <c r="AL55" i="1"/>
  <c r="AL56" i="1"/>
  <c r="AL57" i="1"/>
  <c r="AL59" i="1"/>
  <c r="AL60" i="1"/>
  <c r="AL61" i="1"/>
  <c r="AL62" i="1"/>
  <c r="AL63" i="1"/>
  <c r="AL64" i="1"/>
  <c r="AL65" i="1"/>
  <c r="AL66" i="1"/>
  <c r="AL67" i="1"/>
  <c r="AL68" i="1"/>
  <c r="AL69" i="1"/>
  <c r="AL79" i="1"/>
  <c r="AL70" i="1"/>
  <c r="AL71" i="1"/>
  <c r="AL73" i="1"/>
  <c r="AL75" i="1"/>
  <c r="AL76" i="1"/>
  <c r="AL74" i="1"/>
  <c r="AL78" i="1"/>
  <c r="AL77" i="1"/>
  <c r="AL43" i="1"/>
  <c r="AL44" i="1"/>
  <c r="AL3" i="1"/>
  <c r="AN3" i="1"/>
  <c r="AO3" i="1"/>
  <c r="AP3" i="1"/>
  <c r="AQ10" i="1"/>
  <c r="AQ11" i="1"/>
  <c r="AQ12" i="1"/>
  <c r="AQ13" i="1"/>
  <c r="AQ14" i="1"/>
  <c r="AQ15" i="1"/>
  <c r="AQ16" i="1"/>
  <c r="AQ17" i="1"/>
  <c r="AQ18" i="1"/>
  <c r="AQ20" i="1"/>
  <c r="AQ21" i="1"/>
  <c r="AQ22" i="1"/>
  <c r="AQ23" i="1"/>
  <c r="AQ24" i="1"/>
  <c r="AQ25" i="1"/>
  <c r="AQ26" i="1"/>
  <c r="AQ27" i="1"/>
  <c r="AQ28" i="1"/>
  <c r="AQ29" i="1"/>
  <c r="AQ30" i="1"/>
  <c r="AQ31" i="1"/>
  <c r="AQ32" i="1"/>
  <c r="AQ33" i="1"/>
  <c r="AQ34" i="1"/>
  <c r="AQ35" i="1"/>
  <c r="AQ36" i="1"/>
  <c r="AQ37" i="1"/>
  <c r="AQ38" i="1"/>
  <c r="AQ39" i="1"/>
  <c r="AQ40" i="1"/>
  <c r="AQ41" i="1"/>
  <c r="AQ42" i="1"/>
  <c r="AQ4" i="1"/>
  <c r="AQ5" i="1"/>
  <c r="AQ6" i="1"/>
  <c r="AQ7" i="1"/>
  <c r="AQ8" i="1"/>
  <c r="AQ9"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9" i="1"/>
  <c r="AQ70" i="1"/>
  <c r="AQ71" i="1"/>
  <c r="AQ72" i="1"/>
  <c r="AQ73" i="1"/>
  <c r="AQ75" i="1"/>
  <c r="AQ76" i="1"/>
  <c r="AQ74" i="1"/>
  <c r="AQ78" i="1"/>
  <c r="AQ77" i="1"/>
  <c r="AQ43" i="1"/>
  <c r="AQ44" i="1"/>
  <c r="AQ3" i="1"/>
  <c r="AR3" i="1"/>
  <c r="AS3" i="1"/>
  <c r="AT3" i="1"/>
  <c r="AU3" i="1"/>
  <c r="AV3" i="1"/>
  <c r="AW3" i="1"/>
  <c r="AX10" i="1"/>
  <c r="AX11" i="1"/>
  <c r="AX12" i="1"/>
  <c r="AX13" i="1"/>
  <c r="AX14" i="1"/>
  <c r="AX15" i="1"/>
  <c r="AX16" i="1"/>
  <c r="AX17" i="1"/>
  <c r="AX18" i="1"/>
  <c r="AX20" i="1"/>
  <c r="BA20" i="1" s="1"/>
  <c r="AX21" i="1"/>
  <c r="AX22" i="1"/>
  <c r="AX23" i="1"/>
  <c r="AX24" i="1"/>
  <c r="BA24" i="1" s="1"/>
  <c r="AX25" i="1"/>
  <c r="AX26" i="1"/>
  <c r="AX27" i="1"/>
  <c r="AX28" i="1"/>
  <c r="BA28" i="1" s="1"/>
  <c r="AX29" i="1"/>
  <c r="AX30" i="1"/>
  <c r="AX31" i="1"/>
  <c r="AX32" i="1"/>
  <c r="BA32" i="1" s="1"/>
  <c r="AX33" i="1"/>
  <c r="AX34" i="1"/>
  <c r="AX35" i="1"/>
  <c r="AX36" i="1"/>
  <c r="BA36" i="1" s="1"/>
  <c r="AX37" i="1"/>
  <c r="AX38" i="1"/>
  <c r="AX39" i="1"/>
  <c r="AX40" i="1"/>
  <c r="BA40" i="1" s="1"/>
  <c r="AX41" i="1"/>
  <c r="AX42" i="1"/>
  <c r="AX5" i="1"/>
  <c r="BA5" i="1" s="1"/>
  <c r="AX6" i="1"/>
  <c r="AX7" i="1"/>
  <c r="AX8" i="1"/>
  <c r="AX9" i="1"/>
  <c r="BA9" i="1" s="1"/>
  <c r="AX45" i="1"/>
  <c r="AX46" i="1"/>
  <c r="BA46" i="1" s="1"/>
  <c r="AX47" i="1"/>
  <c r="AX48" i="1"/>
  <c r="BA48" i="1" s="1"/>
  <c r="AX49" i="1"/>
  <c r="AX50" i="1"/>
  <c r="AX51" i="1"/>
  <c r="AX52" i="1"/>
  <c r="BA52" i="1" s="1"/>
  <c r="AX53" i="1"/>
  <c r="AX54" i="1"/>
  <c r="BA54" i="1" s="1"/>
  <c r="AX55" i="1"/>
  <c r="AX56" i="1"/>
  <c r="BA56" i="1" s="1"/>
  <c r="AX57" i="1"/>
  <c r="AX58" i="1"/>
  <c r="AX59" i="1"/>
  <c r="AX60" i="1"/>
  <c r="BA60" i="1" s="1"/>
  <c r="AX61" i="1"/>
  <c r="AX62" i="1"/>
  <c r="BA62" i="1" s="1"/>
  <c r="AX63" i="1"/>
  <c r="AX64" i="1"/>
  <c r="BA64" i="1" s="1"/>
  <c r="AX65" i="1"/>
  <c r="AX66" i="1"/>
  <c r="AX67" i="1"/>
  <c r="AX68" i="1"/>
  <c r="BA68" i="1" s="1"/>
  <c r="AX69" i="1"/>
  <c r="AX79" i="1"/>
  <c r="BA79" i="1" s="1"/>
  <c r="AX70" i="1"/>
  <c r="AX71" i="1"/>
  <c r="BA71" i="1" s="1"/>
  <c r="AX72" i="1"/>
  <c r="AX73" i="1"/>
  <c r="AX75" i="1"/>
  <c r="AX76" i="1"/>
  <c r="BA76" i="1" s="1"/>
  <c r="AX74" i="1"/>
  <c r="AX78" i="1"/>
  <c r="BA78" i="1" s="1"/>
  <c r="AX77" i="1"/>
  <c r="AX43" i="1"/>
  <c r="BA43" i="1" s="1"/>
  <c r="AX44"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5" i="1"/>
  <c r="AY6" i="1"/>
  <c r="AY7" i="1"/>
  <c r="AY8" i="1"/>
  <c r="AY9"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9" i="1"/>
  <c r="AY70" i="1"/>
  <c r="AY71" i="1"/>
  <c r="AY72" i="1"/>
  <c r="AY73" i="1"/>
  <c r="AY75" i="1"/>
  <c r="AY76" i="1"/>
  <c r="AY74" i="1"/>
  <c r="AY78" i="1"/>
  <c r="AY77" i="1"/>
  <c r="AY43" i="1"/>
  <c r="AY44" i="1"/>
  <c r="AY3" i="1"/>
  <c r="AZ10" i="1"/>
  <c r="AZ11" i="1"/>
  <c r="AZ12" i="1"/>
  <c r="AZ13" i="1"/>
  <c r="AZ14" i="1"/>
  <c r="AZ15" i="1"/>
  <c r="AZ16" i="1"/>
  <c r="AZ17" i="1"/>
  <c r="AZ18" i="1"/>
  <c r="AZ19" i="1"/>
  <c r="AZ20" i="1"/>
  <c r="AZ21" i="1"/>
  <c r="BA21" i="1" s="1"/>
  <c r="AZ22" i="1"/>
  <c r="AZ23" i="1"/>
  <c r="AZ24" i="1"/>
  <c r="AZ25" i="1"/>
  <c r="BB25" i="1" s="1"/>
  <c r="AZ26" i="1"/>
  <c r="AZ27" i="1"/>
  <c r="AZ28" i="1"/>
  <c r="AZ29" i="1"/>
  <c r="BA29" i="1" s="1"/>
  <c r="AZ30" i="1"/>
  <c r="AZ31" i="1"/>
  <c r="AZ32" i="1"/>
  <c r="AZ33" i="1"/>
  <c r="BA33" i="1" s="1"/>
  <c r="AZ34" i="1"/>
  <c r="AZ35" i="1"/>
  <c r="AZ36" i="1"/>
  <c r="AZ37" i="1"/>
  <c r="BA37" i="1" s="1"/>
  <c r="AZ38" i="1"/>
  <c r="AZ39" i="1"/>
  <c r="AZ40" i="1"/>
  <c r="AZ41" i="1"/>
  <c r="BA41" i="1" s="1"/>
  <c r="AZ42" i="1"/>
  <c r="AZ5" i="1"/>
  <c r="AZ6" i="1"/>
  <c r="BA6" i="1" s="1"/>
  <c r="AZ7" i="1"/>
  <c r="AZ8" i="1"/>
  <c r="AZ9" i="1"/>
  <c r="AZ45" i="1"/>
  <c r="BA45" i="1" s="1"/>
  <c r="AZ46" i="1"/>
  <c r="AZ47" i="1"/>
  <c r="AZ48" i="1"/>
  <c r="AZ49" i="1"/>
  <c r="BA49" i="1" s="1"/>
  <c r="AZ50" i="1"/>
  <c r="AZ51" i="1"/>
  <c r="AZ52" i="1"/>
  <c r="AZ53" i="1"/>
  <c r="BA53" i="1" s="1"/>
  <c r="AZ54" i="1"/>
  <c r="AZ55" i="1"/>
  <c r="AZ56" i="1"/>
  <c r="AZ57" i="1"/>
  <c r="BA57" i="1" s="1"/>
  <c r="AZ58" i="1"/>
  <c r="AZ59" i="1"/>
  <c r="AZ60" i="1"/>
  <c r="AZ61" i="1"/>
  <c r="BA61" i="1" s="1"/>
  <c r="AZ62" i="1"/>
  <c r="AZ63" i="1"/>
  <c r="AZ64" i="1"/>
  <c r="AZ65" i="1"/>
  <c r="BA65" i="1" s="1"/>
  <c r="AZ66" i="1"/>
  <c r="AZ67" i="1"/>
  <c r="AZ68" i="1"/>
  <c r="AZ69" i="1"/>
  <c r="BA69" i="1" s="1"/>
  <c r="AZ79" i="1"/>
  <c r="AZ70" i="1"/>
  <c r="AZ71" i="1"/>
  <c r="AZ72" i="1"/>
  <c r="BA72" i="1" s="1"/>
  <c r="AZ73" i="1"/>
  <c r="AZ75" i="1"/>
  <c r="AZ76" i="1"/>
  <c r="AZ74" i="1"/>
  <c r="BA74" i="1" s="1"/>
  <c r="AZ78" i="1"/>
  <c r="AZ77" i="1"/>
  <c r="AZ43" i="1"/>
  <c r="AZ44" i="1"/>
  <c r="BA44" i="1" s="1"/>
  <c r="BA12" i="1"/>
  <c r="BA16" i="1"/>
  <c r="BA25" i="1"/>
  <c r="BA7" i="1"/>
  <c r="BA50" i="1"/>
  <c r="BA58" i="1"/>
  <c r="BA66" i="1"/>
  <c r="BA73" i="1"/>
  <c r="BB12" i="1"/>
  <c r="BB16" i="1"/>
  <c r="BB19" i="1"/>
  <c r="BB33" i="1"/>
  <c r="BB7" i="1"/>
  <c r="BB50" i="1"/>
  <c r="BB58" i="1"/>
  <c r="BB66" i="1"/>
  <c r="BB73" i="1"/>
  <c r="F3" i="1"/>
  <c r="G13" i="1"/>
  <c r="G23" i="1"/>
  <c r="G24" i="1"/>
  <c r="G30" i="1"/>
  <c r="G37" i="1"/>
  <c r="G65" i="1"/>
  <c r="G68" i="1"/>
  <c r="G72" i="1"/>
  <c r="G75" i="1"/>
  <c r="G3" i="1"/>
  <c r="H3" i="1"/>
  <c r="I3" i="1"/>
  <c r="K2" i="1"/>
  <c r="L2" i="1"/>
  <c r="N2" i="1"/>
  <c r="O2" i="1"/>
  <c r="P2" i="1"/>
  <c r="Q2" i="1"/>
  <c r="R2" i="1"/>
  <c r="S2" i="1"/>
  <c r="U2" i="1"/>
  <c r="V2" i="1"/>
  <c r="W2" i="1"/>
  <c r="X2" i="1"/>
  <c r="Y2" i="1"/>
  <c r="AA2" i="1"/>
  <c r="AB2" i="1"/>
  <c r="AC2" i="1"/>
  <c r="AD2" i="1"/>
  <c r="AE2" i="1"/>
  <c r="AF2" i="1"/>
  <c r="AG2" i="1"/>
  <c r="AH2" i="1"/>
  <c r="AI2" i="1"/>
  <c r="AJ2" i="1"/>
  <c r="AK2" i="1"/>
  <c r="AL2" i="1"/>
  <c r="AN2" i="1"/>
  <c r="AO2" i="1"/>
  <c r="AP2" i="1"/>
  <c r="AQ2" i="1"/>
  <c r="AR2" i="1"/>
  <c r="AS2" i="1"/>
  <c r="AT2" i="1"/>
  <c r="AU2" i="1"/>
  <c r="AV2" i="1"/>
  <c r="AY2" i="1"/>
  <c r="F2" i="1"/>
  <c r="G2" i="1"/>
  <c r="H2" i="1"/>
  <c r="I2" i="1"/>
  <c r="J3" i="1"/>
  <c r="J2" i="1"/>
  <c r="S6" i="5"/>
  <c r="J6" i="5"/>
  <c r="L6" i="5"/>
  <c r="K6" i="5"/>
  <c r="S5" i="5"/>
  <c r="J5" i="5"/>
  <c r="L5" i="5"/>
  <c r="K5" i="5"/>
  <c r="G3" i="5"/>
  <c r="S3" i="5"/>
  <c r="J3" i="5"/>
  <c r="L3" i="5"/>
  <c r="K3" i="5"/>
  <c r="G2" i="5"/>
  <c r="S2" i="5"/>
  <c r="J2" i="5"/>
  <c r="L2" i="5"/>
  <c r="K2" i="5"/>
  <c r="AK2" i="3" l="1"/>
  <c r="AK3" i="3"/>
  <c r="W77" i="3"/>
  <c r="X77" i="3"/>
  <c r="Q79" i="3"/>
  <c r="R79" i="3"/>
  <c r="W78" i="3"/>
  <c r="X78" i="3"/>
  <c r="W72" i="3"/>
  <c r="X72" i="3"/>
  <c r="W69" i="3"/>
  <c r="X69" i="3"/>
  <c r="W68" i="3"/>
  <c r="X68" i="3"/>
  <c r="W65" i="3"/>
  <c r="X65" i="3"/>
  <c r="W64" i="3"/>
  <c r="X64" i="3"/>
  <c r="W61" i="3"/>
  <c r="X61" i="3"/>
  <c r="W60" i="3"/>
  <c r="X60" i="3"/>
  <c r="W57" i="3"/>
  <c r="X57" i="3"/>
  <c r="W56" i="3"/>
  <c r="X56" i="3"/>
  <c r="W53" i="3"/>
  <c r="X53" i="3"/>
  <c r="W52" i="3"/>
  <c r="X52" i="3"/>
  <c r="W49" i="3"/>
  <c r="X49" i="3"/>
  <c r="W48" i="3"/>
  <c r="X48" i="3"/>
  <c r="W45" i="3"/>
  <c r="X45" i="3"/>
  <c r="W44" i="3"/>
  <c r="X44" i="3"/>
  <c r="W41" i="3"/>
  <c r="X41" i="3"/>
  <c r="W40" i="3"/>
  <c r="X40" i="3"/>
  <c r="W37" i="3"/>
  <c r="X37" i="3"/>
  <c r="W36" i="3"/>
  <c r="X36" i="3"/>
  <c r="W33" i="3"/>
  <c r="X33" i="3"/>
  <c r="W32" i="3"/>
  <c r="X32" i="3"/>
  <c r="W29" i="3"/>
  <c r="X29" i="3"/>
  <c r="W28" i="3"/>
  <c r="X28" i="3"/>
  <c r="W25" i="3"/>
  <c r="X25" i="3"/>
  <c r="W24" i="3"/>
  <c r="X24" i="3"/>
  <c r="W21" i="3"/>
  <c r="X21" i="3"/>
  <c r="W20" i="3"/>
  <c r="X20" i="3"/>
  <c r="W17" i="3"/>
  <c r="X17" i="3"/>
  <c r="W16" i="3"/>
  <c r="X16" i="3"/>
  <c r="W13" i="3"/>
  <c r="X13" i="3"/>
  <c r="W12" i="3"/>
  <c r="X12" i="3"/>
  <c r="W9" i="3"/>
  <c r="X9" i="3"/>
  <c r="W8" i="3"/>
  <c r="X8" i="3"/>
  <c r="W5" i="3"/>
  <c r="X5" i="3"/>
  <c r="Q75" i="3"/>
  <c r="R75" i="3"/>
  <c r="V3" i="3"/>
  <c r="AE2" i="3"/>
  <c r="Q77" i="3"/>
  <c r="R77" i="3"/>
  <c r="Q78" i="3"/>
  <c r="AD78" i="3" s="1"/>
  <c r="AJ78" i="3" s="1"/>
  <c r="R78" i="3"/>
  <c r="W74" i="3"/>
  <c r="X74" i="3"/>
  <c r="W71" i="3"/>
  <c r="X71" i="3"/>
  <c r="W70" i="3"/>
  <c r="X70" i="3"/>
  <c r="W67" i="3"/>
  <c r="X67" i="3"/>
  <c r="W66" i="3"/>
  <c r="X66" i="3"/>
  <c r="W63" i="3"/>
  <c r="X63" i="3"/>
  <c r="W62" i="3"/>
  <c r="X62" i="3"/>
  <c r="W59" i="3"/>
  <c r="X59" i="3"/>
  <c r="W58" i="3"/>
  <c r="X58" i="3"/>
  <c r="W55" i="3"/>
  <c r="X55" i="3"/>
  <c r="W54" i="3"/>
  <c r="X54" i="3"/>
  <c r="W51" i="3"/>
  <c r="X51" i="3"/>
  <c r="W50" i="3"/>
  <c r="X50" i="3"/>
  <c r="W47" i="3"/>
  <c r="X47" i="3"/>
  <c r="W46" i="3"/>
  <c r="X46" i="3"/>
  <c r="W43" i="3"/>
  <c r="X43" i="3"/>
  <c r="W42" i="3"/>
  <c r="X42" i="3"/>
  <c r="W39" i="3"/>
  <c r="X39" i="3"/>
  <c r="W38" i="3"/>
  <c r="X38" i="3"/>
  <c r="W35" i="3"/>
  <c r="X35" i="3"/>
  <c r="W34" i="3"/>
  <c r="X34" i="3"/>
  <c r="W31" i="3"/>
  <c r="X31" i="3"/>
  <c r="W30" i="3"/>
  <c r="X30" i="3"/>
  <c r="W27" i="3"/>
  <c r="X27" i="3"/>
  <c r="W26" i="3"/>
  <c r="X26" i="3"/>
  <c r="W23" i="3"/>
  <c r="X23" i="3"/>
  <c r="W22" i="3"/>
  <c r="X22" i="3"/>
  <c r="W19" i="3"/>
  <c r="X19" i="3"/>
  <c r="W18" i="3"/>
  <c r="X18" i="3"/>
  <c r="W15" i="3"/>
  <c r="X15" i="3"/>
  <c r="W14" i="3"/>
  <c r="X14" i="3"/>
  <c r="W11" i="3"/>
  <c r="X11" i="3"/>
  <c r="W10" i="3"/>
  <c r="X10" i="3"/>
  <c r="W7" i="3"/>
  <c r="X7" i="3"/>
  <c r="W6" i="3"/>
  <c r="X6" i="3"/>
  <c r="R4" i="3"/>
  <c r="Q4" i="3"/>
  <c r="V2" i="3"/>
  <c r="W79" i="3"/>
  <c r="X79" i="3"/>
  <c r="Q74" i="3"/>
  <c r="R74" i="3"/>
  <c r="W76" i="3"/>
  <c r="X76" i="3"/>
  <c r="W73" i="3"/>
  <c r="X73" i="3"/>
  <c r="Q72" i="3"/>
  <c r="AD72" i="3" s="1"/>
  <c r="AJ72" i="3" s="1"/>
  <c r="R72" i="3"/>
  <c r="AF72" i="3" s="1"/>
  <c r="AL72" i="3" s="1"/>
  <c r="Q71" i="3"/>
  <c r="AD71" i="3" s="1"/>
  <c r="AJ71" i="3" s="1"/>
  <c r="R71" i="3"/>
  <c r="AF71" i="3" s="1"/>
  <c r="AL71" i="3" s="1"/>
  <c r="Q68" i="3"/>
  <c r="AD68" i="3" s="1"/>
  <c r="AJ68" i="3" s="1"/>
  <c r="R68" i="3"/>
  <c r="AF68" i="3" s="1"/>
  <c r="AL68" i="3" s="1"/>
  <c r="Q67" i="3"/>
  <c r="AD67" i="3" s="1"/>
  <c r="AJ67" i="3" s="1"/>
  <c r="R67" i="3"/>
  <c r="AF67" i="3" s="1"/>
  <c r="AL67" i="3" s="1"/>
  <c r="Q64" i="3"/>
  <c r="AD64" i="3" s="1"/>
  <c r="AJ64" i="3" s="1"/>
  <c r="R64" i="3"/>
  <c r="AF64" i="3" s="1"/>
  <c r="AL64" i="3" s="1"/>
  <c r="Q63" i="3"/>
  <c r="AD63" i="3" s="1"/>
  <c r="AJ63" i="3" s="1"/>
  <c r="R63" i="3"/>
  <c r="AF63" i="3" s="1"/>
  <c r="AL63" i="3" s="1"/>
  <c r="Q60" i="3"/>
  <c r="AD60" i="3" s="1"/>
  <c r="AJ60" i="3" s="1"/>
  <c r="R60" i="3"/>
  <c r="AF60" i="3" s="1"/>
  <c r="AL60" i="3" s="1"/>
  <c r="Q59" i="3"/>
  <c r="AD59" i="3" s="1"/>
  <c r="AJ59" i="3" s="1"/>
  <c r="R59" i="3"/>
  <c r="AF59" i="3" s="1"/>
  <c r="AL59" i="3" s="1"/>
  <c r="Q56" i="3"/>
  <c r="AD56" i="3" s="1"/>
  <c r="AJ56" i="3" s="1"/>
  <c r="R56" i="3"/>
  <c r="AF56" i="3" s="1"/>
  <c r="AL56" i="3" s="1"/>
  <c r="Q55" i="3"/>
  <c r="AD55" i="3" s="1"/>
  <c r="AJ55" i="3" s="1"/>
  <c r="R55" i="3"/>
  <c r="AF55" i="3" s="1"/>
  <c r="AL55" i="3" s="1"/>
  <c r="Q52" i="3"/>
  <c r="AD52" i="3" s="1"/>
  <c r="AJ52" i="3" s="1"/>
  <c r="R52" i="3"/>
  <c r="AF52" i="3" s="1"/>
  <c r="AL52" i="3" s="1"/>
  <c r="Q51" i="3"/>
  <c r="AD51" i="3" s="1"/>
  <c r="AJ51" i="3" s="1"/>
  <c r="R51" i="3"/>
  <c r="AF51" i="3" s="1"/>
  <c r="AL51" i="3" s="1"/>
  <c r="Q48" i="3"/>
  <c r="AD48" i="3" s="1"/>
  <c r="AJ48" i="3" s="1"/>
  <c r="R48" i="3"/>
  <c r="AF48" i="3" s="1"/>
  <c r="AL48" i="3" s="1"/>
  <c r="Q47" i="3"/>
  <c r="AD47" i="3" s="1"/>
  <c r="AJ47" i="3" s="1"/>
  <c r="R47" i="3"/>
  <c r="AF47" i="3" s="1"/>
  <c r="AL47" i="3" s="1"/>
  <c r="Q44" i="3"/>
  <c r="AD44" i="3" s="1"/>
  <c r="AJ44" i="3" s="1"/>
  <c r="R44" i="3"/>
  <c r="AF44" i="3" s="1"/>
  <c r="AL44" i="3" s="1"/>
  <c r="Q43" i="3"/>
  <c r="AD43" i="3" s="1"/>
  <c r="AJ43" i="3" s="1"/>
  <c r="R43" i="3"/>
  <c r="AF43" i="3" s="1"/>
  <c r="AL43" i="3" s="1"/>
  <c r="Q40" i="3"/>
  <c r="AD40" i="3" s="1"/>
  <c r="AJ40" i="3" s="1"/>
  <c r="R40" i="3"/>
  <c r="AF40" i="3" s="1"/>
  <c r="AL40" i="3" s="1"/>
  <c r="Q39" i="3"/>
  <c r="AD39" i="3" s="1"/>
  <c r="AJ39" i="3" s="1"/>
  <c r="R39" i="3"/>
  <c r="AF39" i="3" s="1"/>
  <c r="AL39" i="3" s="1"/>
  <c r="Q36" i="3"/>
  <c r="AD36" i="3" s="1"/>
  <c r="AJ36" i="3" s="1"/>
  <c r="R36" i="3"/>
  <c r="AF36" i="3" s="1"/>
  <c r="AL36" i="3" s="1"/>
  <c r="Q35" i="3"/>
  <c r="AD35" i="3" s="1"/>
  <c r="AJ35" i="3" s="1"/>
  <c r="R35" i="3"/>
  <c r="AF35" i="3" s="1"/>
  <c r="AL35" i="3" s="1"/>
  <c r="Q32" i="3"/>
  <c r="AD32" i="3" s="1"/>
  <c r="AJ32" i="3" s="1"/>
  <c r="R32" i="3"/>
  <c r="AF32" i="3" s="1"/>
  <c r="AL32" i="3" s="1"/>
  <c r="Q31" i="3"/>
  <c r="AD31" i="3" s="1"/>
  <c r="AJ31" i="3" s="1"/>
  <c r="R31" i="3"/>
  <c r="AF31" i="3" s="1"/>
  <c r="AL31" i="3" s="1"/>
  <c r="Q28" i="3"/>
  <c r="AD28" i="3" s="1"/>
  <c r="AJ28" i="3" s="1"/>
  <c r="R28" i="3"/>
  <c r="AF28" i="3" s="1"/>
  <c r="AL28" i="3" s="1"/>
  <c r="Q27" i="3"/>
  <c r="AD27" i="3" s="1"/>
  <c r="AJ27" i="3" s="1"/>
  <c r="R27" i="3"/>
  <c r="AF27" i="3" s="1"/>
  <c r="AL27" i="3" s="1"/>
  <c r="Q24" i="3"/>
  <c r="AD24" i="3" s="1"/>
  <c r="AJ24" i="3" s="1"/>
  <c r="R24" i="3"/>
  <c r="AF24" i="3" s="1"/>
  <c r="AL24" i="3" s="1"/>
  <c r="Q23" i="3"/>
  <c r="AD23" i="3" s="1"/>
  <c r="AJ23" i="3" s="1"/>
  <c r="R23" i="3"/>
  <c r="AF23" i="3" s="1"/>
  <c r="AL23" i="3" s="1"/>
  <c r="Q20" i="3"/>
  <c r="AD20" i="3" s="1"/>
  <c r="AJ20" i="3" s="1"/>
  <c r="R20" i="3"/>
  <c r="AF20" i="3" s="1"/>
  <c r="AL20" i="3" s="1"/>
  <c r="Q19" i="3"/>
  <c r="AD19" i="3" s="1"/>
  <c r="AJ19" i="3" s="1"/>
  <c r="R19" i="3"/>
  <c r="AF19" i="3" s="1"/>
  <c r="AL19" i="3" s="1"/>
  <c r="Q16" i="3"/>
  <c r="AD16" i="3" s="1"/>
  <c r="AJ16" i="3" s="1"/>
  <c r="R16" i="3"/>
  <c r="AF16" i="3" s="1"/>
  <c r="AL16" i="3" s="1"/>
  <c r="Q15" i="3"/>
  <c r="AD15" i="3" s="1"/>
  <c r="AJ15" i="3" s="1"/>
  <c r="R15" i="3"/>
  <c r="AF15" i="3" s="1"/>
  <c r="AL15" i="3" s="1"/>
  <c r="Q12" i="3"/>
  <c r="AD12" i="3" s="1"/>
  <c r="AJ12" i="3" s="1"/>
  <c r="R12" i="3"/>
  <c r="AF12" i="3" s="1"/>
  <c r="AL12" i="3" s="1"/>
  <c r="Q11" i="3"/>
  <c r="AD11" i="3" s="1"/>
  <c r="AJ11" i="3" s="1"/>
  <c r="R11" i="3"/>
  <c r="AF11" i="3" s="1"/>
  <c r="AL11" i="3" s="1"/>
  <c r="Q8" i="3"/>
  <c r="AD8" i="3" s="1"/>
  <c r="AJ8" i="3" s="1"/>
  <c r="R8" i="3"/>
  <c r="AF8" i="3" s="1"/>
  <c r="AL8" i="3" s="1"/>
  <c r="Q7" i="3"/>
  <c r="AD7" i="3" s="1"/>
  <c r="AJ7" i="3" s="1"/>
  <c r="R7" i="3"/>
  <c r="AF7" i="3" s="1"/>
  <c r="AL7" i="3" s="1"/>
  <c r="X4" i="3"/>
  <c r="W4" i="3"/>
  <c r="Q76" i="3"/>
  <c r="R76" i="3"/>
  <c r="AF76" i="3" s="1"/>
  <c r="AL76" i="3" s="1"/>
  <c r="Q73" i="3"/>
  <c r="AD73" i="3" s="1"/>
  <c r="AJ73" i="3" s="1"/>
  <c r="R73" i="3"/>
  <c r="AF73" i="3" s="1"/>
  <c r="AL73" i="3" s="1"/>
  <c r="Q70" i="3"/>
  <c r="AD70" i="3" s="1"/>
  <c r="AJ70" i="3" s="1"/>
  <c r="R70" i="3"/>
  <c r="Q69" i="3"/>
  <c r="R69" i="3"/>
  <c r="Q66" i="3"/>
  <c r="AD66" i="3" s="1"/>
  <c r="AJ66" i="3" s="1"/>
  <c r="R66" i="3"/>
  <c r="Q65" i="3"/>
  <c r="R65" i="3"/>
  <c r="Q62" i="3"/>
  <c r="AD62" i="3" s="1"/>
  <c r="AJ62" i="3" s="1"/>
  <c r="R62" i="3"/>
  <c r="Q61" i="3"/>
  <c r="R61" i="3"/>
  <c r="Q58" i="3"/>
  <c r="AD58" i="3" s="1"/>
  <c r="AJ58" i="3" s="1"/>
  <c r="R58" i="3"/>
  <c r="Q57" i="3"/>
  <c r="R57" i="3"/>
  <c r="Q54" i="3"/>
  <c r="AD54" i="3" s="1"/>
  <c r="AJ54" i="3" s="1"/>
  <c r="R54" i="3"/>
  <c r="Q53" i="3"/>
  <c r="R53" i="3"/>
  <c r="Q50" i="3"/>
  <c r="AD50" i="3" s="1"/>
  <c r="AJ50" i="3" s="1"/>
  <c r="R50" i="3"/>
  <c r="Q49" i="3"/>
  <c r="R49" i="3"/>
  <c r="Q46" i="3"/>
  <c r="AD46" i="3" s="1"/>
  <c r="AJ46" i="3" s="1"/>
  <c r="R46" i="3"/>
  <c r="Q45" i="3"/>
  <c r="R45" i="3"/>
  <c r="Q42" i="3"/>
  <c r="AD42" i="3" s="1"/>
  <c r="AJ42" i="3" s="1"/>
  <c r="R42" i="3"/>
  <c r="Q41" i="3"/>
  <c r="R41" i="3"/>
  <c r="Q38" i="3"/>
  <c r="AD38" i="3" s="1"/>
  <c r="AJ38" i="3" s="1"/>
  <c r="R38" i="3"/>
  <c r="Q37" i="3"/>
  <c r="R37" i="3"/>
  <c r="Q34" i="3"/>
  <c r="AD34" i="3" s="1"/>
  <c r="AJ34" i="3" s="1"/>
  <c r="R34" i="3"/>
  <c r="Q33" i="3"/>
  <c r="R33" i="3"/>
  <c r="Q30" i="3"/>
  <c r="AD30" i="3" s="1"/>
  <c r="AJ30" i="3" s="1"/>
  <c r="R30" i="3"/>
  <c r="Q29" i="3"/>
  <c r="R29" i="3"/>
  <c r="Q26" i="3"/>
  <c r="AD26" i="3" s="1"/>
  <c r="AJ26" i="3" s="1"/>
  <c r="R26" i="3"/>
  <c r="Q25" i="3"/>
  <c r="R25" i="3"/>
  <c r="Q22" i="3"/>
  <c r="AD22" i="3" s="1"/>
  <c r="AJ22" i="3" s="1"/>
  <c r="R22" i="3"/>
  <c r="Q21" i="3"/>
  <c r="R21" i="3"/>
  <c r="Q18" i="3"/>
  <c r="AD18" i="3" s="1"/>
  <c r="AJ18" i="3" s="1"/>
  <c r="R18" i="3"/>
  <c r="Q17" i="3"/>
  <c r="R17" i="3"/>
  <c r="Q14" i="3"/>
  <c r="AD14" i="3" s="1"/>
  <c r="AJ14" i="3" s="1"/>
  <c r="R14" i="3"/>
  <c r="Q13" i="3"/>
  <c r="R13" i="3"/>
  <c r="Q10" i="3"/>
  <c r="AD10" i="3" s="1"/>
  <c r="AJ10" i="3" s="1"/>
  <c r="R10" i="3"/>
  <c r="Q9" i="3"/>
  <c r="R9" i="3"/>
  <c r="Q6" i="3"/>
  <c r="AD6" i="3" s="1"/>
  <c r="AJ6" i="3" s="1"/>
  <c r="R6" i="3"/>
  <c r="Q5" i="3"/>
  <c r="R5" i="3"/>
  <c r="W75" i="3"/>
  <c r="X75" i="3"/>
  <c r="AS4" i="1"/>
  <c r="AR4" i="1"/>
  <c r="Y4" i="1"/>
  <c r="X4" i="1"/>
  <c r="AX4" i="1" s="1"/>
  <c r="AZ3" i="1"/>
  <c r="BB79" i="1"/>
  <c r="BB54" i="1"/>
  <c r="BB41" i="1"/>
  <c r="BA17" i="1"/>
  <c r="BA13" i="1"/>
  <c r="BB78" i="1"/>
  <c r="BB62" i="1"/>
  <c r="BB46" i="1"/>
  <c r="BA15" i="1"/>
  <c r="BA11" i="1"/>
  <c r="BB44" i="1"/>
  <c r="BB72" i="1"/>
  <c r="BB65" i="1"/>
  <c r="BB57" i="1"/>
  <c r="BB49" i="1"/>
  <c r="BB6" i="1"/>
  <c r="BB29" i="1"/>
  <c r="BB17" i="1"/>
  <c r="BA42" i="1"/>
  <c r="BA38" i="1"/>
  <c r="BA34" i="1"/>
  <c r="BA30" i="1"/>
  <c r="BA26" i="1"/>
  <c r="BA22" i="1"/>
  <c r="AZ2" i="1"/>
  <c r="BA77" i="1"/>
  <c r="BA75" i="1"/>
  <c r="BA70" i="1"/>
  <c r="BA67" i="1"/>
  <c r="BA63" i="1"/>
  <c r="BA59" i="1"/>
  <c r="BA55" i="1"/>
  <c r="BA51" i="1"/>
  <c r="BA47" i="1"/>
  <c r="BA8" i="1"/>
  <c r="BA39" i="1"/>
  <c r="BA35" i="1"/>
  <c r="BA31" i="1"/>
  <c r="BA27" i="1"/>
  <c r="BA23" i="1"/>
  <c r="BA18" i="1"/>
  <c r="BA14" i="1"/>
  <c r="BA10" i="1"/>
  <c r="BB74" i="1"/>
  <c r="BB69" i="1"/>
  <c r="BB61" i="1"/>
  <c r="BB53" i="1"/>
  <c r="BB45" i="1"/>
  <c r="BB37" i="1"/>
  <c r="BB21" i="1"/>
  <c r="BB13" i="1"/>
  <c r="BB40" i="1"/>
  <c r="BB36" i="1"/>
  <c r="BB32" i="1"/>
  <c r="BB28" i="1"/>
  <c r="BB24" i="1"/>
  <c r="BB20" i="1"/>
  <c r="BB43" i="1"/>
  <c r="BB76" i="1"/>
  <c r="BB71" i="1"/>
  <c r="BB68" i="1"/>
  <c r="BB64" i="1"/>
  <c r="BB60" i="1"/>
  <c r="BB56" i="1"/>
  <c r="BB52" i="1"/>
  <c r="BB48" i="1"/>
  <c r="BB9" i="1"/>
  <c r="BB5" i="1"/>
  <c r="BB39" i="1"/>
  <c r="BB35" i="1"/>
  <c r="BB31" i="1"/>
  <c r="BB27" i="1"/>
  <c r="BB23" i="1"/>
  <c r="BB15" i="1"/>
  <c r="BB11" i="1"/>
  <c r="AX3" i="1"/>
  <c r="AX2" i="1"/>
  <c r="BB77" i="1"/>
  <c r="BB75" i="1"/>
  <c r="BB70" i="1"/>
  <c r="BB67" i="1"/>
  <c r="BB63" i="1"/>
  <c r="BB59" i="1"/>
  <c r="BB55" i="1"/>
  <c r="BB51" i="1"/>
  <c r="BB47" i="1"/>
  <c r="BB8" i="1"/>
  <c r="BB42" i="1"/>
  <c r="BB38" i="1"/>
  <c r="BB34" i="1"/>
  <c r="BB30" i="1"/>
  <c r="BB26" i="1"/>
  <c r="BB22" i="1"/>
  <c r="BB18" i="1"/>
  <c r="BB14" i="1"/>
  <c r="BB10" i="1"/>
  <c r="AS2" i="2"/>
  <c r="AM2" i="2"/>
  <c r="AM3" i="2"/>
  <c r="AR55" i="2"/>
  <c r="AS3" i="2"/>
  <c r="AY55" i="2"/>
  <c r="AF78" i="3" l="1"/>
  <c r="AL78" i="3" s="1"/>
  <c r="AF5" i="3"/>
  <c r="AL5" i="3" s="1"/>
  <c r="AF9" i="3"/>
  <c r="AL9" i="3" s="1"/>
  <c r="AF13" i="3"/>
  <c r="AL13" i="3" s="1"/>
  <c r="AF17" i="3"/>
  <c r="AL17" i="3" s="1"/>
  <c r="AF21" i="3"/>
  <c r="AL21" i="3" s="1"/>
  <c r="AF25" i="3"/>
  <c r="AL25" i="3" s="1"/>
  <c r="AF29" i="3"/>
  <c r="AL29" i="3" s="1"/>
  <c r="AF33" i="3"/>
  <c r="AL33" i="3" s="1"/>
  <c r="AF37" i="3"/>
  <c r="AL37" i="3" s="1"/>
  <c r="AF41" i="3"/>
  <c r="AL41" i="3" s="1"/>
  <c r="AF45" i="3"/>
  <c r="AL45" i="3" s="1"/>
  <c r="AF49" i="3"/>
  <c r="AL49" i="3" s="1"/>
  <c r="AF53" i="3"/>
  <c r="AL53" i="3" s="1"/>
  <c r="AF57" i="3"/>
  <c r="AL57" i="3" s="1"/>
  <c r="AF61" i="3"/>
  <c r="AL61" i="3" s="1"/>
  <c r="AF65" i="3"/>
  <c r="AL65" i="3" s="1"/>
  <c r="AF69" i="3"/>
  <c r="AL69" i="3" s="1"/>
  <c r="W2" i="3"/>
  <c r="W3" i="3"/>
  <c r="AD76" i="3"/>
  <c r="AJ76" i="3" s="1"/>
  <c r="AF74" i="3"/>
  <c r="AL74" i="3" s="1"/>
  <c r="AD5" i="3"/>
  <c r="AJ5" i="3" s="1"/>
  <c r="AD9" i="3"/>
  <c r="AJ9" i="3" s="1"/>
  <c r="AD13" i="3"/>
  <c r="AJ13" i="3" s="1"/>
  <c r="AD17" i="3"/>
  <c r="AJ17" i="3" s="1"/>
  <c r="AD21" i="3"/>
  <c r="AJ21" i="3" s="1"/>
  <c r="AD25" i="3"/>
  <c r="AJ25" i="3" s="1"/>
  <c r="AD29" i="3"/>
  <c r="AJ29" i="3" s="1"/>
  <c r="AD33" i="3"/>
  <c r="AJ33" i="3" s="1"/>
  <c r="AD37" i="3"/>
  <c r="AJ37" i="3" s="1"/>
  <c r="AD41" i="3"/>
  <c r="AJ41" i="3" s="1"/>
  <c r="AD45" i="3"/>
  <c r="AJ45" i="3" s="1"/>
  <c r="AD49" i="3"/>
  <c r="AJ49" i="3" s="1"/>
  <c r="AD53" i="3"/>
  <c r="AJ53" i="3" s="1"/>
  <c r="AD57" i="3"/>
  <c r="AJ57" i="3" s="1"/>
  <c r="AD61" i="3"/>
  <c r="AJ61" i="3" s="1"/>
  <c r="AD65" i="3"/>
  <c r="AJ65" i="3" s="1"/>
  <c r="AD69" i="3"/>
  <c r="AJ69" i="3" s="1"/>
  <c r="X3" i="3"/>
  <c r="X2" i="3"/>
  <c r="AD74" i="3"/>
  <c r="AJ74" i="3" s="1"/>
  <c r="Q2" i="3"/>
  <c r="Q3" i="3"/>
  <c r="AD4" i="3"/>
  <c r="AF77" i="3"/>
  <c r="AL77" i="3" s="1"/>
  <c r="AF75" i="3"/>
  <c r="AL75" i="3" s="1"/>
  <c r="AF79" i="3"/>
  <c r="AL79" i="3" s="1"/>
  <c r="AF6" i="3"/>
  <c r="AL6" i="3" s="1"/>
  <c r="AF10" i="3"/>
  <c r="AL10" i="3" s="1"/>
  <c r="AF14" i="3"/>
  <c r="AL14" i="3" s="1"/>
  <c r="AF18" i="3"/>
  <c r="AL18" i="3" s="1"/>
  <c r="AF22" i="3"/>
  <c r="AL22" i="3" s="1"/>
  <c r="AF26" i="3"/>
  <c r="AL26" i="3" s="1"/>
  <c r="AF30" i="3"/>
  <c r="AL30" i="3" s="1"/>
  <c r="AF34" i="3"/>
  <c r="AL34" i="3" s="1"/>
  <c r="AF38" i="3"/>
  <c r="AL38" i="3" s="1"/>
  <c r="AF42" i="3"/>
  <c r="AL42" i="3" s="1"/>
  <c r="AF46" i="3"/>
  <c r="AL46" i="3" s="1"/>
  <c r="AF50" i="3"/>
  <c r="AL50" i="3" s="1"/>
  <c r="AF54" i="3"/>
  <c r="AL54" i="3" s="1"/>
  <c r="AF58" i="3"/>
  <c r="AL58" i="3" s="1"/>
  <c r="AF62" i="3"/>
  <c r="AL62" i="3" s="1"/>
  <c r="AF66" i="3"/>
  <c r="AL66" i="3" s="1"/>
  <c r="AF70" i="3"/>
  <c r="AL70" i="3" s="1"/>
  <c r="AF4" i="3"/>
  <c r="R2" i="3"/>
  <c r="R3" i="3"/>
  <c r="AD77" i="3"/>
  <c r="AJ77" i="3" s="1"/>
  <c r="AD75" i="3"/>
  <c r="AJ75" i="3" s="1"/>
  <c r="AD79" i="3"/>
  <c r="AJ79" i="3" s="1"/>
  <c r="BA4" i="1"/>
  <c r="BB4" i="1"/>
  <c r="AZ4" i="1"/>
  <c r="BA3" i="1"/>
  <c r="BA2" i="1"/>
  <c r="BB2" i="1"/>
  <c r="BB3" i="1"/>
  <c r="AY3" i="2"/>
  <c r="AY2" i="2"/>
  <c r="AX55" i="2"/>
  <c r="AR2" i="2"/>
  <c r="AR3" i="2"/>
  <c r="AT55" i="2"/>
  <c r="AN3" i="2"/>
  <c r="AN2" i="2"/>
  <c r="AM77" i="3" l="1"/>
  <c r="AP77" i="3" s="1"/>
  <c r="AO30" i="3"/>
  <c r="AR30" i="3" s="1"/>
  <c r="AJ4" i="3"/>
  <c r="AU30" i="3" s="1"/>
  <c r="AD2" i="3"/>
  <c r="AD3" i="3"/>
  <c r="AS69" i="3"/>
  <c r="AM5" i="3"/>
  <c r="AP5" i="3" s="1"/>
  <c r="AO58" i="3"/>
  <c r="AR58" i="3" s="1"/>
  <c r="AU77" i="3"/>
  <c r="AS33" i="3"/>
  <c r="AO41" i="3"/>
  <c r="AR41" i="3" s="1"/>
  <c r="AS75" i="3"/>
  <c r="AL4" i="3"/>
  <c r="AF3" i="3"/>
  <c r="AF2" i="3"/>
  <c r="AO66" i="3"/>
  <c r="AR66" i="3" s="1"/>
  <c r="AU50" i="3"/>
  <c r="AO34" i="3"/>
  <c r="AR34" i="3" s="1"/>
  <c r="AO18" i="3"/>
  <c r="AR18" i="3" s="1"/>
  <c r="AO79" i="3"/>
  <c r="AR79" i="3" s="1"/>
  <c r="AM57" i="3"/>
  <c r="AP57" i="3" s="1"/>
  <c r="AM41" i="3"/>
  <c r="AP41" i="3" s="1"/>
  <c r="AM25" i="3"/>
  <c r="AP25" i="3" s="1"/>
  <c r="AS9" i="3"/>
  <c r="AS76" i="3"/>
  <c r="AU65" i="3"/>
  <c r="AO49" i="3"/>
  <c r="AR49" i="3" s="1"/>
  <c r="AO33" i="3"/>
  <c r="AR33" i="3" s="1"/>
  <c r="AU17" i="3"/>
  <c r="AO78" i="3"/>
  <c r="AR78" i="3" s="1"/>
  <c r="AZ55" i="2"/>
  <c r="BD8" i="2" s="1"/>
  <c r="AT2" i="2"/>
  <c r="AT3" i="2"/>
  <c r="AX2" i="2"/>
  <c r="BD27" i="2"/>
  <c r="BB38" i="2"/>
  <c r="BF67" i="2"/>
  <c r="BD79" i="2"/>
  <c r="BB28" i="2"/>
  <c r="BD33" i="2"/>
  <c r="BD65" i="2"/>
  <c r="BB68" i="2"/>
  <c r="AX3" i="2"/>
  <c r="BA14" i="2"/>
  <c r="BE40" i="2"/>
  <c r="BE56" i="2"/>
  <c r="BC26" i="2"/>
  <c r="BC42" i="2"/>
  <c r="BC17" i="2"/>
  <c r="BC33" i="2"/>
  <c r="BA60" i="2"/>
  <c r="BA19" i="2"/>
  <c r="BE45" i="2"/>
  <c r="BC7" i="2"/>
  <c r="BA34" i="2"/>
  <c r="BA50" i="2"/>
  <c r="BC22" i="2"/>
  <c r="BC38" i="2"/>
  <c r="BE10" i="2"/>
  <c r="BE26" i="2"/>
  <c r="BC53" i="2"/>
  <c r="BC12" i="2"/>
  <c r="BA39" i="2"/>
  <c r="BA55" i="2"/>
  <c r="AL3" i="3" l="1"/>
  <c r="AL2" i="3"/>
  <c r="AU4" i="3"/>
  <c r="AO4" i="3"/>
  <c r="AO9" i="3"/>
  <c r="AR9" i="3" s="1"/>
  <c r="AU74" i="3"/>
  <c r="AS65" i="3"/>
  <c r="AW65" i="3" s="1"/>
  <c r="AU26" i="3"/>
  <c r="AO29" i="3"/>
  <c r="AR29" i="3" s="1"/>
  <c r="AM37" i="3"/>
  <c r="AP37" i="3" s="1"/>
  <c r="AO75" i="3"/>
  <c r="AR75" i="3" s="1"/>
  <c r="AU46" i="3"/>
  <c r="AU5" i="3"/>
  <c r="AO37" i="3"/>
  <c r="AR37" i="3" s="1"/>
  <c r="AU69" i="3"/>
  <c r="AW69" i="3" s="1"/>
  <c r="AM29" i="3"/>
  <c r="AP29" i="3" s="1"/>
  <c r="AS61" i="3"/>
  <c r="AU6" i="3"/>
  <c r="AO38" i="3"/>
  <c r="AR38" i="3" s="1"/>
  <c r="AO70" i="3"/>
  <c r="AR70" i="3" s="1"/>
  <c r="AU25" i="3"/>
  <c r="AS17" i="3"/>
  <c r="AM74" i="3"/>
  <c r="AP74" i="3" s="1"/>
  <c r="AO42" i="3"/>
  <c r="AR42" i="3" s="1"/>
  <c r="AO45" i="3"/>
  <c r="AR45" i="3" s="1"/>
  <c r="AS21" i="3"/>
  <c r="AU78" i="3"/>
  <c r="AU33" i="3"/>
  <c r="AO65" i="3"/>
  <c r="AR65" i="3" s="1"/>
  <c r="AM9" i="3"/>
  <c r="AP9" i="3" s="1"/>
  <c r="AS41" i="3"/>
  <c r="AW41" i="3" s="1"/>
  <c r="AU79" i="3"/>
  <c r="AU34" i="3"/>
  <c r="AU66" i="3"/>
  <c r="AM75" i="3"/>
  <c r="AP75" i="3" s="1"/>
  <c r="AU41" i="3"/>
  <c r="AM33" i="3"/>
  <c r="AP33" i="3" s="1"/>
  <c r="AO77" i="3"/>
  <c r="AR77" i="3" s="1"/>
  <c r="AU58" i="3"/>
  <c r="AS5" i="3"/>
  <c r="AM69" i="3"/>
  <c r="AP69" i="3" s="1"/>
  <c r="AO14" i="3"/>
  <c r="AR14" i="3" s="1"/>
  <c r="AO62" i="3"/>
  <c r="AR62" i="3" s="1"/>
  <c r="AU21" i="3"/>
  <c r="AO53" i="3"/>
  <c r="AR53" i="3" s="1"/>
  <c r="AM13" i="3"/>
  <c r="AP13" i="3" s="1"/>
  <c r="AM45" i="3"/>
  <c r="AP45" i="3" s="1"/>
  <c r="AO6" i="3"/>
  <c r="AR6" i="3" s="1"/>
  <c r="AU38" i="3"/>
  <c r="AU70" i="3"/>
  <c r="AO25" i="3"/>
  <c r="AR25" i="3" s="1"/>
  <c r="AM17" i="3"/>
  <c r="AP17" i="3" s="1"/>
  <c r="AS74" i="3"/>
  <c r="AU42" i="3"/>
  <c r="AU45" i="3"/>
  <c r="AM21" i="3"/>
  <c r="AP21" i="3" s="1"/>
  <c r="AU14" i="3"/>
  <c r="AU62" i="3"/>
  <c r="AO21" i="3"/>
  <c r="AR21" i="3" s="1"/>
  <c r="AU53" i="3"/>
  <c r="AS13" i="3"/>
  <c r="AS45" i="3"/>
  <c r="AU22" i="3"/>
  <c r="AO54" i="3"/>
  <c r="AR54" i="3" s="1"/>
  <c r="AS79" i="3"/>
  <c r="AO57" i="3"/>
  <c r="AR57" i="3" s="1"/>
  <c r="AM49" i="3"/>
  <c r="AP49" i="3" s="1"/>
  <c r="AO10" i="3"/>
  <c r="AR10" i="3" s="1"/>
  <c r="AU13" i="3"/>
  <c r="AO61" i="3"/>
  <c r="AR61" i="3" s="1"/>
  <c r="AM53" i="3"/>
  <c r="AP53" i="3" s="1"/>
  <c r="AO17" i="3"/>
  <c r="AR17" i="3" s="1"/>
  <c r="AU49" i="3"/>
  <c r="AM76" i="3"/>
  <c r="AP76" i="3" s="1"/>
  <c r="AS25" i="3"/>
  <c r="AW25" i="3" s="1"/>
  <c r="AS57" i="3"/>
  <c r="AU18" i="3"/>
  <c r="AO50" i="3"/>
  <c r="AR50" i="3" s="1"/>
  <c r="AU9" i="3"/>
  <c r="AO74" i="3"/>
  <c r="AR74" i="3" s="1"/>
  <c r="AM65" i="3"/>
  <c r="AP65" i="3" s="1"/>
  <c r="AO26" i="3"/>
  <c r="AR26" i="3" s="1"/>
  <c r="AU29" i="3"/>
  <c r="AS37" i="3"/>
  <c r="AU75" i="3"/>
  <c r="AO46" i="3"/>
  <c r="AR46" i="3" s="1"/>
  <c r="AO5" i="3"/>
  <c r="AR5" i="3" s="1"/>
  <c r="AU37" i="3"/>
  <c r="AO69" i="3"/>
  <c r="AR69" i="3" s="1"/>
  <c r="AS29" i="3"/>
  <c r="AM61" i="3"/>
  <c r="AP61" i="3" s="1"/>
  <c r="AR80" i="3"/>
  <c r="AN66" i="3"/>
  <c r="AQ66" i="3" s="1"/>
  <c r="AN67" i="3"/>
  <c r="AQ67" i="3" s="1"/>
  <c r="AT11" i="3"/>
  <c r="AM32" i="3"/>
  <c r="AP32" i="3" s="1"/>
  <c r="AT50" i="3"/>
  <c r="AT4" i="3"/>
  <c r="AN57" i="3"/>
  <c r="AQ57" i="3" s="1"/>
  <c r="AS4" i="3"/>
  <c r="AN18" i="3"/>
  <c r="AQ18" i="3" s="1"/>
  <c r="AT65" i="3"/>
  <c r="AT73" i="3"/>
  <c r="AN9" i="3"/>
  <c r="AQ9" i="3" s="1"/>
  <c r="AO11" i="3"/>
  <c r="AR11" i="3" s="1"/>
  <c r="AN17" i="3"/>
  <c r="AQ17" i="3" s="1"/>
  <c r="AO19" i="3"/>
  <c r="AR19" i="3" s="1"/>
  <c r="AN25" i="3"/>
  <c r="AQ25" i="3" s="1"/>
  <c r="AO27" i="3"/>
  <c r="AR27" i="3" s="1"/>
  <c r="AN33" i="3"/>
  <c r="AQ33" i="3" s="1"/>
  <c r="AO35" i="3"/>
  <c r="AR35" i="3" s="1"/>
  <c r="AN41" i="3"/>
  <c r="AQ41" i="3" s="1"/>
  <c r="AO43" i="3"/>
  <c r="AR43" i="3" s="1"/>
  <c r="AN6" i="3"/>
  <c r="AQ6" i="3" s="1"/>
  <c r="AN14" i="3"/>
  <c r="AQ14" i="3" s="1"/>
  <c r="AN22" i="3"/>
  <c r="AQ22" i="3" s="1"/>
  <c r="AN30" i="3"/>
  <c r="AQ30" i="3" s="1"/>
  <c r="AN38" i="3"/>
  <c r="AQ38" i="3" s="1"/>
  <c r="AN46" i="3"/>
  <c r="AQ46" i="3" s="1"/>
  <c r="AM8" i="3"/>
  <c r="AP8" i="3" s="1"/>
  <c r="AT19" i="3"/>
  <c r="AM24" i="3"/>
  <c r="AP24" i="3" s="1"/>
  <c r="AT35" i="3"/>
  <c r="AM40" i="3"/>
  <c r="AP40" i="3" s="1"/>
  <c r="AN65" i="3"/>
  <c r="AQ65" i="3" s="1"/>
  <c r="AM16" i="3"/>
  <c r="AP16" i="3" s="1"/>
  <c r="AS64" i="3"/>
  <c r="AW64" i="3" s="1"/>
  <c r="AT72" i="3"/>
  <c r="AN75" i="3"/>
  <c r="AQ75" i="3" s="1"/>
  <c r="AN49" i="3"/>
  <c r="AQ49" i="3" s="1"/>
  <c r="AO59" i="3"/>
  <c r="AR59" i="3" s="1"/>
  <c r="AT57" i="3"/>
  <c r="AU67" i="3"/>
  <c r="AN35" i="3"/>
  <c r="AQ35" i="3" s="1"/>
  <c r="AN64" i="3"/>
  <c r="AQ64" i="3" s="1"/>
  <c r="AT44" i="3"/>
  <c r="AT9" i="3"/>
  <c r="AW9" i="3" s="1"/>
  <c r="AU11" i="3"/>
  <c r="AT17" i="3"/>
  <c r="AU19" i="3"/>
  <c r="AT25" i="3"/>
  <c r="AU27" i="3"/>
  <c r="AT33" i="3"/>
  <c r="AW33" i="3" s="1"/>
  <c r="AU35" i="3"/>
  <c r="AT41" i="3"/>
  <c r="AU43" i="3"/>
  <c r="AT8" i="3"/>
  <c r="AM12" i="3"/>
  <c r="AP12" i="3" s="1"/>
  <c r="AT16" i="3"/>
  <c r="AM20" i="3"/>
  <c r="AP20" i="3" s="1"/>
  <c r="AT24" i="3"/>
  <c r="AM28" i="3"/>
  <c r="AP28" i="3" s="1"/>
  <c r="AT32" i="3"/>
  <c r="AM36" i="3"/>
  <c r="AP36" i="3" s="1"/>
  <c r="AT40" i="3"/>
  <c r="AM44" i="3"/>
  <c r="AP44" i="3" s="1"/>
  <c r="AT48" i="3"/>
  <c r="AT20" i="3"/>
  <c r="AS56" i="3"/>
  <c r="AU76" i="3"/>
  <c r="AT28" i="3"/>
  <c r="AM63" i="3"/>
  <c r="AP63" i="3" s="1"/>
  <c r="AT49" i="3"/>
  <c r="AS70" i="3"/>
  <c r="AN19" i="3"/>
  <c r="AQ19" i="3" s="1"/>
  <c r="AN56" i="3"/>
  <c r="AQ56" i="3" s="1"/>
  <c r="AT75" i="3"/>
  <c r="AW75" i="3" s="1"/>
  <c r="AN16" i="3"/>
  <c r="AQ16" i="3" s="1"/>
  <c r="AN32" i="3"/>
  <c r="AQ32" i="3" s="1"/>
  <c r="AN15" i="3"/>
  <c r="AQ15" i="3" s="1"/>
  <c r="AN31" i="3"/>
  <c r="AQ31" i="3" s="1"/>
  <c r="AN47" i="3"/>
  <c r="AQ47" i="3" s="1"/>
  <c r="AN10" i="3"/>
  <c r="AQ10" i="3" s="1"/>
  <c r="AM50" i="3"/>
  <c r="AP50" i="3" s="1"/>
  <c r="AS52" i="3"/>
  <c r="AW52" i="3" s="1"/>
  <c r="AT54" i="3"/>
  <c r="AM58" i="3"/>
  <c r="AP58" i="3" s="1"/>
  <c r="AS60" i="3"/>
  <c r="AT62" i="3"/>
  <c r="AM66" i="3"/>
  <c r="AP66" i="3" s="1"/>
  <c r="AS68" i="3"/>
  <c r="AT79" i="3"/>
  <c r="AT13" i="3"/>
  <c r="AM18" i="3"/>
  <c r="AP18" i="3" s="1"/>
  <c r="AT29" i="3"/>
  <c r="AM34" i="3"/>
  <c r="AP34" i="3" s="1"/>
  <c r="AT45" i="3"/>
  <c r="AT51" i="3"/>
  <c r="AT59" i="3"/>
  <c r="AT67" i="3"/>
  <c r="AS72" i="3"/>
  <c r="AT76" i="3"/>
  <c r="AW76" i="3" s="1"/>
  <c r="AJ3" i="3"/>
  <c r="AM68" i="3"/>
  <c r="AP68" i="3" s="1"/>
  <c r="AT63" i="3"/>
  <c r="AM52" i="3"/>
  <c r="AP52" i="3" s="1"/>
  <c r="AO47" i="3"/>
  <c r="AR47" i="3" s="1"/>
  <c r="AT38" i="3"/>
  <c r="AM26" i="3"/>
  <c r="AP26" i="3" s="1"/>
  <c r="AO15" i="3"/>
  <c r="AR15" i="3" s="1"/>
  <c r="AT6" i="3"/>
  <c r="AN77" i="3"/>
  <c r="AQ77" i="3" s="1"/>
  <c r="AN62" i="3"/>
  <c r="AQ62" i="3" s="1"/>
  <c r="AN44" i="3"/>
  <c r="AQ44" i="3" s="1"/>
  <c r="AS35" i="3"/>
  <c r="AN12" i="3"/>
  <c r="AQ12" i="3" s="1"/>
  <c r="AN71" i="3"/>
  <c r="AQ71" i="3" s="1"/>
  <c r="AT27" i="3"/>
  <c r="AT58" i="3"/>
  <c r="AU51" i="3"/>
  <c r="AU71" i="3"/>
  <c r="AS26" i="3"/>
  <c r="AN78" i="3"/>
  <c r="AQ78" i="3" s="1"/>
  <c r="AM6" i="3"/>
  <c r="AP6" i="3" s="1"/>
  <c r="AT10" i="3"/>
  <c r="AS16" i="3"/>
  <c r="AM22" i="3"/>
  <c r="AP22" i="3" s="1"/>
  <c r="AT26" i="3"/>
  <c r="AS32" i="3"/>
  <c r="AW32" i="3" s="1"/>
  <c r="AM38" i="3"/>
  <c r="AP38" i="3" s="1"/>
  <c r="AT42" i="3"/>
  <c r="AT15" i="3"/>
  <c r="AT31" i="3"/>
  <c r="AT47" i="3"/>
  <c r="AN11" i="3"/>
  <c r="AQ11" i="3" s="1"/>
  <c r="AS34" i="3"/>
  <c r="AM51" i="3"/>
  <c r="AP51" i="3" s="1"/>
  <c r="AN53" i="3"/>
  <c r="AQ53" i="3" s="1"/>
  <c r="AO55" i="3"/>
  <c r="AR55" i="3" s="1"/>
  <c r="AM59" i="3"/>
  <c r="AP59" i="3" s="1"/>
  <c r="AN61" i="3"/>
  <c r="AQ61" i="3" s="1"/>
  <c r="AO63" i="3"/>
  <c r="AR63" i="3" s="1"/>
  <c r="AM67" i="3"/>
  <c r="AP67" i="3" s="1"/>
  <c r="AN69" i="3"/>
  <c r="AQ69" i="3" s="1"/>
  <c r="AO7" i="3"/>
  <c r="AR7" i="3" s="1"/>
  <c r="AT14" i="3"/>
  <c r="AM19" i="3"/>
  <c r="AP19" i="3" s="1"/>
  <c r="AO23" i="3"/>
  <c r="AR23" i="3" s="1"/>
  <c r="AT30" i="3"/>
  <c r="AM35" i="3"/>
  <c r="AP35" i="3" s="1"/>
  <c r="AO39" i="3"/>
  <c r="AR39" i="3" s="1"/>
  <c r="AT46" i="3"/>
  <c r="AN50" i="3"/>
  <c r="AQ50" i="3" s="1"/>
  <c r="AN58" i="3"/>
  <c r="AQ58" i="3" s="1"/>
  <c r="AN73" i="3"/>
  <c r="AQ73" i="3" s="1"/>
  <c r="AN70" i="3"/>
  <c r="AQ70" i="3" s="1"/>
  <c r="AS62" i="3"/>
  <c r="AW62" i="3" s="1"/>
  <c r="AN55" i="3"/>
  <c r="AQ55" i="3" s="1"/>
  <c r="AU47" i="3"/>
  <c r="AT12" i="3"/>
  <c r="AN74" i="3"/>
  <c r="AQ74" i="3" s="1"/>
  <c r="AS63" i="3"/>
  <c r="AM14" i="3"/>
  <c r="AP14" i="3" s="1"/>
  <c r="AS24" i="3"/>
  <c r="AT34" i="3"/>
  <c r="AM46" i="3"/>
  <c r="AP46" i="3" s="1"/>
  <c r="AT23" i="3"/>
  <c r="AS18" i="3"/>
  <c r="AU48" i="3"/>
  <c r="AN60" i="3"/>
  <c r="AQ60" i="3" s="1"/>
  <c r="AU64" i="3"/>
  <c r="AS12" i="3"/>
  <c r="AN21" i="3"/>
  <c r="AQ21" i="3" s="1"/>
  <c r="AS44" i="3"/>
  <c r="AN51" i="3"/>
  <c r="AQ51" i="3" s="1"/>
  <c r="AM72" i="3"/>
  <c r="AP72" i="3" s="1"/>
  <c r="AM78" i="3"/>
  <c r="AP78" i="3" s="1"/>
  <c r="AU40" i="3"/>
  <c r="AU23" i="3"/>
  <c r="AM11" i="3"/>
  <c r="AP11" i="3" s="1"/>
  <c r="AT77" i="3"/>
  <c r="AN72" i="3"/>
  <c r="AQ72" i="3" s="1"/>
  <c r="AU39" i="3"/>
  <c r="AM27" i="3"/>
  <c r="AP27" i="3" s="1"/>
  <c r="AM10" i="3"/>
  <c r="AP10" i="3" s="1"/>
  <c r="AT66" i="3"/>
  <c r="AO51" i="3"/>
  <c r="AR51" i="3" s="1"/>
  <c r="AN8" i="3"/>
  <c r="AQ8" i="3" s="1"/>
  <c r="AU28" i="3"/>
  <c r="AN40" i="3"/>
  <c r="AQ40" i="3" s="1"/>
  <c r="AN7" i="3"/>
  <c r="AQ7" i="3" s="1"/>
  <c r="AN39" i="3"/>
  <c r="AQ39" i="3" s="1"/>
  <c r="AN26" i="3"/>
  <c r="AQ26" i="3" s="1"/>
  <c r="AN42" i="3"/>
  <c r="AQ42" i="3" s="1"/>
  <c r="AS51" i="3"/>
  <c r="AU55" i="3"/>
  <c r="AT61" i="3"/>
  <c r="AS67" i="3"/>
  <c r="AU15" i="3"/>
  <c r="AS27" i="3"/>
  <c r="AW27" i="3" s="1"/>
  <c r="AN36" i="3"/>
  <c r="AQ36" i="3" s="1"/>
  <c r="AS47" i="3"/>
  <c r="AW47" i="3" s="1"/>
  <c r="AT52" i="3"/>
  <c r="AS58" i="3"/>
  <c r="AM64" i="3"/>
  <c r="AP64" i="3" s="1"/>
  <c r="AT68" i="3"/>
  <c r="AS73" i="3"/>
  <c r="AN4" i="3"/>
  <c r="AO73" i="3"/>
  <c r="AR73" i="3" s="1"/>
  <c r="AN54" i="3"/>
  <c r="AQ54" i="3" s="1"/>
  <c r="AS48" i="3"/>
  <c r="AS36" i="3"/>
  <c r="AW36" i="3" s="1"/>
  <c r="AT21" i="3"/>
  <c r="AU8" i="3"/>
  <c r="AT70" i="3"/>
  <c r="AN63" i="3"/>
  <c r="AQ63" i="3" s="1"/>
  <c r="AT56" i="3"/>
  <c r="AM48" i="3"/>
  <c r="AP48" i="3" s="1"/>
  <c r="AT37" i="3"/>
  <c r="AT22" i="3"/>
  <c r="AU7" i="3"/>
  <c r="AS71" i="3"/>
  <c r="AM73" i="3"/>
  <c r="AP73" i="3" s="1"/>
  <c r="AN24" i="3"/>
  <c r="AQ24" i="3" s="1"/>
  <c r="AN48" i="3"/>
  <c r="AQ48" i="3" s="1"/>
  <c r="AS59" i="3"/>
  <c r="AT69" i="3"/>
  <c r="AU31" i="3"/>
  <c r="AS50" i="3"/>
  <c r="AW50" i="3" s="1"/>
  <c r="AT60" i="3"/>
  <c r="AT78" i="3"/>
  <c r="AN28" i="3"/>
  <c r="AQ28" i="3" s="1"/>
  <c r="AM60" i="3"/>
  <c r="AP60" i="3" s="1"/>
  <c r="AM42" i="3"/>
  <c r="AP42" i="3" s="1"/>
  <c r="AM55" i="3"/>
  <c r="AP55" i="3" s="1"/>
  <c r="AN34" i="3"/>
  <c r="AQ34" i="3" s="1"/>
  <c r="AM4" i="3"/>
  <c r="AU68" i="3"/>
  <c r="AS8" i="3"/>
  <c r="AT18" i="3"/>
  <c r="AM30" i="3"/>
  <c r="AP30" i="3" s="1"/>
  <c r="AS40" i="3"/>
  <c r="AT7" i="3"/>
  <c r="AT39" i="3"/>
  <c r="AN27" i="3"/>
  <c r="AQ27" i="3" s="1"/>
  <c r="AN43" i="3"/>
  <c r="AQ43" i="3" s="1"/>
  <c r="AN52" i="3"/>
  <c r="AQ52" i="3" s="1"/>
  <c r="AU56" i="3"/>
  <c r="AN68" i="3"/>
  <c r="AQ68" i="3" s="1"/>
  <c r="AN5" i="3"/>
  <c r="AQ5" i="3" s="1"/>
  <c r="AU16" i="3"/>
  <c r="AS28" i="3"/>
  <c r="AN37" i="3"/>
  <c r="AQ37" i="3" s="1"/>
  <c r="AN59" i="3"/>
  <c r="AQ59" i="3" s="1"/>
  <c r="AN76" i="3"/>
  <c r="AQ76" i="3" s="1"/>
  <c r="AJ2" i="3"/>
  <c r="AT71" i="3"/>
  <c r="AT64" i="3"/>
  <c r="AN45" i="3"/>
  <c r="AQ45" i="3" s="1"/>
  <c r="AS19" i="3"/>
  <c r="AW19" i="3" s="1"/>
  <c r="AT55" i="3"/>
  <c r="AO31" i="3"/>
  <c r="AR31" i="3" s="1"/>
  <c r="AS20" i="3"/>
  <c r="AT5" i="3"/>
  <c r="AT43" i="3"/>
  <c r="AU59" i="3"/>
  <c r="AS42" i="3"/>
  <c r="AU12" i="3"/>
  <c r="AU44" i="3"/>
  <c r="AN23" i="3"/>
  <c r="AQ23" i="3" s="1"/>
  <c r="AT36" i="3"/>
  <c r="AT53" i="3"/>
  <c r="AU63" i="3"/>
  <c r="AS11" i="3"/>
  <c r="AN20" i="3"/>
  <c r="AQ20" i="3" s="1"/>
  <c r="AS43" i="3"/>
  <c r="AM56" i="3"/>
  <c r="AP56" i="3" s="1"/>
  <c r="AS66" i="3"/>
  <c r="AT74" i="3"/>
  <c r="AN79" i="3"/>
  <c r="AQ79" i="3" s="1"/>
  <c r="AM43" i="3"/>
  <c r="AP43" i="3" s="1"/>
  <c r="AN13" i="3"/>
  <c r="AQ13" i="3" s="1"/>
  <c r="AO76" i="3"/>
  <c r="AR76" i="3" s="1"/>
  <c r="AS54" i="3"/>
  <c r="AW54" i="3" s="1"/>
  <c r="AN29" i="3"/>
  <c r="AQ29" i="3" s="1"/>
  <c r="AO20" i="3"/>
  <c r="AR20" i="3" s="1"/>
  <c r="AO28" i="3"/>
  <c r="AR28" i="3" s="1"/>
  <c r="AO40" i="3"/>
  <c r="AR40" i="3" s="1"/>
  <c r="AO52" i="3"/>
  <c r="AR52" i="3" s="1"/>
  <c r="AO64" i="3"/>
  <c r="AR64" i="3" s="1"/>
  <c r="AS78" i="3"/>
  <c r="AS14" i="3"/>
  <c r="AW14" i="3" s="1"/>
  <c r="AS46" i="3"/>
  <c r="AW46" i="3" s="1"/>
  <c r="AS15" i="3"/>
  <c r="AS31" i="3"/>
  <c r="AS55" i="3"/>
  <c r="AU73" i="3"/>
  <c r="AO12" i="3"/>
  <c r="AR12" i="3" s="1"/>
  <c r="AO36" i="3"/>
  <c r="AR36" i="3" s="1"/>
  <c r="AU60" i="3"/>
  <c r="AS6" i="3"/>
  <c r="AW6" i="3" s="1"/>
  <c r="AM62" i="3"/>
  <c r="AP62" i="3" s="1"/>
  <c r="AS23" i="3"/>
  <c r="AW23" i="3" s="1"/>
  <c r="AO16" i="3"/>
  <c r="AR16" i="3" s="1"/>
  <c r="AU24" i="3"/>
  <c r="AU36" i="3"/>
  <c r="AU52" i="3"/>
  <c r="AO60" i="3"/>
  <c r="AR60" i="3" s="1"/>
  <c r="AS10" i="3"/>
  <c r="AW10" i="3" s="1"/>
  <c r="AS38" i="3"/>
  <c r="AM15" i="3"/>
  <c r="AP15" i="3" s="1"/>
  <c r="AM47" i="3"/>
  <c r="AP47" i="3" s="1"/>
  <c r="AO8" i="3"/>
  <c r="AR8" i="3" s="1"/>
  <c r="AU20" i="3"/>
  <c r="AO32" i="3"/>
  <c r="AR32" i="3" s="1"/>
  <c r="AO44" i="3"/>
  <c r="AR44" i="3" s="1"/>
  <c r="AO56" i="3"/>
  <c r="AR56" i="3" s="1"/>
  <c r="AO68" i="3"/>
  <c r="AR68" i="3" s="1"/>
  <c r="AU32" i="3"/>
  <c r="AS22" i="3"/>
  <c r="AM54" i="3"/>
  <c r="AP54" i="3" s="1"/>
  <c r="AM7" i="3"/>
  <c r="AP7" i="3" s="1"/>
  <c r="AM23" i="3"/>
  <c r="AP23" i="3" s="1"/>
  <c r="AM39" i="3"/>
  <c r="AP39" i="3" s="1"/>
  <c r="AM71" i="3"/>
  <c r="AP71" i="3" s="1"/>
  <c r="AO24" i="3"/>
  <c r="AR24" i="3" s="1"/>
  <c r="AO48" i="3"/>
  <c r="AR48" i="3" s="1"/>
  <c r="AO72" i="3"/>
  <c r="AR72" i="3" s="1"/>
  <c r="AS30" i="3"/>
  <c r="AW30" i="3" s="1"/>
  <c r="AS7" i="3"/>
  <c r="AS39" i="3"/>
  <c r="AO67" i="3"/>
  <c r="AR67" i="3" s="1"/>
  <c r="AU72" i="3"/>
  <c r="AM70" i="3"/>
  <c r="AP70" i="3" s="1"/>
  <c r="AM31" i="3"/>
  <c r="AP31" i="3" s="1"/>
  <c r="AO71" i="3"/>
  <c r="AR71" i="3" s="1"/>
  <c r="AO22" i="3"/>
  <c r="AR22" i="3" s="1"/>
  <c r="AU54" i="3"/>
  <c r="AM79" i="3"/>
  <c r="AP79" i="3" s="1"/>
  <c r="AU57" i="3"/>
  <c r="AS49" i="3"/>
  <c r="AW49" i="3" s="1"/>
  <c r="AU10" i="3"/>
  <c r="AO13" i="3"/>
  <c r="AR13" i="3" s="1"/>
  <c r="AU61" i="3"/>
  <c r="AS53" i="3"/>
  <c r="AW53" i="3" s="1"/>
  <c r="AS77" i="3"/>
  <c r="BE33" i="2"/>
  <c r="BA48" i="2"/>
  <c r="BC5" i="2"/>
  <c r="BA17" i="2"/>
  <c r="BE28" i="2"/>
  <c r="BC40" i="2"/>
  <c r="BE54" i="2"/>
  <c r="BA12" i="2"/>
  <c r="BA21" i="2"/>
  <c r="BC35" i="2"/>
  <c r="BF78" i="2"/>
  <c r="BF54" i="2"/>
  <c r="BB12" i="2"/>
  <c r="BD59" i="2"/>
  <c r="BA59" i="2"/>
  <c r="BE17" i="2"/>
  <c r="BA32" i="2"/>
  <c r="BE43" i="2"/>
  <c r="BA58" i="2"/>
  <c r="BE12" i="2"/>
  <c r="BC24" i="2"/>
  <c r="BE38" i="2"/>
  <c r="BE47" i="2"/>
  <c r="BA5" i="2"/>
  <c r="BC19" i="2"/>
  <c r="BB76" i="2"/>
  <c r="BD49" i="2"/>
  <c r="BD78" i="2"/>
  <c r="BB54" i="2"/>
  <c r="BE49" i="2"/>
  <c r="BC28" i="2"/>
  <c r="BA7" i="2"/>
  <c r="BE42" i="2"/>
  <c r="BC21" i="2"/>
  <c r="BC54" i="2"/>
  <c r="BA33" i="2"/>
  <c r="BE11" i="2"/>
  <c r="BE44" i="2"/>
  <c r="BC23" i="2"/>
  <c r="BC56" i="2"/>
  <c r="BA35" i="2"/>
  <c r="BE13" i="2"/>
  <c r="BC49" i="2"/>
  <c r="BA28" i="2"/>
  <c r="BE6" i="2"/>
  <c r="BA37" i="2"/>
  <c r="BE15" i="2"/>
  <c r="BC51" i="2"/>
  <c r="BA30" i="2"/>
  <c r="BE8" i="2"/>
  <c r="BD72" i="2"/>
  <c r="BF62" i="2"/>
  <c r="BB44" i="2"/>
  <c r="BF22" i="2"/>
  <c r="BF75" i="2"/>
  <c r="BB65" i="2"/>
  <c r="BF48" i="2"/>
  <c r="BC44" i="2"/>
  <c r="BA23" i="2"/>
  <c r="BE58" i="2"/>
  <c r="BC37" i="2"/>
  <c r="BA16" i="2"/>
  <c r="BA49" i="2"/>
  <c r="BE27" i="2"/>
  <c r="BC6" i="2"/>
  <c r="BC39" i="2"/>
  <c r="BA18" i="2"/>
  <c r="BA51" i="2"/>
  <c r="BE29" i="2"/>
  <c r="BC8" i="2"/>
  <c r="BA44" i="2"/>
  <c r="BE22" i="2"/>
  <c r="BA53" i="2"/>
  <c r="BE31" i="2"/>
  <c r="BC10" i="2"/>
  <c r="BA46" i="2"/>
  <c r="BE24" i="2"/>
  <c r="BF79" i="2"/>
  <c r="BF59" i="2"/>
  <c r="BF38" i="2"/>
  <c r="BD17" i="2"/>
  <c r="BB72" i="2"/>
  <c r="BD62" i="2"/>
  <c r="BD43" i="2"/>
  <c r="BF16" i="2"/>
  <c r="BA4" i="2"/>
  <c r="BD75" i="2"/>
  <c r="BB79" i="2"/>
  <c r="BF64" i="2"/>
  <c r="BF58" i="2"/>
  <c r="BB48" i="2"/>
  <c r="BD37" i="2"/>
  <c r="BF26" i="2"/>
  <c r="BB16" i="2"/>
  <c r="BB77" i="2"/>
  <c r="BF72" i="2"/>
  <c r="BD68" i="2"/>
  <c r="BB63" i="2"/>
  <c r="BD55" i="2"/>
  <c r="BF44" i="2"/>
  <c r="BB34" i="2"/>
  <c r="BD23" i="2"/>
  <c r="BF12" i="2"/>
  <c r="BB4" i="2"/>
  <c r="BA78" i="2"/>
  <c r="BC75" i="2"/>
  <c r="BE71" i="2"/>
  <c r="BA79" i="2"/>
  <c r="BC67" i="2"/>
  <c r="BE64" i="2"/>
  <c r="BA62" i="2"/>
  <c r="BD58" i="2"/>
  <c r="BF51" i="2"/>
  <c r="BD46" i="2"/>
  <c r="BB41" i="2"/>
  <c r="BF35" i="2"/>
  <c r="BD30" i="2"/>
  <c r="BB25" i="2"/>
  <c r="BF19" i="2"/>
  <c r="BD14" i="2"/>
  <c r="BB9" i="2"/>
  <c r="BF8" i="2"/>
  <c r="BE77" i="2"/>
  <c r="BA74" i="2"/>
  <c r="BC73" i="2"/>
  <c r="BE70" i="2"/>
  <c r="BA69" i="2"/>
  <c r="BC66" i="2"/>
  <c r="BE63" i="2"/>
  <c r="BA61" i="2"/>
  <c r="BD56" i="2"/>
  <c r="BF49" i="2"/>
  <c r="BD44" i="2"/>
  <c r="BB39" i="2"/>
  <c r="BF33" i="2"/>
  <c r="BD28" i="2"/>
  <c r="BB23" i="2"/>
  <c r="BF17" i="2"/>
  <c r="BD12" i="2"/>
  <c r="BB7" i="2"/>
  <c r="BE57" i="2"/>
  <c r="BA47" i="2"/>
  <c r="BC36" i="2"/>
  <c r="BE25" i="2"/>
  <c r="BA15" i="2"/>
  <c r="BD5" i="2"/>
  <c r="BE50" i="2"/>
  <c r="BA40" i="2"/>
  <c r="BC29" i="2"/>
  <c r="BE18" i="2"/>
  <c r="BA8" i="2"/>
  <c r="BE51" i="2"/>
  <c r="BA41" i="2"/>
  <c r="BC30" i="2"/>
  <c r="BE19" i="2"/>
  <c r="BA9" i="2"/>
  <c r="BE52" i="2"/>
  <c r="BA42" i="2"/>
  <c r="BC31" i="2"/>
  <c r="BE20" i="2"/>
  <c r="BA10" i="2"/>
  <c r="BE53" i="2"/>
  <c r="BA43" i="2"/>
  <c r="BC32" i="2"/>
  <c r="BE21" i="2"/>
  <c r="BA11" i="2"/>
  <c r="BC57" i="2"/>
  <c r="BE46" i="2"/>
  <c r="BA36" i="2"/>
  <c r="BC25" i="2"/>
  <c r="BE14" i="2"/>
  <c r="BC58" i="2"/>
  <c r="BA45" i="2"/>
  <c r="BC34" i="2"/>
  <c r="BE23" i="2"/>
  <c r="BA13" i="2"/>
  <c r="BC59" i="2"/>
  <c r="BE48" i="2"/>
  <c r="BA38" i="2"/>
  <c r="BC27" i="2"/>
  <c r="BE16" i="2"/>
  <c r="BA6" i="2"/>
  <c r="BD74" i="2"/>
  <c r="BB71" i="2"/>
  <c r="BF66" i="2"/>
  <c r="BD61" i="2"/>
  <c r="BB52" i="2"/>
  <c r="BD41" i="2"/>
  <c r="BF30" i="2"/>
  <c r="BB20" i="2"/>
  <c r="BF77" i="2"/>
  <c r="BD73" i="2"/>
  <c r="BB69" i="2"/>
  <c r="BF63" i="2"/>
  <c r="BF56" i="2"/>
  <c r="BB46" i="2"/>
  <c r="BD35" i="2"/>
  <c r="BF24" i="2"/>
  <c r="BB14" i="2"/>
  <c r="BD77" i="2"/>
  <c r="BB73" i="2"/>
  <c r="BF68" i="2"/>
  <c r="BD63" i="2"/>
  <c r="BB56" i="2"/>
  <c r="BD45" i="2"/>
  <c r="BF34" i="2"/>
  <c r="BB24" i="2"/>
  <c r="BD13" i="2"/>
  <c r="BF74" i="2"/>
  <c r="BD71" i="2"/>
  <c r="BB67" i="2"/>
  <c r="BF61" i="2"/>
  <c r="BF52" i="2"/>
  <c r="BB42" i="2"/>
  <c r="BD31" i="2"/>
  <c r="BF20" i="2"/>
  <c r="BD9" i="2"/>
  <c r="BE4" i="2"/>
  <c r="BC74" i="2"/>
  <c r="BE73" i="2"/>
  <c r="BA71" i="2"/>
  <c r="BC69" i="2"/>
  <c r="BE66" i="2"/>
  <c r="BA64" i="2"/>
  <c r="BC61" i="2"/>
  <c r="BB57" i="2"/>
  <c r="BD50" i="2"/>
  <c r="BB45" i="2"/>
  <c r="BF39" i="2"/>
  <c r="BD34" i="2"/>
  <c r="BB29" i="2"/>
  <c r="BF23" i="2"/>
  <c r="BD18" i="2"/>
  <c r="BB13" i="2"/>
  <c r="BF7" i="2"/>
  <c r="BD7" i="2"/>
  <c r="BA77" i="2"/>
  <c r="BC76" i="2"/>
  <c r="BE72" i="2"/>
  <c r="BA70" i="2"/>
  <c r="BC68" i="2"/>
  <c r="BE65" i="2"/>
  <c r="BA63" i="2"/>
  <c r="BB60" i="2"/>
  <c r="BF53" i="2"/>
  <c r="BD48" i="2"/>
  <c r="BB43" i="2"/>
  <c r="BF37" i="2"/>
  <c r="BD32" i="2"/>
  <c r="BB27" i="2"/>
  <c r="BF21" i="2"/>
  <c r="BD16" i="2"/>
  <c r="BB11" i="2"/>
  <c r="BF5" i="2"/>
  <c r="BF32" i="2"/>
  <c r="BB22" i="2"/>
  <c r="BD11" i="2"/>
  <c r="BB78" i="2"/>
  <c r="BF71" i="2"/>
  <c r="BD67" i="2"/>
  <c r="BB62" i="2"/>
  <c r="BD53" i="2"/>
  <c r="BF42" i="2"/>
  <c r="BB32" i="2"/>
  <c r="BD21" i="2"/>
  <c r="BF10" i="2"/>
  <c r="BD76" i="2"/>
  <c r="BB70" i="2"/>
  <c r="BF65" i="2"/>
  <c r="BC60" i="2"/>
  <c r="BB50" i="2"/>
  <c r="BD39" i="2"/>
  <c r="BF28" i="2"/>
  <c r="BB18" i="2"/>
  <c r="BB8" i="2"/>
  <c r="BC77" i="2"/>
  <c r="BE76" i="2"/>
  <c r="BA73" i="2"/>
  <c r="BC70" i="2"/>
  <c r="BE68" i="2"/>
  <c r="BA66" i="2"/>
  <c r="BC63" i="2"/>
  <c r="BD60" i="2"/>
  <c r="BD54" i="2"/>
  <c r="BB49" i="2"/>
  <c r="BF43" i="2"/>
  <c r="BD38" i="2"/>
  <c r="BB33" i="2"/>
  <c r="BF27" i="2"/>
  <c r="BD22" i="2"/>
  <c r="BB17" i="2"/>
  <c r="BF11" i="2"/>
  <c r="BD6" i="2"/>
  <c r="BB6" i="2"/>
  <c r="BC78" i="2"/>
  <c r="BE75" i="2"/>
  <c r="BA72" i="2"/>
  <c r="BC79" i="2"/>
  <c r="BE67" i="2"/>
  <c r="BA65" i="2"/>
  <c r="BC62" i="2"/>
  <c r="BB59" i="2"/>
  <c r="BD52" i="2"/>
  <c r="BB47" i="2"/>
  <c r="BF41" i="2"/>
  <c r="BD36" i="2"/>
  <c r="BB31" i="2"/>
  <c r="BF25" i="2"/>
  <c r="BD20" i="2"/>
  <c r="BB15" i="2"/>
  <c r="BF9" i="2"/>
  <c r="BC52" i="2"/>
  <c r="BE41" i="2"/>
  <c r="BA31" i="2"/>
  <c r="BC20" i="2"/>
  <c r="BE9" i="2"/>
  <c r="BA56" i="2"/>
  <c r="BC45" i="2"/>
  <c r="BE34" i="2"/>
  <c r="BA24" i="2"/>
  <c r="BC13" i="2"/>
  <c r="BA57" i="2"/>
  <c r="BC46" i="2"/>
  <c r="BE35" i="2"/>
  <c r="BA25" i="2"/>
  <c r="BC14" i="2"/>
  <c r="BE60" i="2"/>
  <c r="BC47" i="2"/>
  <c r="BE36" i="2"/>
  <c r="BA26" i="2"/>
  <c r="BC15" i="2"/>
  <c r="BB5" i="2"/>
  <c r="BC48" i="2"/>
  <c r="BE37" i="2"/>
  <c r="BA27" i="2"/>
  <c r="BC16" i="2"/>
  <c r="BE5" i="2"/>
  <c r="BA52" i="2"/>
  <c r="BC41" i="2"/>
  <c r="BE30" i="2"/>
  <c r="BA20" i="2"/>
  <c r="BC9" i="2"/>
  <c r="BC50" i="2"/>
  <c r="BE39" i="2"/>
  <c r="BA29" i="2"/>
  <c r="BC18" i="2"/>
  <c r="BE7" i="2"/>
  <c r="BA54" i="2"/>
  <c r="BC43" i="2"/>
  <c r="BE32" i="2"/>
  <c r="BA22" i="2"/>
  <c r="BC11" i="2"/>
  <c r="BF4" i="2"/>
  <c r="BF73" i="2"/>
  <c r="BD69" i="2"/>
  <c r="BB64" i="2"/>
  <c r="BD57" i="2"/>
  <c r="BF46" i="2"/>
  <c r="BB36" i="2"/>
  <c r="BD25" i="2"/>
  <c r="BF14" i="2"/>
  <c r="BB74" i="2"/>
  <c r="BF70" i="2"/>
  <c r="BD66" i="2"/>
  <c r="BB61" i="2"/>
  <c r="BD51" i="2"/>
  <c r="BF40" i="2"/>
  <c r="BB30" i="2"/>
  <c r="BD19" i="2"/>
  <c r="BF76" i="2"/>
  <c r="BD70" i="2"/>
  <c r="BB66" i="2"/>
  <c r="BF60" i="2"/>
  <c r="BF50" i="2"/>
  <c r="BB40" i="2"/>
  <c r="BD29" i="2"/>
  <c r="BF18" i="2"/>
  <c r="BC4" i="2"/>
  <c r="BB75" i="2"/>
  <c r="BF69" i="2"/>
  <c r="BD64" i="2"/>
  <c r="BB58" i="2"/>
  <c r="BD47" i="2"/>
  <c r="BF36" i="2"/>
  <c r="BB26" i="2"/>
  <c r="BD15" i="2"/>
  <c r="BF6" i="2"/>
  <c r="BE78" i="2"/>
  <c r="BA76" i="2"/>
  <c r="BC72" i="2"/>
  <c r="BE79" i="2"/>
  <c r="BA68" i="2"/>
  <c r="BC65" i="2"/>
  <c r="BE62" i="2"/>
  <c r="BE59" i="2"/>
  <c r="BB53" i="2"/>
  <c r="BF47" i="2"/>
  <c r="BD42" i="2"/>
  <c r="BB37" i="2"/>
  <c r="BF31" i="2"/>
  <c r="BD26" i="2"/>
  <c r="BB21" i="2"/>
  <c r="BF15" i="2"/>
  <c r="BD10" i="2"/>
  <c r="BB10" i="2"/>
  <c r="BD4" i="2"/>
  <c r="BE74" i="2"/>
  <c r="BA75" i="2"/>
  <c r="BC71" i="2"/>
  <c r="BE69" i="2"/>
  <c r="BA67" i="2"/>
  <c r="BC64" i="2"/>
  <c r="BE61" i="2"/>
  <c r="BF57" i="2"/>
  <c r="BB51" i="2"/>
  <c r="BF45" i="2"/>
  <c r="BD40" i="2"/>
  <c r="BB35" i="2"/>
  <c r="BF29" i="2"/>
  <c r="BD24" i="2"/>
  <c r="BB19" i="2"/>
  <c r="BF13" i="2"/>
  <c r="BF55" i="2"/>
  <c r="AZ3" i="2"/>
  <c r="AZ2" i="2"/>
  <c r="BC55" i="2"/>
  <c r="BB55" i="2"/>
  <c r="BE55" i="2"/>
  <c r="AW72" i="3" l="1"/>
  <c r="AW28" i="3"/>
  <c r="AW58" i="3"/>
  <c r="AW18" i="3"/>
  <c r="AW34" i="3"/>
  <c r="AW60" i="3"/>
  <c r="AW45" i="3"/>
  <c r="AW17" i="3"/>
  <c r="AW39" i="3"/>
  <c r="AW31" i="3"/>
  <c r="AW78" i="3"/>
  <c r="AW42" i="3"/>
  <c r="AW20" i="3"/>
  <c r="AW8" i="3"/>
  <c r="AW48" i="3"/>
  <c r="AW73" i="3"/>
  <c r="AW51" i="3"/>
  <c r="AW35" i="3"/>
  <c r="AW68" i="3"/>
  <c r="AW79" i="3"/>
  <c r="AW13" i="3"/>
  <c r="AW74" i="3"/>
  <c r="AW61" i="3"/>
  <c r="AW56" i="3"/>
  <c r="AW22" i="3"/>
  <c r="AW55" i="3"/>
  <c r="AW43" i="3"/>
  <c r="AW12" i="3"/>
  <c r="AW24" i="3"/>
  <c r="AW29" i="3"/>
  <c r="AW21" i="3"/>
  <c r="AW77" i="3"/>
  <c r="AW7" i="3"/>
  <c r="AW38" i="3"/>
  <c r="AW15" i="3"/>
  <c r="AW66" i="3"/>
  <c r="AW11" i="3"/>
  <c r="AW40" i="3"/>
  <c r="AW59" i="3"/>
  <c r="AW71" i="3"/>
  <c r="AW67" i="3"/>
  <c r="AW44" i="3"/>
  <c r="AW63" i="3"/>
  <c r="AW16" i="3"/>
  <c r="AW26" i="3"/>
  <c r="AW70" i="3"/>
  <c r="AW4" i="3"/>
  <c r="AW37" i="3"/>
  <c r="AW57" i="3"/>
  <c r="AW5" i="3"/>
  <c r="AS3" i="3"/>
  <c r="AS2" i="3"/>
  <c r="AR4" i="3"/>
  <c r="AO2" i="3"/>
  <c r="AO3" i="3"/>
  <c r="AP4" i="3"/>
  <c r="AM2" i="3"/>
  <c r="AM3" i="3"/>
  <c r="AU3" i="3"/>
  <c r="AU2" i="3"/>
  <c r="AQ4" i="3"/>
  <c r="AN2" i="3"/>
  <c r="AN3" i="3"/>
  <c r="AT3" i="3"/>
  <c r="AT2" i="3"/>
  <c r="BA2" i="2"/>
  <c r="BD3" i="2"/>
  <c r="BD2" i="2"/>
  <c r="BC3" i="2"/>
  <c r="BE3" i="2"/>
  <c r="BE2" i="2"/>
  <c r="BA3" i="2"/>
  <c r="BF3" i="2"/>
  <c r="BF2" i="2"/>
  <c r="BB2" i="2"/>
  <c r="BB3" i="2"/>
  <c r="BC2" i="2"/>
  <c r="AR2" i="3" l="1"/>
  <c r="AR3" i="3"/>
  <c r="AP3" i="3"/>
  <c r="AP2" i="3"/>
  <c r="AQ2" i="3"/>
  <c r="AQ3" i="3"/>
</calcChain>
</file>

<file path=xl/comments1.xml><?xml version="1.0" encoding="utf-8"?>
<comments xmlns="http://schemas.openxmlformats.org/spreadsheetml/2006/main">
  <authors>
    <author>Emma Cashman Kelsey</author>
    <author>Kelsey, Emily Cashman</author>
    <author>Emma Kelsey</author>
    <author>Adams, Josh</author>
  </authors>
  <commentList>
    <comment ref="AA1" authorId="0">
      <text>
        <r>
          <rPr>
            <b/>
            <sz val="9"/>
            <color indexed="81"/>
            <rFont val="Tahoma"/>
            <family val="2"/>
          </rPr>
          <t>Emma Cashman Kelsey:</t>
        </r>
        <r>
          <rPr>
            <sz val="9"/>
            <color indexed="81"/>
            <rFont val="Tahoma"/>
            <family val="2"/>
          </rPr>
          <t xml:space="preserve">
1 = LC = Least Concern
2 = NT = Near Threatened
3 = VU = Vulnerable
4 = EN = Endangered
5 = CR = Critically Endangered</t>
        </r>
      </text>
    </comment>
    <comment ref="AB1" authorId="1">
      <text>
        <r>
          <rPr>
            <b/>
            <sz val="9"/>
            <color indexed="81"/>
            <rFont val="Tahoma"/>
            <family val="2"/>
          </rPr>
          <t>Kelsey, Emily Cashman:</t>
        </r>
        <r>
          <rPr>
            <sz val="9"/>
            <color indexed="81"/>
            <rFont val="Tahoma"/>
            <family val="2"/>
          </rPr>
          <t xml:space="preserve">
http://www.fws.gov/endangered/index.html
1 = Petitioned/ De-listed
2 = Candidate
3 = Threatened
4 = Endangered
+1 to all =&gt; standardized with IUCN</t>
        </r>
      </text>
    </comment>
    <comment ref="AC1" authorId="2">
      <text>
        <r>
          <rPr>
            <b/>
            <sz val="9"/>
            <color indexed="81"/>
            <rFont val="Calibri"/>
            <family val="2"/>
          </rPr>
          <t>Emma Kelsey:</t>
        </r>
        <r>
          <rPr>
            <sz val="9"/>
            <color indexed="81"/>
            <rFont val="Calibri"/>
            <family val="2"/>
          </rPr>
          <t xml:space="preserve">
US Fish and Wildlife Service 2005
1 = No Risk
2 = Low
3 = Moderate
4 = High Concern
5 = Highly Imperiled
ranked species in darker green, all other species not listed but assumed to have no risk (thus given a score of 1)</t>
        </r>
      </text>
    </comment>
    <comment ref="AD1" authorId="2">
      <text>
        <r>
          <rPr>
            <b/>
            <sz val="9"/>
            <color indexed="81"/>
            <rFont val="Calibri"/>
            <family val="2"/>
          </rPr>
          <t>Emma Kelsey:</t>
        </r>
        <r>
          <rPr>
            <sz val="9"/>
            <color indexed="81"/>
            <rFont val="Calibri"/>
            <family val="2"/>
          </rPr>
          <t xml:space="preserve">
Shuford and Gardali (2008):
1 = third priorty = 37.5 - 47.5
2 = second priority = 47.5 - 60
3 = first priority &gt; 60 
x = ((CAvalue+1)/4)*5</t>
        </r>
      </text>
    </comment>
    <comment ref="AE1" authorId="1">
      <text>
        <r>
          <rPr>
            <b/>
            <sz val="9"/>
            <color indexed="81"/>
            <rFont val="Tahoma"/>
            <family val="2"/>
          </rPr>
          <t>Kelsey, Emily Cashman:</t>
        </r>
        <r>
          <rPr>
            <sz val="9"/>
            <color indexed="81"/>
            <rFont val="Tahoma"/>
            <family val="2"/>
          </rPr>
          <t xml:space="preserve">
Sensative Species: spp requiring conservation efforts to not become threatened or endangered
  Vulnerable Sensitive Species = 1
  Criticial Sensitive Species = 2
http://www.dfw.state.or.us/wildlife/diversity/species/docs/SSL_by_category.pdf
Threatened Species = 3
Endangered Species = 4
http://www.dfw.state.or.us/wildlife/diversity/species/threatened_endangered_candidate_list.asp
+1 to all values to make it consistant with IUCN listing
</t>
        </r>
      </text>
    </comment>
    <comment ref="AF1" authorId="1">
      <text>
        <r>
          <rPr>
            <b/>
            <sz val="9"/>
            <color indexed="81"/>
            <rFont val="Tahoma"/>
            <family val="2"/>
          </rPr>
          <t>Kelsey, Emily Cashman:</t>
        </r>
        <r>
          <rPr>
            <sz val="9"/>
            <color indexed="81"/>
            <rFont val="Tahoma"/>
            <family val="2"/>
          </rPr>
          <t xml:space="preserve">
Washington Species of Concern Status List:
State Monitored Speceis = 1
State Candidate Species = 2
- spp that department will review for possible listing.
State Sensitive Species = 3
- any spp that is vulnerable or declining and needs conservation efforts
State Threatened Species = 4 
- and spp that is likely to become endangered 
State Endangered Species = 5
- any spp native to the state that is seriously threatned with extinction 
WAC 232-12-297
ranked species in darker green.  other species assumed to be equal to "monitored" species</t>
        </r>
      </text>
    </comment>
    <comment ref="AG1" authorId="1">
      <text>
        <r>
          <rPr>
            <b/>
            <sz val="9"/>
            <color indexed="81"/>
            <rFont val="Tahoma"/>
            <family val="2"/>
          </rPr>
          <t>Kelsey, Emily Cashman:</t>
        </r>
        <r>
          <rPr>
            <sz val="9"/>
            <color indexed="81"/>
            <rFont val="Tahoma"/>
            <family val="2"/>
          </rPr>
          <t xml:space="preserve">
Not at Risk = 1
Special Concern = 2
Threatened  = 3
Endangered = 4
http://www.sararegistry.gc.ca/sar/index/default_e.cfm?stype=species&amp;lng=e&amp;index=1&amp;common=&amp;scientific=&amp;population=&amp;taxid=2&amp;locid=0&amp;desid=0&amp;schid=0&amp;desid2=0&amp;
+1 to every one to make list consistent with IUCN ranking
</t>
        </r>
      </text>
    </comment>
    <comment ref="AH1" authorId="0">
      <text>
        <r>
          <rPr>
            <b/>
            <sz val="9"/>
            <color indexed="81"/>
            <rFont val="Tahoma"/>
            <family val="2"/>
          </rPr>
          <t>Emma Cashman Kelsey:</t>
        </r>
        <r>
          <rPr>
            <sz val="9"/>
            <color indexed="81"/>
            <rFont val="Tahoma"/>
            <family val="2"/>
          </rPr>
          <t xml:space="preserve">
1 = preocupacion menor
2 =  sujetas a proteccion especial
3 = amenzadas
4 = en peligro de extincion
*not scaling because no "critical" ranking (which would be a 5)</t>
        </r>
      </text>
    </comment>
    <comment ref="AI1" authorId="1">
      <text>
        <r>
          <rPr>
            <b/>
            <sz val="9"/>
            <color indexed="81"/>
            <rFont val="Tahoma"/>
            <family val="2"/>
          </rPr>
          <t>Kelsey, Emily Cashman:</t>
        </r>
        <r>
          <rPr>
            <sz val="9"/>
            <color indexed="81"/>
            <rFont val="Tahoma"/>
            <family val="2"/>
          </rPr>
          <t xml:space="preserve">
couldn't find complete list.  On website:
http://www.env.go.jp/en/nature/npr/ncj/section6.html#6-3
Specifices the following species as endangered and said that it was following the ICUN list so they were given a 4 (although this is probably conservative)</t>
        </r>
      </text>
    </comment>
    <comment ref="AJ1" authorId="1">
      <text>
        <r>
          <rPr>
            <b/>
            <sz val="9"/>
            <color indexed="81"/>
            <rFont val="Tahoma"/>
            <family val="2"/>
          </rPr>
          <t>Kelsey, Emily Cashman:</t>
        </r>
        <r>
          <rPr>
            <sz val="9"/>
            <color indexed="81"/>
            <rFont val="Tahoma"/>
            <family val="2"/>
          </rPr>
          <t xml:space="preserve">
Species ranked the same way as IUCN. Spreadsheet downloaded from this website:
http://www.mma.gob.cl/clasificacionespecies/lista_especies_nativas_segun_estado_conservacion.html</t>
        </r>
      </text>
    </comment>
    <comment ref="AK1" authorId="1">
      <text>
        <r>
          <rPr>
            <b/>
            <sz val="9"/>
            <color indexed="81"/>
            <rFont val="Tahoma"/>
            <family val="2"/>
          </rPr>
          <t>Kelsey, Emily Cashman:</t>
        </r>
        <r>
          <rPr>
            <sz val="9"/>
            <color indexed="81"/>
            <rFont val="Tahoma"/>
            <family val="2"/>
          </rPr>
          <t xml:space="preserve">
1 = Gnot threatened/naturally uncommon
2 = Declining
3 = Nationally Vulnerable
4 = Nationally Endangered
5 = Nationally Critical
(Hitchmough et al 2007)
.pdf
and
http://www.nhc.net.nz/index/birds-new-zealand/birds-of-new-zealand.html</t>
        </r>
      </text>
    </comment>
    <comment ref="AL1" authorId="1">
      <text>
        <r>
          <rPr>
            <b/>
            <sz val="9"/>
            <color indexed="81"/>
            <rFont val="Tahoma"/>
            <family val="2"/>
          </rPr>
          <t>Kelsey, Emily Cashman:</t>
        </r>
        <r>
          <rPr>
            <sz val="9"/>
            <color indexed="81"/>
            <rFont val="Tahoma"/>
            <family val="2"/>
          </rPr>
          <t xml:space="preserve">
If IUCN ranking is &gt; or = to state rankings that that is final value.
</t>
        </r>
      </text>
    </comment>
    <comment ref="F4" authorId="3">
      <text>
        <r>
          <rPr>
            <b/>
            <sz val="9"/>
            <color indexed="81"/>
            <rFont val="Tahoma"/>
            <family val="2"/>
          </rPr>
          <t>Adams, Josh:</t>
        </r>
        <r>
          <rPr>
            <sz val="9"/>
            <color indexed="81"/>
            <rFont val="Tahoma"/>
            <family val="2"/>
          </rPr>
          <t xml:space="preserve">
Little reliable information in North America. 
Number stated is Mature Individuals
Willomott: 350,000 - 2,300,000 (Watts 2010 and Birdlife)
</t>
        </r>
      </text>
    </comment>
    <comment ref="N4" authorId="3">
      <text>
        <r>
          <rPr>
            <b/>
            <sz val="9"/>
            <color indexed="81"/>
            <rFont val="Tahoma"/>
            <family val="2"/>
          </rPr>
          <t>Adams, Josh:</t>
        </r>
        <r>
          <rPr>
            <sz val="9"/>
            <color indexed="81"/>
            <rFont val="Tahoma"/>
            <family val="2"/>
          </rPr>
          <t xml:space="preserve">
Briggs 1983: 500,000 = N. American pop
- ""rare to uncommon migrant and winter resident.... locally numerous N of Pt. Reyes in some years."
Borage and Savard 2011: "Winters on Pacific Coast from Pribilof and Aleutians islands to n. Baja California… In Bering-Pacific area, abundance decreases from north to south with most birds wintering in coastal Alaska, British Columbia, and n. Washington."
Stehn 2006: 108,000 = AK breeding pop</t>
        </r>
      </text>
    </comment>
    <comment ref="R4" authorId="0">
      <text>
        <r>
          <rPr>
            <b/>
            <sz val="9"/>
            <color indexed="81"/>
            <rFont val="Tahoma"/>
            <family val="2"/>
          </rPr>
          <t>Emma Cashman Kelsey:</t>
        </r>
        <r>
          <rPr>
            <sz val="9"/>
            <color indexed="81"/>
            <rFont val="Tahoma"/>
            <family val="2"/>
          </rPr>
          <t xml:space="preserve">
Briggs 1983: "rare to uncommon migrant and winter resident.... locally numerous N of Pt. Reyes in some years."</t>
        </r>
      </text>
    </comment>
    <comment ref="AN4" authorId="0">
      <text>
        <r>
          <rPr>
            <b/>
            <sz val="9"/>
            <color indexed="81"/>
            <rFont val="Tahoma"/>
            <family val="2"/>
          </rPr>
          <t>Emma Cashman Kelsey:</t>
        </r>
        <r>
          <rPr>
            <sz val="9"/>
            <color indexed="81"/>
            <rFont val="Tahoma"/>
            <family val="2"/>
          </rPr>
          <t xml:space="preserve">
Borage and Savard 2001: 0.77
Willmott et al: 0.73- 0.81
</t>
        </r>
      </text>
    </comment>
    <comment ref="N5" authorId="3">
      <text>
        <r>
          <rPr>
            <b/>
            <sz val="9"/>
            <color indexed="81"/>
            <rFont val="Tahoma"/>
            <family val="2"/>
          </rPr>
          <t>Adams, Josh:</t>
        </r>
        <r>
          <rPr>
            <sz val="9"/>
            <color indexed="81"/>
            <rFont val="Tahoma"/>
            <family val="2"/>
          </rPr>
          <t xml:space="preserve">
Goudie et al. 1994: est. 536,000 breeding birds for nw. N America 
Savard et al 1998: N American breeding pop est from USFWS surveys (1955–1973) = 257,000–765,000 birds (not including birds breeding in British Columbia and east of Manitoba; Bellrose 1980). 
=&gt; Assuming that this is mainly US pop....</t>
        </r>
      </text>
    </comment>
    <comment ref="AN5" authorId="1">
      <text>
        <r>
          <rPr>
            <b/>
            <sz val="9"/>
            <color indexed="81"/>
            <rFont val="Tahoma"/>
            <family val="2"/>
          </rPr>
          <t>Kelsey, Emily Cashman:</t>
        </r>
        <r>
          <rPr>
            <sz val="9"/>
            <color indexed="81"/>
            <rFont val="Tahoma"/>
            <family val="2"/>
          </rPr>
          <t xml:space="preserve">
see other seaducks...
Fox: Common Scoter = 0.74 - 0.88
de al cruz: 0.5 - 0.77
</t>
        </r>
      </text>
    </comment>
    <comment ref="F6" authorId="3">
      <text>
        <r>
          <rPr>
            <b/>
            <sz val="9"/>
            <color indexed="81"/>
            <rFont val="Tahoma"/>
            <family val="2"/>
          </rPr>
          <t>Adams, Josh:</t>
        </r>
        <r>
          <rPr>
            <sz val="9"/>
            <color indexed="81"/>
            <rFont val="Tahoma"/>
            <family val="2"/>
          </rPr>
          <t xml:space="preserve">
White-winged Scoter component of this number probably is between 555,000 and 675,000 (Bellrose 1980).</t>
        </r>
      </text>
    </comment>
    <comment ref="N6" authorId="0">
      <text>
        <r>
          <rPr>
            <b/>
            <sz val="9"/>
            <color indexed="81"/>
            <rFont val="Tahoma"/>
            <family val="2"/>
          </rPr>
          <t>Emma Cashman Kelsey:</t>
        </r>
        <r>
          <rPr>
            <sz val="9"/>
            <color indexed="81"/>
            <rFont val="Tahoma"/>
            <family val="2"/>
          </rPr>
          <t xml:space="preserve">
Briggs 1983: N American WWSC pop is 3x that of SUSC, which was estiimated to be 257,000 at the time</t>
        </r>
      </text>
    </comment>
    <comment ref="R6" authorId="0">
      <text>
        <r>
          <rPr>
            <b/>
            <sz val="9"/>
            <color indexed="81"/>
            <rFont val="Tahoma"/>
            <family val="2"/>
          </rPr>
          <t>Emma Cashman Kelsey:</t>
        </r>
        <r>
          <rPr>
            <sz val="9"/>
            <color indexed="81"/>
            <rFont val="Tahoma"/>
            <family val="2"/>
          </rPr>
          <t xml:space="preserve">
Bruggeman 1992: WWSC = 5-10% of Scoters in Channel Islands</t>
        </r>
      </text>
    </comment>
    <comment ref="AN6" authorId="2">
      <text>
        <r>
          <rPr>
            <b/>
            <sz val="9"/>
            <color indexed="81"/>
            <rFont val="Calibri"/>
            <family val="2"/>
          </rPr>
          <t>Emma Kelsey:</t>
        </r>
        <r>
          <rPr>
            <sz val="9"/>
            <color indexed="81"/>
            <rFont val="Calibri"/>
            <family val="2"/>
          </rPr>
          <t xml:space="preserve">
Brown and Fredrickson: 0.78
Wayland: 0.4 - 1.0
Kehoe: 0.78
</t>
        </r>
      </text>
    </comment>
    <comment ref="F7" authorId="2">
      <text>
        <r>
          <rPr>
            <b/>
            <sz val="9"/>
            <color indexed="81"/>
            <rFont val="Calibri"/>
            <family val="2"/>
          </rPr>
          <t>Emma Kelsey:</t>
        </r>
        <r>
          <rPr>
            <sz val="9"/>
            <color indexed="81"/>
            <rFont val="Calibri"/>
            <family val="2"/>
          </rPr>
          <t xml:space="preserve">
Lweis et al 2013:
Atlantic: 150,000
Black (Pacific): 130,000
Eastern High-Arctic: 40,000
Western High-Arctic (Pacific): 5,000 - 16,000
Willmott et al 2013:
518,500 - 560,000
</t>
        </r>
      </text>
    </comment>
    <comment ref="N7" authorId="3">
      <text>
        <r>
          <rPr>
            <b/>
            <sz val="9"/>
            <color indexed="81"/>
            <rFont val="Tahoma"/>
            <family val="2"/>
          </rPr>
          <t>Adams, Josh:</t>
        </r>
        <r>
          <rPr>
            <sz val="9"/>
            <color indexed="81"/>
            <rFont val="Tahoma"/>
            <family val="2"/>
          </rPr>
          <t xml:space="preserve">
Pacific: http://pacificflyway.gov/Documents/Pb_plan.pdf
- 136,000 in 70s, 138,000 in 80s, 133,000 in 90
- 75% of these birds winter in Mexico
- they may all fly through the CCS to get to mexico but some might also take more inland routes (David and Deuel 2008)
</t>
        </r>
      </text>
    </comment>
    <comment ref="O7" authorId="0">
      <text>
        <r>
          <rPr>
            <b/>
            <sz val="9"/>
            <color indexed="81"/>
            <rFont val="Tahoma"/>
            <family val="2"/>
          </rPr>
          <t>Emma Cashman Kelsey:
lower est. of actual wintering pop, assuming the ones that winter in Mexico don't fly through the CCS (although this is unlikely)</t>
        </r>
      </text>
    </comment>
    <comment ref="R7" authorId="0">
      <text>
        <r>
          <rPr>
            <b/>
            <sz val="9"/>
            <color indexed="81"/>
            <rFont val="Tahoma"/>
            <family val="2"/>
          </rPr>
          <t>Emma Cashman Kelsey:</t>
        </r>
        <r>
          <rPr>
            <sz val="9"/>
            <color indexed="81"/>
            <rFont val="Tahoma"/>
            <family val="2"/>
          </rPr>
          <t xml:space="preserve">
Davis and Deuel 2008: wintering population in the 90s, has decreased signficantly over the years, majority winter in Mexico instead</t>
        </r>
      </text>
    </comment>
    <comment ref="AN7" authorId="0">
      <text>
        <r>
          <rPr>
            <b/>
            <sz val="9"/>
            <color indexed="81"/>
            <rFont val="Tahoma"/>
            <family val="2"/>
          </rPr>
          <t>Emma Cashman Kelsey:</t>
        </r>
        <r>
          <rPr>
            <sz val="9"/>
            <color indexed="81"/>
            <rFont val="Tahoma"/>
            <family val="2"/>
          </rPr>
          <t xml:space="preserve">
Krementz: 0.79 (N. America)
Lewis: 0.77 - 0.79
Willmott et al: 0.59-0.98 (ranking=3)</t>
        </r>
      </text>
    </comment>
    <comment ref="N8" authorId="0">
      <text>
        <r>
          <rPr>
            <b/>
            <sz val="9"/>
            <color indexed="81"/>
            <rFont val="Tahoma"/>
            <family val="2"/>
          </rPr>
          <t>Emma Cashman Kelsey:</t>
        </r>
        <r>
          <rPr>
            <sz val="9"/>
            <color indexed="81"/>
            <rFont val="Tahoma"/>
            <family val="2"/>
          </rPr>
          <t xml:space="preserve">
Birdlife: breeds all over the world
Mallory and Metz 1999: winters all along the W coast but usually more inland than RBME</t>
        </r>
      </text>
    </comment>
    <comment ref="AN8" authorId="1">
      <text>
        <r>
          <rPr>
            <b/>
            <sz val="9"/>
            <color indexed="81"/>
            <rFont val="Tahoma"/>
            <family val="2"/>
          </rPr>
          <t>Kelsey, Emily Cashman:</t>
        </r>
        <r>
          <rPr>
            <sz val="9"/>
            <color indexed="81"/>
            <rFont val="Tahoma"/>
            <family val="2"/>
          </rPr>
          <t xml:space="preserve">
Mallor and Metz: 0.6(Britain)
Willmott et al: 0.53 - 0.67
</t>
        </r>
      </text>
    </comment>
    <comment ref="N9" authorId="0">
      <text>
        <r>
          <rPr>
            <b/>
            <sz val="9"/>
            <color indexed="81"/>
            <rFont val="Tahoma"/>
            <family val="2"/>
          </rPr>
          <t>Emma Cashman Kelsey:</t>
        </r>
        <r>
          <rPr>
            <sz val="9"/>
            <color indexed="81"/>
            <rFont val="Tahoma"/>
            <family val="2"/>
          </rPr>
          <t xml:space="preserve">
Titman 1999: 6,000 in pacific flyway</t>
        </r>
      </text>
    </comment>
    <comment ref="R9" authorId="0">
      <text>
        <r>
          <rPr>
            <b/>
            <sz val="9"/>
            <color indexed="81"/>
            <rFont val="Tahoma"/>
            <family val="2"/>
          </rPr>
          <t>Emma Cashman Kelsey:</t>
        </r>
        <r>
          <rPr>
            <sz val="9"/>
            <color indexed="81"/>
            <rFont val="Tahoma"/>
            <family val="2"/>
          </rPr>
          <t xml:space="preserve">
Briggs 1983: 1300 winter off CA (1000 in N and central CA)</t>
        </r>
      </text>
    </comment>
    <comment ref="AN9" authorId="0">
      <text>
        <r>
          <rPr>
            <b/>
            <sz val="9"/>
            <color indexed="81"/>
            <rFont val="Tahoma"/>
            <family val="2"/>
          </rPr>
          <t>Emma Cashman Kelsey:</t>
        </r>
        <r>
          <rPr>
            <sz val="9"/>
            <color indexed="81"/>
            <rFont val="Tahoma"/>
            <family val="2"/>
          </rPr>
          <t xml:space="preserve">
Willmott et al.=2 based on similar spp</t>
        </r>
      </text>
    </comment>
    <comment ref="C10" authorId="0">
      <text>
        <r>
          <rPr>
            <b/>
            <sz val="9"/>
            <color indexed="81"/>
            <rFont val="Tahoma"/>
            <family val="2"/>
          </rPr>
          <t>Emma Cashman Kelsey:</t>
        </r>
        <r>
          <rPr>
            <sz val="9"/>
            <color indexed="81"/>
            <rFont val="Tahoma"/>
            <family val="2"/>
          </rPr>
          <t xml:space="preserve">
aka great northern diver</t>
        </r>
      </text>
    </comment>
    <comment ref="O10" authorId="3">
      <text>
        <r>
          <rPr>
            <b/>
            <sz val="9"/>
            <color indexed="81"/>
            <rFont val="Tahoma"/>
            <family val="2"/>
          </rPr>
          <t>Adams, Josh:</t>
        </r>
        <r>
          <rPr>
            <sz val="9"/>
            <color indexed="81"/>
            <rFont val="Tahoma"/>
            <family val="2"/>
          </rPr>
          <t xml:space="preserve">
Evers 2010: approx 215,000 to 221,000 loons (184,000 to 189,000 adults and 31,000 to 32,000 juveniles) comprising 30% of the total population over-winter on the Pacific Coast.
</t>
        </r>
      </text>
    </comment>
    <comment ref="C11" authorId="0">
      <text>
        <r>
          <rPr>
            <b/>
            <sz val="9"/>
            <color indexed="81"/>
            <rFont val="Tahoma"/>
            <family val="2"/>
          </rPr>
          <t>Emma Cashman Kelsey:</t>
        </r>
        <r>
          <rPr>
            <sz val="9"/>
            <color indexed="81"/>
            <rFont val="Tahoma"/>
            <family val="2"/>
          </rPr>
          <t xml:space="preserve">
sub spp of artic/black-throated loon</t>
        </r>
      </text>
    </comment>
    <comment ref="AN11" authorId="1">
      <text>
        <r>
          <rPr>
            <b/>
            <sz val="9"/>
            <color indexed="81"/>
            <rFont val="Tahoma"/>
            <family val="2"/>
          </rPr>
          <t>Kelsey, Emily Cashman:</t>
        </r>
        <r>
          <rPr>
            <sz val="9"/>
            <color indexed="81"/>
            <rFont val="Tahoma"/>
            <family val="2"/>
          </rPr>
          <t xml:space="preserve">
Very little information of Pacific Loons (this is the only value given) but it falls within range of other loon spp.</t>
        </r>
      </text>
    </comment>
    <comment ref="F12" authorId="2">
      <text>
        <r>
          <rPr>
            <b/>
            <sz val="9"/>
            <color indexed="81"/>
            <rFont val="Calibri"/>
            <family val="2"/>
          </rPr>
          <t>Emma Kelsey:</t>
        </r>
        <r>
          <rPr>
            <sz val="9"/>
            <color indexed="81"/>
            <rFont val="Calibri"/>
            <family val="2"/>
          </rPr>
          <t xml:space="preserve">
Barr et al. 2000:
Europe and W Asia: 75,000
AK: 7,393 - 12,293 (breeders)
Canada: 24,000 - 26,000</t>
        </r>
      </text>
    </comment>
    <comment ref="O12" authorId="3">
      <text>
        <r>
          <rPr>
            <b/>
            <sz val="9"/>
            <color indexed="81"/>
            <rFont val="Tahoma"/>
            <family val="2"/>
          </rPr>
          <t>Adams, Josh:</t>
        </r>
        <r>
          <rPr>
            <sz val="9"/>
            <color indexed="81"/>
            <rFont val="Tahoma"/>
            <family val="2"/>
          </rPr>
          <t xml:space="preserve">
Groves et al. 1996: Ak pop declined by 53% in 20 yr (1977: 20,833 ± 2,447 (95% Confidence Interval); 1993: 9,843 ± 2,447 (95% Confidence Interval); 
Barr 2000:
</t>
        </r>
      </text>
    </comment>
    <comment ref="P12" authorId="0">
      <text>
        <r>
          <rPr>
            <b/>
            <sz val="9"/>
            <color indexed="81"/>
            <rFont val="Tahoma"/>
            <family val="2"/>
          </rPr>
          <t>Emma Cashman Kelsey:</t>
        </r>
        <r>
          <rPr>
            <sz val="9"/>
            <color indexed="81"/>
            <rFont val="Tahoma"/>
            <family val="2"/>
          </rPr>
          <t xml:space="preserve">
Brueggeman 1992: 16,000</t>
        </r>
      </text>
    </comment>
    <comment ref="R12" authorId="0">
      <text>
        <r>
          <rPr>
            <b/>
            <sz val="9"/>
            <color indexed="81"/>
            <rFont val="Tahoma"/>
            <family val="2"/>
          </rPr>
          <t>Emma Cashman Kelsey:</t>
        </r>
        <r>
          <rPr>
            <sz val="9"/>
            <color indexed="81"/>
            <rFont val="Tahoma"/>
            <family val="2"/>
          </rPr>
          <t xml:space="preserve">
Brueggeman 1992: 16,000</t>
        </r>
      </text>
    </comment>
    <comment ref="AW12" authorId="1">
      <text>
        <r>
          <rPr>
            <b/>
            <sz val="9"/>
            <color indexed="81"/>
            <rFont val="Tahoma"/>
            <family val="2"/>
          </rPr>
          <t>Kelsey, Emily Cashman:</t>
        </r>
        <r>
          <rPr>
            <sz val="9"/>
            <color indexed="81"/>
            <rFont val="Tahoma"/>
            <family val="2"/>
          </rPr>
          <t xml:space="preserve">
This is based on Willmotts references, contacted Joel Schmutz for west coast data (jschmutz@usgs.gov)</t>
        </r>
      </text>
    </comment>
    <comment ref="C13" authorId="0">
      <text>
        <r>
          <rPr>
            <b/>
            <sz val="9"/>
            <color indexed="81"/>
            <rFont val="Tahoma"/>
            <family val="2"/>
          </rPr>
          <t>Emma Cashman Kelsey:</t>
        </r>
        <r>
          <rPr>
            <sz val="9"/>
            <color indexed="81"/>
            <rFont val="Tahoma"/>
            <family val="2"/>
          </rPr>
          <t xml:space="preserve">
aka white-billed diver</t>
        </r>
      </text>
    </comment>
    <comment ref="F13" authorId="1">
      <text>
        <r>
          <rPr>
            <b/>
            <sz val="9"/>
            <color indexed="81"/>
            <rFont val="Tahoma"/>
            <family val="2"/>
          </rPr>
          <t>Kelsey, Emily Cashman:</t>
        </r>
        <r>
          <rPr>
            <sz val="9"/>
            <color indexed="81"/>
            <rFont val="Tahoma"/>
            <family val="2"/>
          </rPr>
          <t xml:space="preserve">
3,000 - 4,000 in Alaska</t>
        </r>
      </text>
    </comment>
    <comment ref="U13" authorId="0">
      <text>
        <r>
          <rPr>
            <b/>
            <sz val="9"/>
            <color indexed="81"/>
            <rFont val="Tahoma"/>
            <family val="2"/>
          </rPr>
          <t>Emma Cashman Kelsey:</t>
        </r>
        <r>
          <rPr>
            <sz val="9"/>
            <color indexed="81"/>
            <rFont val="Tahoma"/>
            <family val="2"/>
          </rPr>
          <t xml:space="preserve">
conversation with Joel Schmutz July 31, 2014: he speculated 2-3% of population get into CCS</t>
        </r>
      </text>
    </comment>
    <comment ref="N14" authorId="0">
      <text>
        <r>
          <rPr>
            <b/>
            <sz val="9"/>
            <color indexed="81"/>
            <rFont val="Tahoma"/>
            <family val="2"/>
          </rPr>
          <t>Emma Cashman Kelsey:</t>
        </r>
        <r>
          <rPr>
            <sz val="9"/>
            <color indexed="81"/>
            <rFont val="Tahoma"/>
            <family val="2"/>
          </rPr>
          <t xml:space="preserve">
These estimates don’t account for the # that migrate through, which probably makes it much higher</t>
        </r>
      </text>
    </comment>
    <comment ref="O14" authorId="0">
      <text>
        <r>
          <rPr>
            <b/>
            <sz val="9"/>
            <color indexed="81"/>
            <rFont val="Tahoma"/>
            <family val="2"/>
          </rPr>
          <t>Emma Cashman Kelsey:</t>
        </r>
        <r>
          <rPr>
            <sz val="9"/>
            <color indexed="81"/>
            <rFont val="Tahoma"/>
            <family val="2"/>
          </rPr>
          <t xml:space="preserve">
Henkel 2004: est. 5-10% of 'western' grebes in surveys are actually Clark's</t>
        </r>
      </text>
    </comment>
    <comment ref="V14" authorId="0">
      <text>
        <r>
          <rPr>
            <b/>
            <sz val="9"/>
            <color indexed="81"/>
            <rFont val="Tahoma"/>
            <family val="2"/>
          </rPr>
          <t>Emma Cashman Kelsey:</t>
        </r>
        <r>
          <rPr>
            <sz val="9"/>
            <color indexed="81"/>
            <rFont val="Tahoma"/>
            <family val="2"/>
          </rPr>
          <t xml:space="preserve">
high uncertainty because number calculated as % of Western/Clark's count
</t>
        </r>
      </text>
    </comment>
    <comment ref="AN14" authorId="1">
      <text>
        <r>
          <rPr>
            <b/>
            <sz val="9"/>
            <color indexed="81"/>
            <rFont val="Tahoma"/>
            <family val="2"/>
          </rPr>
          <t>Kelsey, Emily Cashman:</t>
        </r>
        <r>
          <rPr>
            <sz val="9"/>
            <color indexed="81"/>
            <rFont val="Tahoma"/>
            <family val="2"/>
          </rPr>
          <t xml:space="preserve">
0.65-0.7 = SR of great-crested and slavonian grebes (Furness and Wade 2012)</t>
        </r>
      </text>
    </comment>
    <comment ref="N15" authorId="0">
      <text>
        <r>
          <rPr>
            <b/>
            <sz val="9"/>
            <color indexed="81"/>
            <rFont val="Tahoma"/>
            <family val="2"/>
          </rPr>
          <t>Emma Cashman Kelsey:</t>
        </r>
        <r>
          <rPr>
            <sz val="9"/>
            <color indexed="81"/>
            <rFont val="Tahoma"/>
            <family val="2"/>
          </rPr>
          <t xml:space="preserve">
These estimates don’t account for the # that migrate through, which probably makes it much higher</t>
        </r>
      </text>
    </comment>
    <comment ref="V15" authorId="0">
      <text>
        <r>
          <rPr>
            <b/>
            <sz val="9"/>
            <color indexed="81"/>
            <rFont val="Tahoma"/>
            <family val="2"/>
          </rPr>
          <t>Emma Cashman Kelsey:</t>
        </r>
        <r>
          <rPr>
            <sz val="9"/>
            <color indexed="81"/>
            <rFont val="Tahoma"/>
            <family val="2"/>
          </rPr>
          <t xml:space="preserve">
high uncertainty because number calculated as % of Western/Clark's count</t>
        </r>
      </text>
    </comment>
    <comment ref="AN15" authorId="1">
      <text>
        <r>
          <rPr>
            <b/>
            <sz val="9"/>
            <color indexed="81"/>
            <rFont val="Tahoma"/>
            <family val="2"/>
          </rPr>
          <t>Kelsey, Emily Cashman:</t>
        </r>
        <r>
          <rPr>
            <sz val="9"/>
            <color indexed="81"/>
            <rFont val="Tahoma"/>
            <family val="2"/>
          </rPr>
          <t xml:space="preserve">
life span = 6.5-14
0.65-0.7 = SR of great-crested and slavonian grebes (Furness and Wade 2012)</t>
        </r>
      </text>
    </comment>
    <comment ref="C16" authorId="0">
      <text>
        <r>
          <rPr>
            <b/>
            <sz val="9"/>
            <color indexed="81"/>
            <rFont val="Tahoma"/>
            <family val="2"/>
          </rPr>
          <t>Emma Cashman Kelsey:</t>
        </r>
        <r>
          <rPr>
            <sz val="9"/>
            <color indexed="81"/>
            <rFont val="Tahoma"/>
            <family val="2"/>
          </rPr>
          <t xml:space="preserve">
aka- black-necked grebe</t>
        </r>
      </text>
    </comment>
    <comment ref="N16" authorId="0">
      <text>
        <r>
          <rPr>
            <b/>
            <sz val="9"/>
            <color indexed="81"/>
            <rFont val="Tahoma"/>
            <family val="2"/>
          </rPr>
          <t>Emma Cashman Kelsey:</t>
        </r>
        <r>
          <rPr>
            <sz val="9"/>
            <color indexed="81"/>
            <rFont val="Tahoma"/>
            <family val="2"/>
          </rPr>
          <t xml:space="preserve">
Cullen et al. 1999: wintering range - "Hundreds of thousands, the vast majority of the population, evidently winter around islands in the n. and central Gulf of California, with additional tens of thousands on the Salton Sea, CA. Several thousand winter on salinas at Guerrero Negro, Baja California Sur (Carmona and Danemann 1998); only small numbers are reported elsewhere"
-&gt; Are present off the coast of OR and WA (although must be in very small numbers) so I made it 200,000 to account for these and the estimate by Cullen (1999)
-&gt; also, These estimates don’t account for the # that migrate through, which probably makes it much higher</t>
        </r>
      </text>
    </comment>
    <comment ref="O16" authorId="0">
      <text>
        <r>
          <rPr>
            <b/>
            <sz val="9"/>
            <color indexed="81"/>
            <rFont val="Tahoma"/>
            <family val="2"/>
          </rPr>
          <t>Emma Cashman Kelsey:</t>
        </r>
        <r>
          <rPr>
            <sz val="9"/>
            <color indexed="81"/>
            <rFont val="Tahoma"/>
            <family val="2"/>
          </rPr>
          <t xml:space="preserve">
Briggs et al. 1987: Eared and Horned Grebes indistinguishable on surveys so counted together, 5% thought to be Horned
- prob 20,000 winter off N and central CA</t>
        </r>
      </text>
    </comment>
    <comment ref="R16" authorId="0">
      <text>
        <r>
          <rPr>
            <b/>
            <sz val="9"/>
            <color indexed="81"/>
            <rFont val="Tahoma"/>
            <family val="2"/>
          </rPr>
          <t>Emma Cashman Kelsey:</t>
        </r>
        <r>
          <rPr>
            <sz val="9"/>
            <color indexed="81"/>
            <rFont val="Tahoma"/>
            <family val="2"/>
          </rPr>
          <t xml:space="preserve">
Briggs et al. 1987: Eared and Horned Grebes indistinguishable on surveys so counted together, 5% thought to be Horned
- prob 20,000 winter off N and central CA</t>
        </r>
      </text>
    </comment>
    <comment ref="AN16" authorId="1">
      <text>
        <r>
          <rPr>
            <b/>
            <sz val="9"/>
            <color indexed="81"/>
            <rFont val="Tahoma"/>
            <family val="2"/>
          </rPr>
          <t>Kelsey, Emily Cashman:</t>
        </r>
        <r>
          <rPr>
            <sz val="9"/>
            <color indexed="81"/>
            <rFont val="Tahoma"/>
            <family val="2"/>
          </rPr>
          <t xml:space="preserve">
oldest known female = 12 years
Based on Furness et al. 2012
0.65-0.7 = SR of great-crested and slavonian grebes (Furness and Wade 2012)</t>
        </r>
      </text>
    </comment>
    <comment ref="C17" authorId="0">
      <text>
        <r>
          <rPr>
            <b/>
            <sz val="9"/>
            <color indexed="81"/>
            <rFont val="Tahoma"/>
            <family val="2"/>
          </rPr>
          <t>Emma Cashman Kelsey:</t>
        </r>
        <r>
          <rPr>
            <sz val="9"/>
            <color indexed="81"/>
            <rFont val="Tahoma"/>
            <family val="2"/>
          </rPr>
          <t xml:space="preserve">
aka- Slavonian grebe</t>
        </r>
      </text>
    </comment>
    <comment ref="N17" authorId="0">
      <text>
        <r>
          <rPr>
            <b/>
            <sz val="9"/>
            <color indexed="81"/>
            <rFont val="Tahoma"/>
            <family val="2"/>
          </rPr>
          <t>Emma Cashman Kelsey:</t>
        </r>
        <r>
          <rPr>
            <sz val="9"/>
            <color indexed="81"/>
            <rFont val="Tahoma"/>
            <family val="2"/>
          </rPr>
          <t xml:space="preserve">
Stedman 2000: Breeds in central AK and Canada.  Western wintering pop: "Predominantly in coastal estuaries and bays from Aleutians and south coastal Alaska south along the Pacific coast to (rarely) n. Baja California Sur and in n. Gulf of California"</t>
        </r>
      </text>
    </comment>
    <comment ref="AG17" authorId="1">
      <text>
        <r>
          <rPr>
            <b/>
            <sz val="9"/>
            <color indexed="81"/>
            <rFont val="Tahoma"/>
            <family val="2"/>
          </rPr>
          <t>Kelsey, Emily Cashman:</t>
        </r>
        <r>
          <rPr>
            <sz val="9"/>
            <color indexed="81"/>
            <rFont val="Tahoma"/>
            <family val="2"/>
          </rPr>
          <t xml:space="preserve">
Western Population (Easter population is endangered)</t>
        </r>
      </text>
    </comment>
    <comment ref="AL17" authorId="0">
      <text>
        <r>
          <rPr>
            <b/>
            <sz val="9"/>
            <color indexed="81"/>
            <rFont val="Tahoma"/>
            <family val="2"/>
          </rPr>
          <t>Emma Cashman Kelsey:</t>
        </r>
        <r>
          <rPr>
            <sz val="9"/>
            <color indexed="81"/>
            <rFont val="Tahoma"/>
            <family val="2"/>
          </rPr>
          <t xml:space="preserve">
the population the winters in the CCS breeds primarily in Canada.  Therefore, Canada's record is appropriate</t>
        </r>
      </text>
    </comment>
    <comment ref="AN17" authorId="1">
      <text>
        <r>
          <rPr>
            <b/>
            <sz val="9"/>
            <color indexed="81"/>
            <rFont val="Tahoma"/>
            <family val="2"/>
          </rPr>
          <t>Kelsey, Emily Cashman:</t>
        </r>
        <r>
          <rPr>
            <sz val="9"/>
            <color indexed="81"/>
            <rFont val="Tahoma"/>
            <family val="2"/>
          </rPr>
          <t xml:space="preserve">
0.65-0.7 (Furness and Wade 2012)</t>
        </r>
      </text>
    </comment>
    <comment ref="N18" authorId="0">
      <text>
        <r>
          <rPr>
            <b/>
            <sz val="9"/>
            <color indexed="81"/>
            <rFont val="Tahoma"/>
            <family val="2"/>
          </rPr>
          <t>Emma Cashman Kelsey:</t>
        </r>
        <r>
          <rPr>
            <sz val="9"/>
            <color indexed="81"/>
            <rFont val="Tahoma"/>
            <family val="2"/>
          </rPr>
          <t xml:space="preserve">
Stout and Nuechterlein 1999: "Winters primarily on marine waters along Atlantic and Pacific Coasts and, to limited extent, on Great Lakes. Along Pacific Coast from Pribilof and Aleutian Is. and s. Alaska south to central California (Monterey Co.; Small 1994), most birds wintering from s. Alaska coast to n. Oregon. Especially abundant around s. Vancouver I., Strait of Georgia, and Puget Sound (Root 1988)."</t>
        </r>
      </text>
    </comment>
    <comment ref="P18" authorId="0">
      <text>
        <r>
          <rPr>
            <b/>
            <sz val="9"/>
            <color indexed="81"/>
            <rFont val="Tahoma"/>
            <family val="2"/>
          </rPr>
          <t>Emma Cashman Kelsey:</t>
        </r>
        <r>
          <rPr>
            <sz val="9"/>
            <color indexed="81"/>
            <rFont val="Tahoma"/>
            <family val="2"/>
          </rPr>
          <t xml:space="preserve">
Wahl et al 1981: flocks of 50 - 600 birds in Strait of Juan de Fuca
- guessing there has to be a couple of these types of flocks at least?</t>
        </r>
      </text>
    </comment>
    <comment ref="R18" authorId="0">
      <text>
        <r>
          <rPr>
            <b/>
            <sz val="9"/>
            <color indexed="81"/>
            <rFont val="Tahoma"/>
            <family val="2"/>
          </rPr>
          <t>Emma Cashman Kelsey:</t>
        </r>
        <r>
          <rPr>
            <sz val="9"/>
            <color indexed="81"/>
            <rFont val="Tahoma"/>
            <family val="2"/>
          </rPr>
          <t xml:space="preserve">
Stout and Nuechterlein 1999: winter as far south as Monterey
-&gt; part of the "small grebes" counted as Horned and Eared by Briggs et al. 1987, going to count them as .5%
</t>
        </r>
      </text>
    </comment>
    <comment ref="S18" authorId="0">
      <text>
        <r>
          <rPr>
            <b/>
            <sz val="9"/>
            <color indexed="81"/>
            <rFont val="Tahoma"/>
            <family val="2"/>
          </rPr>
          <t>Emma Cashman Kelsey:</t>
        </r>
        <r>
          <rPr>
            <sz val="9"/>
            <color indexed="81"/>
            <rFont val="Tahoma"/>
            <family val="2"/>
          </rPr>
          <t xml:space="preserve">
Stout and Nuechterlein 1999: "Winters primarily on marine waters along Atlantic and Pacific Coasts and, to limited extent, on Great Lakes. Along Pacific Coast from Pribilof and Aleutian Is. and s. Alaska south to central California (Monterey Co.; Small 1994), most birds wintering from s. Alaska coast to n. Oregon. Especially abundant around s. Vancouver I., Strait of Georgia, and Puget Sound (Root 1988)."</t>
        </r>
      </text>
    </comment>
    <comment ref="AN18" authorId="1">
      <text>
        <r>
          <rPr>
            <b/>
            <sz val="9"/>
            <color indexed="81"/>
            <rFont val="Tahoma"/>
            <family val="2"/>
          </rPr>
          <t>Kelsey, Emily Cashman:</t>
        </r>
        <r>
          <rPr>
            <sz val="9"/>
            <color indexed="81"/>
            <rFont val="Tahoma"/>
            <family val="2"/>
          </rPr>
          <t xml:space="preserve">
0.65-0.7 = SR of great-crested and slavonian grebes (Furness and Wade 2012)
Garthe and Huppop: estimated 0.7</t>
        </r>
      </text>
    </comment>
    <comment ref="AO18" authorId="1">
      <text>
        <r>
          <rPr>
            <b/>
            <sz val="9"/>
            <color indexed="81"/>
            <rFont val="Tahoma"/>
            <family val="2"/>
          </rPr>
          <t>Kelsey, Emily Cashman:</t>
        </r>
        <r>
          <rPr>
            <sz val="9"/>
            <color indexed="81"/>
            <rFont val="Tahoma"/>
            <family val="2"/>
          </rPr>
          <t xml:space="preserve">
Willmott et al. had the same data (from different sources) but gave them a 4….</t>
        </r>
      </text>
    </comment>
    <comment ref="N19" authorId="3">
      <text>
        <r>
          <rPr>
            <b/>
            <sz val="9"/>
            <color indexed="81"/>
            <rFont val="Tahoma"/>
            <family val="2"/>
          </rPr>
          <t>Adams, Josh:</t>
        </r>
        <r>
          <rPr>
            <sz val="9"/>
            <color indexed="81"/>
            <rFont val="Tahoma"/>
            <family val="2"/>
          </rPr>
          <t xml:space="preserve">
Naughton et al. 2007: some proportion Japan/Kure vs East Breeding segregation
-8,000 birds nesting at Kure and Japan combined - where do Midway and P&amp;H birds feed?
-&gt; 112,000 nest in HI 
Awkerman 2008: &gt;95% of pop nests on HI I.s
Brueggeman 1992: 14% stay at sea (instead of nesting) during winter (prob. mainly juveniles)
= 15,680
=&gt; going to round up from estimates from CA and WA to account of WA winter pop and OR pop</t>
        </r>
      </text>
    </comment>
    <comment ref="P19" authorId="0">
      <text>
        <r>
          <rPr>
            <b/>
            <sz val="9"/>
            <color indexed="81"/>
            <rFont val="Tahoma"/>
            <family val="2"/>
          </rPr>
          <t>Emma Cashman Kelsey:</t>
        </r>
        <r>
          <rPr>
            <sz val="9"/>
            <color indexed="81"/>
            <rFont val="Tahoma"/>
            <family val="2"/>
          </rPr>
          <t xml:space="preserve">
Brueggeman 1992: summer pop est. from reports of densities over last 30 yrs</t>
        </r>
      </text>
    </comment>
    <comment ref="R19" authorId="0">
      <text>
        <r>
          <rPr>
            <b/>
            <sz val="9"/>
            <color indexed="81"/>
            <rFont val="Tahoma"/>
            <family val="2"/>
          </rPr>
          <t>Emma Cashman Kelsey:</t>
        </r>
        <r>
          <rPr>
            <sz val="9"/>
            <color indexed="81"/>
            <rFont val="Tahoma"/>
            <family val="2"/>
          </rPr>
          <t xml:space="preserve">
Briggs 1987: 
summer = 15,000 - 75,000
winter = 500 - 1500</t>
        </r>
      </text>
    </comment>
    <comment ref="AN19" authorId="0">
      <text>
        <r>
          <rPr>
            <b/>
            <sz val="9"/>
            <color indexed="81"/>
            <rFont val="Tahoma"/>
            <family val="2"/>
          </rPr>
          <t>Emma Cashman Kelsey:</t>
        </r>
        <r>
          <rPr>
            <sz val="9"/>
            <color indexed="81"/>
            <rFont val="Tahoma"/>
            <family val="2"/>
          </rPr>
          <t xml:space="preserve">
above 0.90 is considered average for albatross spp. (Gill 1990, Gerber and Heppell 2004)</t>
        </r>
      </text>
    </comment>
    <comment ref="T20" authorId="0">
      <text>
        <r>
          <rPr>
            <b/>
            <sz val="9"/>
            <color indexed="81"/>
            <rFont val="Tahoma"/>
            <family val="2"/>
          </rPr>
          <t>Emma Cashman Kelsey:</t>
        </r>
        <r>
          <rPr>
            <sz val="9"/>
            <color indexed="81"/>
            <rFont val="Tahoma"/>
            <family val="2"/>
          </rPr>
          <t xml:space="preserve">
McDermond and Morgan 1993: "March-May… declining numbers offshore CA to BC as overwintering birds migrate north…
June-August… rare off OR and WA…
September-November… rare off S CA, common far offshore of WA and OR; declining numbers off the coast of N America in the seonc half of the fall as adults return to colonies..."</t>
        </r>
      </text>
    </comment>
    <comment ref="T21" authorId="0">
      <text>
        <r>
          <rPr>
            <b/>
            <sz val="9"/>
            <color indexed="81"/>
            <rFont val="Tahoma"/>
            <family val="2"/>
          </rPr>
          <t>Emma Cashman Kelsey:</t>
        </r>
        <r>
          <rPr>
            <sz val="9"/>
            <color indexed="81"/>
            <rFont val="Tahoma"/>
            <family val="2"/>
          </rPr>
          <t xml:space="preserve">
Suryan 2007:  males and jueniles more likely to be found in E Pacific (Aleutian I., Bearing Sea, N America)
McDermond and Morgan 1993: 12% or all sightings occurred ic CCS</t>
        </r>
      </text>
    </comment>
    <comment ref="AN21" authorId="0">
      <text>
        <r>
          <rPr>
            <b/>
            <sz val="9"/>
            <color indexed="81"/>
            <rFont val="Tahoma"/>
            <family val="2"/>
          </rPr>
          <t>Emma Cashman Kelsey:</t>
        </r>
        <r>
          <rPr>
            <sz val="9"/>
            <color indexed="81"/>
            <rFont val="Tahoma"/>
            <family val="2"/>
          </rPr>
          <t xml:space="preserve">
Gill: average for albatross - 0.95
</t>
        </r>
      </text>
    </comment>
    <comment ref="U22" authorId="0">
      <text>
        <r>
          <rPr>
            <b/>
            <sz val="9"/>
            <color indexed="81"/>
            <rFont val="Tahoma"/>
            <family val="2"/>
          </rPr>
          <t>Emma Cashman Kelsey:</t>
        </r>
        <r>
          <rPr>
            <sz val="9"/>
            <color indexed="81"/>
            <rFont val="Tahoma"/>
            <family val="2"/>
          </rPr>
          <t xml:space="preserve">
Birdlife: "Migrates to the N Pacific, for Japan to N America and E to CA and occasionally found off S America…"
Seen on Briggs surveys (1987, 1992, 2014) but not hugely ubundant)
Brueggeman 1992: common late Aug - late Oct, in consistently small numbers off the coast of the PNW</t>
        </r>
      </text>
    </comment>
    <comment ref="F23" authorId="0">
      <text>
        <r>
          <rPr>
            <b/>
            <sz val="9"/>
            <color indexed="81"/>
            <rFont val="Tahoma"/>
            <family val="2"/>
          </rPr>
          <t>Emma Cashman Kelsey:</t>
        </r>
        <r>
          <rPr>
            <sz val="9"/>
            <color indexed="81"/>
            <rFont val="Tahoma"/>
            <family val="2"/>
          </rPr>
          <t xml:space="preserve">
Willmott:
500,000 - 1,170,000
Watts 2010 and Birdlife 2004
</t>
        </r>
      </text>
    </comment>
    <comment ref="U23" authorId="0">
      <text>
        <r>
          <rPr>
            <b/>
            <sz val="9"/>
            <color indexed="81"/>
            <rFont val="Tahoma"/>
            <family val="2"/>
          </rPr>
          <t>Emma Cashman Kelsey:</t>
        </r>
        <r>
          <rPr>
            <sz val="9"/>
            <color indexed="81"/>
            <rFont val="Tahoma"/>
            <family val="2"/>
          </rPr>
          <t xml:space="preserve">
Lee and Hanley 1996: Native to Atlantic
- occasionally found in Pacific, thought to be disoriented, there on accident</t>
        </r>
      </text>
    </comment>
    <comment ref="T24" authorId="0">
      <text>
        <r>
          <rPr>
            <b/>
            <sz val="9"/>
            <color indexed="81"/>
            <rFont val="Tahoma"/>
            <family val="2"/>
          </rPr>
          <t>Emma Cashman Kelsey:</t>
        </r>
        <r>
          <rPr>
            <sz val="9"/>
            <color indexed="81"/>
            <rFont val="Tahoma"/>
            <family val="2"/>
          </rPr>
          <t xml:space="preserve">
Adams pers.com.: 3 out of 15 PFSH tagged on Mocha traveled into the CCS (most only come as north as Mexico)</t>
        </r>
      </text>
    </comment>
    <comment ref="U25" authorId="0">
      <text>
        <r>
          <rPr>
            <b/>
            <sz val="9"/>
            <color indexed="81"/>
            <rFont val="Tahoma"/>
            <family val="2"/>
          </rPr>
          <t>Emma Cashman Kelsey:</t>
        </r>
        <r>
          <rPr>
            <sz val="9"/>
            <color indexed="81"/>
            <rFont val="Tahoma"/>
            <family val="2"/>
          </rPr>
          <t xml:space="preserve">
Birdlife: Some migrate to W Pacific, some to S Africa and N Indian Ocean
-&gt; of the ones that travel to the Pacific, very small % travel to N America (most on W side of the Pacific to Aleutian Is.)</t>
        </r>
      </text>
    </comment>
    <comment ref="N26" authorId="0">
      <text>
        <r>
          <rPr>
            <b/>
            <sz val="9"/>
            <color indexed="81"/>
            <rFont val="Tahoma"/>
            <family val="2"/>
          </rPr>
          <t>Emma Cashman Kelsey:</t>
        </r>
        <r>
          <rPr>
            <sz val="9"/>
            <color indexed="81"/>
            <rFont val="Tahoma"/>
            <family val="2"/>
          </rPr>
          <t xml:space="preserve">
Briggs 1987 &amp; Brueggeman 1992: Indistinguishable from SOSH on arial surveys, probably constitute a very sm. % of summer shearwater pops in CCS (mostly sooty).  But create majority of shearwaters seen in winter.
-&gt; doubled the CA winter rates to include potential OR and WA winter populations and the summer pops that were indistinguishable from SOSH
=&gt; still well below 1% </t>
        </r>
      </text>
    </comment>
    <comment ref="R26" authorId="0">
      <text>
        <r>
          <rPr>
            <b/>
            <sz val="9"/>
            <color indexed="81"/>
            <rFont val="Tahoma"/>
            <family val="2"/>
          </rPr>
          <t>Emma Cashman Kelsey:</t>
        </r>
        <r>
          <rPr>
            <sz val="9"/>
            <color indexed="81"/>
            <rFont val="Tahoma"/>
            <family val="2"/>
          </rPr>
          <t xml:space="preserve">
Briggs 1987: est. winter population off Monterey
- largest pop in winter 
- in summer, indistinguishable from SOSH on surveys</t>
        </r>
      </text>
    </comment>
    <comment ref="F27" authorId="3">
      <text>
        <r>
          <rPr>
            <b/>
            <sz val="9"/>
            <color indexed="81"/>
            <rFont val="Tahoma"/>
            <family val="2"/>
          </rPr>
          <t>Adams, Josh:</t>
        </r>
        <r>
          <rPr>
            <sz val="9"/>
            <color indexed="81"/>
            <rFont val="Tahoma"/>
            <family val="2"/>
          </rPr>
          <t xml:space="preserve">
21 Million plus Chile (Newmen et al 2009) = ~26 million?
Chiloe pop est paper</t>
        </r>
      </text>
    </comment>
    <comment ref="G27" authorId="3">
      <text>
        <r>
          <rPr>
            <b/>
            <sz val="9"/>
            <color indexed="81"/>
            <rFont val="Tahoma"/>
            <family val="2"/>
          </rPr>
          <t>Adams, Josh:</t>
        </r>
        <r>
          <rPr>
            <sz val="9"/>
            <color indexed="81"/>
            <rFont val="Tahoma"/>
            <family val="2"/>
          </rPr>
          <t xml:space="preserve">
21 Million plus Chile (Newmen et al 2009) = ~26 million?
Chiloe pop est paper</t>
        </r>
      </text>
    </comment>
    <comment ref="N27" authorId="0">
      <text>
        <r>
          <rPr>
            <b/>
            <sz val="9"/>
            <color indexed="81"/>
            <rFont val="Tahoma"/>
            <family val="2"/>
          </rPr>
          <t>Emma Cashman Kelsey:</t>
        </r>
        <r>
          <rPr>
            <sz val="9"/>
            <color indexed="81"/>
            <rFont val="Tahoma"/>
            <family val="2"/>
          </rPr>
          <t xml:space="preserve">
Brueggeman 1992: population in E Pacific can reach above 10 mill
Adams 2012: 7 mill in CCLME (1/3 NZ pop)</t>
        </r>
      </text>
    </comment>
    <comment ref="Q27" authorId="0">
      <text>
        <r>
          <rPr>
            <b/>
            <sz val="9"/>
            <color indexed="81"/>
            <rFont val="Tahoma"/>
            <family val="2"/>
          </rPr>
          <t>Emma Cashman Kelsey:</t>
        </r>
        <r>
          <rPr>
            <sz val="9"/>
            <color indexed="81"/>
            <rFont val="Tahoma"/>
            <family val="2"/>
          </rPr>
          <t xml:space="preserve">
Briggs 1983: 2,200,000</t>
        </r>
      </text>
    </comment>
    <comment ref="R27" authorId="0">
      <text>
        <r>
          <rPr>
            <b/>
            <sz val="9"/>
            <color indexed="81"/>
            <rFont val="Tahoma"/>
            <family val="2"/>
          </rPr>
          <t>Emma Cashman Kelsey:</t>
        </r>
        <r>
          <rPr>
            <sz val="9"/>
            <color indexed="81"/>
            <rFont val="Tahoma"/>
            <family val="2"/>
          </rPr>
          <t xml:space="preserve">
Briggs 1983: 3,900,000
Briggs 1987: 2,700,000 - 4,700,000 in CA waters</t>
        </r>
      </text>
    </comment>
    <comment ref="AN27" authorId="2">
      <text>
        <r>
          <rPr>
            <b/>
            <sz val="9"/>
            <color indexed="81"/>
            <rFont val="Calibri"/>
            <family val="2"/>
          </rPr>
          <t>Emma Kelsey:</t>
        </r>
        <r>
          <rPr>
            <sz val="9"/>
            <color indexed="81"/>
            <rFont val="Calibri"/>
            <family val="2"/>
          </rPr>
          <t xml:space="preserve">
Botkin: 0.93</t>
        </r>
      </text>
    </comment>
    <comment ref="R28" authorId="0">
      <text>
        <r>
          <rPr>
            <b/>
            <sz val="9"/>
            <color indexed="81"/>
            <rFont val="Tahoma"/>
            <family val="2"/>
          </rPr>
          <t>Emma Cashman Kelsey:</t>
        </r>
        <r>
          <rPr>
            <sz val="9"/>
            <color indexed="81"/>
            <rFont val="Tahoma"/>
            <family val="2"/>
          </rPr>
          <t xml:space="preserve">
Briggs 1987: 20,000 - 30,000 = peak fall pop counts in CA.
Birdlife: breeds off Mexico, then migrates N into the CCS</t>
        </r>
      </text>
    </comment>
    <comment ref="E29" authorId="3">
      <text>
        <r>
          <rPr>
            <b/>
            <sz val="9"/>
            <color indexed="81"/>
            <rFont val="Tahoma"/>
            <family val="2"/>
          </rPr>
          <t>Adams, Josh:</t>
        </r>
        <r>
          <rPr>
            <sz val="9"/>
            <color indexed="81"/>
            <rFont val="Tahoma"/>
            <family val="2"/>
          </rPr>
          <t xml:space="preserve">
Split from Northern Fulmar</t>
        </r>
      </text>
    </comment>
    <comment ref="F29" authorId="3">
      <text>
        <r>
          <rPr>
            <b/>
            <sz val="9"/>
            <color indexed="81"/>
            <rFont val="Tahoma"/>
            <family val="2"/>
          </rPr>
          <t>Adams, Josh:</t>
        </r>
        <r>
          <rPr>
            <sz val="9"/>
            <color indexed="81"/>
            <rFont val="Tahoma"/>
            <family val="2"/>
          </rPr>
          <t xml:space="preserve">
Mallory, Mark L., Scott A. Hatch and David N. Nettleship. 2012. Northern Fulmar (Fulmarus glacialis), The Birds of North America Online (A. Poole, Ed.). Ithaca: Cornell Lab of Ornithology; Retrieved from the Birds of North America Online: http://bna.birds.cornell.edu/bna/species/361
doi:10.2173/bna.361
</t>
        </r>
      </text>
    </comment>
    <comment ref="N29" authorId="3">
      <text>
        <r>
          <rPr>
            <b/>
            <sz val="9"/>
            <color indexed="81"/>
            <rFont val="Tahoma"/>
            <family val="2"/>
          </rPr>
          <t>Adams, Josh:</t>
        </r>
        <r>
          <rPr>
            <sz val="9"/>
            <color indexed="81"/>
            <rFont val="Tahoma"/>
            <family val="2"/>
          </rPr>
          <t xml:space="preserve">
Mallory 2012: Adjusted North American total is 2.2 million birds (3 million using methods of [Brooke 2004]).
The majority of this populations migrates south to winter, in the CCS and Mexico</t>
        </r>
      </text>
    </comment>
    <comment ref="P29" authorId="0">
      <text>
        <r>
          <rPr>
            <b/>
            <sz val="9"/>
            <color indexed="81"/>
            <rFont val="Tahoma"/>
            <family val="2"/>
          </rPr>
          <t>Emma Cashman Kelsey:</t>
        </r>
        <r>
          <rPr>
            <sz val="9"/>
            <color indexed="81"/>
            <rFont val="Tahoma"/>
            <family val="2"/>
          </rPr>
          <t xml:space="preserve">
Brueggeman 1992: sm. Numbers off coast of WA in summer, higher densities in winter</t>
        </r>
      </text>
    </comment>
    <comment ref="R29" authorId="0">
      <text>
        <r>
          <rPr>
            <b/>
            <sz val="9"/>
            <color indexed="81"/>
            <rFont val="Tahoma"/>
            <family val="2"/>
          </rPr>
          <t>Emma Cashman Kelsey:</t>
        </r>
        <r>
          <rPr>
            <sz val="9"/>
            <color indexed="81"/>
            <rFont val="Tahoma"/>
            <family val="2"/>
          </rPr>
          <t xml:space="preserve">
Briggs 1987: 225,000 - 360,000 winter time high
</t>
        </r>
      </text>
    </comment>
    <comment ref="AN29" authorId="2">
      <text>
        <r>
          <rPr>
            <b/>
            <sz val="9"/>
            <color indexed="81"/>
            <rFont val="Calibri"/>
            <family val="2"/>
          </rPr>
          <t>Emma Kelsey:</t>
        </r>
        <r>
          <rPr>
            <sz val="9"/>
            <color indexed="81"/>
            <rFont val="Calibri"/>
            <family val="2"/>
          </rPr>
          <t xml:space="preserve">
Botkin: 0.94
Hatch = 0.97</t>
        </r>
      </text>
    </comment>
    <comment ref="U30" authorId="0">
      <text>
        <r>
          <rPr>
            <b/>
            <sz val="9"/>
            <color indexed="81"/>
            <rFont val="Tahoma"/>
            <family val="2"/>
          </rPr>
          <t>Emma Cashman Kelsey:</t>
        </r>
        <r>
          <rPr>
            <sz val="9"/>
            <color indexed="81"/>
            <rFont val="Tahoma"/>
            <family val="2"/>
          </rPr>
          <t xml:space="preserve">
Simons and Hodges 1998: "only recently recorded off coast of Or and CA, 4 records since 1986"
Briggs 1987: not mentioned but other Pterodroma spp. Were very rare</t>
        </r>
      </text>
    </comment>
    <comment ref="AB30" authorId="1">
      <text>
        <r>
          <rPr>
            <b/>
            <sz val="9"/>
            <color indexed="81"/>
            <rFont val="Tahoma"/>
            <family val="2"/>
          </rPr>
          <t>Kelsey, Emily Cashman:</t>
        </r>
        <r>
          <rPr>
            <sz val="9"/>
            <color indexed="81"/>
            <rFont val="Tahoma"/>
            <family val="2"/>
          </rPr>
          <t xml:space="preserve">
Pterodroma phaeopygia sandwichensis (dark-rumped subspecies)</t>
        </r>
      </text>
    </comment>
    <comment ref="AN30" authorId="1">
      <text>
        <r>
          <rPr>
            <b/>
            <sz val="9"/>
            <color indexed="81"/>
            <rFont val="Tahoma"/>
            <family val="2"/>
          </rPr>
          <t>Kelsey, Emily Cashman:</t>
        </r>
        <r>
          <rPr>
            <sz val="9"/>
            <color indexed="81"/>
            <rFont val="Tahoma"/>
            <family val="2"/>
          </rPr>
          <t xml:space="preserve">
adult survival (juvenline survival assumed to be 0.80)
</t>
        </r>
      </text>
    </comment>
    <comment ref="N31" authorId="0">
      <text>
        <r>
          <rPr>
            <b/>
            <sz val="9"/>
            <color indexed="81"/>
            <rFont val="Tahoma"/>
            <family val="2"/>
          </rPr>
          <t>Emma Cashman Kelsey:</t>
        </r>
        <r>
          <rPr>
            <sz val="9"/>
            <color indexed="81"/>
            <rFont val="Tahoma"/>
            <family val="2"/>
          </rPr>
          <t xml:space="preserve">
Rayner et al. 2011: 2 distinct pops of COPE.  The one on Little Barrier Island migrates to NE Pacific, the other does not.
Birdlife: 286,000 pairs breed on LBI</t>
        </r>
      </text>
    </comment>
    <comment ref="N32" authorId="0">
      <text>
        <r>
          <rPr>
            <b/>
            <sz val="9"/>
            <color indexed="81"/>
            <rFont val="Tahoma"/>
            <family val="2"/>
          </rPr>
          <t>Emma Cashman Kelsey:</t>
        </r>
        <r>
          <rPr>
            <sz val="9"/>
            <color indexed="81"/>
            <rFont val="Tahoma"/>
            <family val="2"/>
          </rPr>
          <t xml:space="preserve">
est. up to 110,000 MOPE in the gulf of AK during summer.  This would be pop that is traveling thru NE Pacific (so also possibly throught the CCS)</t>
        </r>
      </text>
    </comment>
    <comment ref="N33" authorId="0">
      <text>
        <r>
          <rPr>
            <b/>
            <sz val="9"/>
            <color indexed="81"/>
            <rFont val="Tahoma"/>
            <family val="2"/>
          </rPr>
          <t>Emma Cashman Kelsey:</t>
        </r>
        <r>
          <rPr>
            <sz val="9"/>
            <color indexed="81"/>
            <rFont val="Tahoma"/>
            <family val="2"/>
          </rPr>
          <t xml:space="preserve">
Carter et al. 2008: nearly endemic (&gt;95%) to CA</t>
        </r>
      </text>
    </comment>
    <comment ref="R33" authorId="0">
      <text>
        <r>
          <rPr>
            <b/>
            <sz val="9"/>
            <color indexed="81"/>
            <rFont val="Tahoma"/>
            <family val="2"/>
          </rPr>
          <t>Emma Cashman Kelsey:</t>
        </r>
        <r>
          <rPr>
            <sz val="9"/>
            <color indexed="81"/>
            <rFont val="Tahoma"/>
            <family val="2"/>
          </rPr>
          <t xml:space="preserve">
Carter 1992: 7,209 breeders</t>
        </r>
      </text>
    </comment>
    <comment ref="AN33" authorId="1">
      <text>
        <r>
          <rPr>
            <b/>
            <sz val="9"/>
            <color indexed="81"/>
            <rFont val="Tahoma"/>
            <family val="2"/>
          </rPr>
          <t>Kelsey, Emily Cashman:</t>
        </r>
        <r>
          <rPr>
            <sz val="9"/>
            <color indexed="81"/>
            <rFont val="Tahoma"/>
            <family val="2"/>
          </rPr>
          <t xml:space="preserve">
Spear and Ainley 2007
Furness and Wade:
European SP = 0.9
Leach's = 0.9
</t>
        </r>
      </text>
    </comment>
    <comment ref="F34" authorId="3">
      <text>
        <r>
          <rPr>
            <b/>
            <sz val="9"/>
            <color indexed="81"/>
            <rFont val="Tahoma"/>
            <family val="2"/>
          </rPr>
          <t>Adams, Josh:</t>
        </r>
        <r>
          <rPr>
            <sz val="9"/>
            <color indexed="81"/>
            <rFont val="Tahoma"/>
            <family val="2"/>
          </rPr>
          <t xml:space="preserve">
Ainley 2008, CABSSC has &gt;1 million, ~300 in so cal.
- Ainley and Spear SP monograph</t>
        </r>
      </text>
    </comment>
    <comment ref="N34" authorId="0">
      <text>
        <r>
          <rPr>
            <b/>
            <sz val="9"/>
            <color indexed="81"/>
            <rFont val="Tahoma"/>
            <family val="2"/>
          </rPr>
          <t>Emma Cashman Kelsey:</t>
        </r>
        <r>
          <rPr>
            <sz val="9"/>
            <color indexed="81"/>
            <rFont val="Tahoma"/>
            <family val="2"/>
          </rPr>
          <t xml:space="preserve">
Ainley 2008: Many move north after breeding season, thousands found off the coast of S CA in winter</t>
        </r>
      </text>
    </comment>
    <comment ref="R34" authorId="0">
      <text>
        <r>
          <rPr>
            <b/>
            <sz val="9"/>
            <color indexed="81"/>
            <rFont val="Tahoma"/>
            <family val="2"/>
          </rPr>
          <t>Emma Cashman Kelsey:</t>
        </r>
        <r>
          <rPr>
            <sz val="9"/>
            <color indexed="81"/>
            <rFont val="Tahoma"/>
            <family val="2"/>
          </rPr>
          <t xml:space="preserve">
Sowls et al 1980: 300
Briggs 1983: 200
Carter et al 1992: 274
BREEDERS
Spear and Ainley 2007: x2 to account for juviniles (for LESP)</t>
        </r>
      </text>
    </comment>
    <comment ref="AN34" authorId="1">
      <text>
        <r>
          <rPr>
            <b/>
            <sz val="9"/>
            <color indexed="81"/>
            <rFont val="Tahoma"/>
            <family val="2"/>
          </rPr>
          <t>Kelsey, Emily Cashman:</t>
        </r>
        <r>
          <rPr>
            <sz val="9"/>
            <color indexed="81"/>
            <rFont val="Tahoma"/>
            <family val="2"/>
          </rPr>
          <t xml:space="preserve">
Furness and Wade:
European SP = 0.9
Leach's = 0.9</t>
        </r>
      </text>
    </comment>
    <comment ref="P35" authorId="0">
      <text>
        <r>
          <rPr>
            <b/>
            <sz val="9"/>
            <color indexed="81"/>
            <rFont val="Tahoma"/>
            <family val="2"/>
          </rPr>
          <t>Emma Cashman Kelsey:</t>
        </r>
        <r>
          <rPr>
            <sz val="9"/>
            <color indexed="81"/>
            <rFont val="Tahoma"/>
            <family val="2"/>
          </rPr>
          <t xml:space="preserve">
Briggs 1983: 3800 breeders
Speich and Wahl 1989 = 3878 breeders</t>
        </r>
      </text>
    </comment>
    <comment ref="Q35" authorId="0">
      <text>
        <r>
          <rPr>
            <b/>
            <sz val="9"/>
            <color indexed="81"/>
            <rFont val="Tahoma"/>
            <family val="2"/>
          </rPr>
          <t>Emma Cashman Kelsey:</t>
        </r>
        <r>
          <rPr>
            <sz val="9"/>
            <color indexed="81"/>
            <rFont val="Tahoma"/>
            <family val="2"/>
          </rPr>
          <t xml:space="preserve">
Briggs 1983: 500 - 1000 breeders</t>
        </r>
      </text>
    </comment>
    <comment ref="R35" authorId="3">
      <text>
        <r>
          <rPr>
            <b/>
            <sz val="9"/>
            <color indexed="81"/>
            <rFont val="Tahoma"/>
            <family val="2"/>
          </rPr>
          <t>Adams, Josh:</t>
        </r>
        <r>
          <rPr>
            <sz val="9"/>
            <color indexed="81"/>
            <rFont val="Tahoma"/>
            <family val="2"/>
          </rPr>
          <t xml:space="preserve">
McChesney&amp;Carter 2008 CABSSC: 400 breeders
Carter 1992: 410 breeders</t>
        </r>
      </text>
    </comment>
    <comment ref="AN35" authorId="1">
      <text>
        <r>
          <rPr>
            <b/>
            <sz val="9"/>
            <color indexed="81"/>
            <rFont val="Tahoma"/>
            <family val="2"/>
          </rPr>
          <t>Kelsey, Emily Cashman:</t>
        </r>
        <r>
          <rPr>
            <sz val="9"/>
            <color indexed="81"/>
            <rFont val="Tahoma"/>
            <family val="2"/>
          </rPr>
          <t xml:space="preserve">
lifespan &gt;= 14 years
Furness and Wade:
European SP = 0.9
Leach's = 0.9</t>
        </r>
      </text>
    </comment>
    <comment ref="G36" authorId="2">
      <text>
        <r>
          <rPr>
            <b/>
            <sz val="9"/>
            <color indexed="81"/>
            <rFont val="Calibri"/>
            <family val="2"/>
          </rPr>
          <t>Emma Kelsey:</t>
        </r>
        <r>
          <rPr>
            <sz val="9"/>
            <color indexed="81"/>
            <rFont val="Calibri"/>
            <family val="2"/>
          </rPr>
          <t xml:space="preserve">
Watts 2010 says:
Leach's = 8,000,000
Wilson's = 6,000,000</t>
        </r>
      </text>
    </comment>
    <comment ref="N36" authorId="3">
      <text>
        <r>
          <rPr>
            <b/>
            <sz val="9"/>
            <color indexed="81"/>
            <rFont val="Tahoma"/>
            <family val="2"/>
          </rPr>
          <t>Adams, Josh:</t>
        </r>
        <r>
          <rPr>
            <sz val="9"/>
            <color indexed="81"/>
            <rFont val="Tahoma"/>
            <family val="2"/>
          </rPr>
          <t xml:space="preserve">
7637152 = pop total for americas:
Huntington, Charles E., Ronald G. Butler and Robert A. Mauck. 1996. Leach's Storm-Petrel (Oceanodroma leucorhoa), The Birds of North America Online (A. Poole, Ed.). Ithaca: Cornell Lab of Ornithology; Retrieved from the Birds of North America Online: http://bna.birds.cornell.edu/bna/species/233
doi:10.2173/bna.233
</t>
        </r>
      </text>
    </comment>
    <comment ref="P36" authorId="3">
      <text>
        <r>
          <rPr>
            <b/>
            <sz val="9"/>
            <color indexed="81"/>
            <rFont val="Tahoma"/>
            <family val="2"/>
          </rPr>
          <t>Adams, Josh:</t>
        </r>
        <r>
          <rPr>
            <sz val="9"/>
            <color indexed="81"/>
            <rFont val="Tahoma"/>
            <family val="2"/>
          </rPr>
          <t xml:space="preserve">
Briggs et al. 1992: 18,000 (breeding pairs)
WA and OR Speich and Wahl 1989: 36,000
Spear and Ainley 2007: 50% of pop is nonbreeders so multiply breeding pop by 2
</t>
        </r>
      </text>
    </comment>
    <comment ref="Q36" authorId="0">
      <text>
        <r>
          <rPr>
            <b/>
            <sz val="9"/>
            <color indexed="81"/>
            <rFont val="Tahoma"/>
            <family val="2"/>
          </rPr>
          <t>Emma Cashman Kelsey:</t>
        </r>
        <r>
          <rPr>
            <sz val="9"/>
            <color indexed="81"/>
            <rFont val="Tahoma"/>
            <family val="2"/>
          </rPr>
          <t xml:space="preserve">
Huntington: 217,500
Naughton 2007: 482,000
Spear and Ainley 2007: 50% of pop is nonbreeders so multiply breeding pop by 2</t>
        </r>
      </text>
    </comment>
    <comment ref="R36" authorId="3">
      <text>
        <r>
          <rPr>
            <b/>
            <sz val="9"/>
            <color indexed="81"/>
            <rFont val="Tahoma"/>
            <family val="2"/>
          </rPr>
          <t>Adams, Josh:</t>
        </r>
        <r>
          <rPr>
            <sz val="9"/>
            <color indexed="81"/>
            <rFont val="Tahoma"/>
            <family val="2"/>
          </rPr>
          <t xml:space="preserve">
Ainley et al. 1990 in sp acct - 9150 pairs
Sowls et al 1980: 18,305
Carter 1992: 12551
Spear and Ainley 2007: 50% of pop is nonbreeders so multiply breeding pop X 2
=&gt; 25,102
Briggs 1987:  30,000 - 100,000 off N CA in spring, same number off S CA june - sept
=&gt; 60,000 - 200,000</t>
        </r>
      </text>
    </comment>
    <comment ref="AL36" authorId="0">
      <text>
        <r>
          <rPr>
            <b/>
            <sz val="9"/>
            <color indexed="81"/>
            <rFont val="Tahoma"/>
            <family val="2"/>
          </rPr>
          <t>Emma Cashman Kelsey:</t>
        </r>
        <r>
          <rPr>
            <sz val="9"/>
            <color indexed="81"/>
            <rFont val="Tahoma"/>
            <family val="2"/>
          </rPr>
          <t xml:space="preserve">
higher ranking on Mexico but that is partly a different subspecies that doesn't travel into the CCS
</t>
        </r>
      </text>
    </comment>
    <comment ref="T37" authorId="0">
      <text>
        <r>
          <rPr>
            <b/>
            <sz val="9"/>
            <color indexed="81"/>
            <rFont val="Tahoma"/>
            <family val="2"/>
          </rPr>
          <t>Emma Cashman Kelsey:</t>
        </r>
        <r>
          <rPr>
            <sz val="9"/>
            <color indexed="81"/>
            <rFont val="Tahoma"/>
            <family val="2"/>
          </rPr>
          <t xml:space="preserve">
"It undergoes trans-equatorial migration, spending the off-season in the middle latitudes of the north Atlantic and north Indian Ocean. A lower number of individuals also migrate to the Pacific." - Birdlife International
Spear and Ainley do not mention them above lat 12.87 deg N</t>
        </r>
      </text>
    </comment>
    <comment ref="O38" authorId="3">
      <text>
        <r>
          <rPr>
            <b/>
            <sz val="9"/>
            <color indexed="81"/>
            <rFont val="Tahoma"/>
            <family val="2"/>
          </rPr>
          <t>Adams, Josh:</t>
        </r>
        <r>
          <rPr>
            <sz val="9"/>
            <color indexed="81"/>
            <rFont val="Tahoma"/>
            <family val="2"/>
          </rPr>
          <t xml:space="preserve">
The most recent population estimate
of the brown pelican subspecies that
ranges from California to Mexico along
the Pacific Coast is approximately
70,680 nesting pairs, which equates to
141,360 breeding birds (Anderson et al.
2007, p. 8).
http://www.gpo.gov/fdsys/pkg/FR-2009-11-17/pdf/E9-27402.pdf#page=1</t>
        </r>
      </text>
    </comment>
    <comment ref="R38" authorId="3">
      <text>
        <r>
          <rPr>
            <b/>
            <sz val="9"/>
            <color indexed="81"/>
            <rFont val="Tahoma"/>
            <family val="2"/>
          </rPr>
          <t>Adams, Josh:</t>
        </r>
        <r>
          <rPr>
            <sz val="9"/>
            <color indexed="81"/>
            <rFont val="Tahoma"/>
            <family val="2"/>
          </rPr>
          <t xml:space="preserve">
In 2006, approximately
11,695 breeding pairs were documented
at 10 locations in the SCB
http://www.gpo.gov/fdsys/pkg/FR-2009-11-17/pdf/E9-27402.pdf#page=1
Carter 1992: 11,916</t>
        </r>
      </text>
    </comment>
    <comment ref="AC38" authorId="2">
      <text>
        <r>
          <rPr>
            <b/>
            <sz val="9"/>
            <color indexed="81"/>
            <rFont val="Calibri"/>
            <family val="2"/>
          </rPr>
          <t>Emma Kelsey:</t>
        </r>
        <r>
          <rPr>
            <sz val="9"/>
            <color indexed="81"/>
            <rFont val="Calibri"/>
            <family val="2"/>
          </rPr>
          <t xml:space="preserve">
California BRPE</t>
        </r>
      </text>
    </comment>
    <comment ref="AN38" authorId="1">
      <text>
        <r>
          <rPr>
            <b/>
            <sz val="9"/>
            <color indexed="81"/>
            <rFont val="Tahoma"/>
            <family val="2"/>
          </rPr>
          <t>Kelsey, Emily Cashman:</t>
        </r>
        <r>
          <rPr>
            <sz val="9"/>
            <color indexed="81"/>
            <rFont val="Tahoma"/>
            <family val="2"/>
          </rPr>
          <t xml:space="preserve">
see bna references
most recent study, and the one done in CA specifically, gave survival rates of 0.91-0.94 for control birds</t>
        </r>
      </text>
    </comment>
    <comment ref="N39" authorId="0">
      <text>
        <r>
          <rPr>
            <b/>
            <sz val="9"/>
            <color indexed="81"/>
            <rFont val="Tahoma"/>
            <family val="2"/>
          </rPr>
          <t>Emma Cashman Kelsey:</t>
        </r>
        <r>
          <rPr>
            <sz val="9"/>
            <color indexed="81"/>
            <rFont val="Tahoma"/>
            <family val="2"/>
          </rPr>
          <t xml:space="preserve">
N American population splits into 2 groups depending on which way they migrate down the continental divide in winter (Knopf and Evans 2004)</t>
        </r>
      </text>
    </comment>
    <comment ref="S39" authorId="0">
      <text>
        <r>
          <rPr>
            <b/>
            <sz val="9"/>
            <color indexed="81"/>
            <rFont val="Tahoma"/>
            <family val="2"/>
          </rPr>
          <t>Emma Cashman Kelsey:</t>
        </r>
        <r>
          <rPr>
            <sz val="9"/>
            <color indexed="81"/>
            <rFont val="Tahoma"/>
            <family val="2"/>
          </rPr>
          <t xml:space="preserve">
N American population splits into 2 groups depending on which way they migrate down the continental divide in winter (Knopf and Evans 2004)</t>
        </r>
      </text>
    </comment>
    <comment ref="AN39" authorId="1">
      <text>
        <r>
          <rPr>
            <b/>
            <sz val="9"/>
            <color indexed="81"/>
            <rFont val="Tahoma"/>
            <family val="2"/>
          </rPr>
          <t>Kelsey, Emily Cashman:</t>
        </r>
        <r>
          <rPr>
            <sz val="9"/>
            <color indexed="81"/>
            <rFont val="Tahoma"/>
            <family val="2"/>
          </rPr>
          <t xml:space="preserve">
21.3% mortality for N. Dakota spp in year 3-13.  Must be an overestimate though because of band loss.
Average BRPE survival rate used as upper range</t>
        </r>
      </text>
    </comment>
    <comment ref="F40" authorId="3">
      <text>
        <r>
          <rPr>
            <b/>
            <sz val="9"/>
            <color indexed="81"/>
            <rFont val="Tahoma"/>
            <family val="2"/>
          </rPr>
          <t>Adams, Josh:</t>
        </r>
        <r>
          <rPr>
            <sz val="9"/>
            <color indexed="81"/>
            <rFont val="Tahoma"/>
            <family val="2"/>
          </rPr>
          <t xml:space="preserve">
151200 from: Boekelheide, R. J., D. G. Ainley, S. H. Morrell, and T. J. Lewis. 1990. Brandt's cormorant. Pages 163-194 in Seabirds of the Farallon Islands. (Ainley, D. G. and R. J. Boekelheide, Eds.) Stanford Univ. Press, Stanford, CA.</t>
        </r>
      </text>
    </comment>
    <comment ref="G40" authorId="3">
      <text>
        <r>
          <rPr>
            <b/>
            <sz val="9"/>
            <color indexed="81"/>
            <rFont val="Tahoma"/>
            <family val="2"/>
          </rPr>
          <t>Adams, Josh:</t>
        </r>
        <r>
          <rPr>
            <sz val="9"/>
            <color indexed="81"/>
            <rFont val="Tahoma"/>
            <family val="2"/>
          </rPr>
          <t xml:space="preserve">
151200 from: Boekelheide, R. J., D. G. Ainley, S. H. Morrell, and T. J. Lewis. 1990. Brandt's cormorant. Pages 163-194 in Seabirds of the Farallon Islands. (Ainley, D. G. and R. J. Boekelheide, Eds.) Stanford Univ. Press, Stanford, CA.</t>
        </r>
      </text>
    </comment>
    <comment ref="N40" authorId="0">
      <text>
        <r>
          <rPr>
            <b/>
            <sz val="9"/>
            <color indexed="81"/>
            <rFont val="Tahoma"/>
            <family val="2"/>
          </rPr>
          <t>Emma Cashman Kelsey:</t>
        </r>
        <r>
          <rPr>
            <sz val="9"/>
            <color indexed="81"/>
            <rFont val="Tahoma"/>
            <family val="2"/>
          </rPr>
          <t xml:space="preserve">
based on number of pairs estimated in each state
</t>
        </r>
      </text>
    </comment>
    <comment ref="P40" authorId="3">
      <text>
        <r>
          <rPr>
            <b/>
            <sz val="9"/>
            <color indexed="81"/>
            <rFont val="Tahoma"/>
            <family val="2"/>
          </rPr>
          <t>Adams, Josh:</t>
        </r>
        <r>
          <rPr>
            <sz val="9"/>
            <color indexed="81"/>
            <rFont val="Tahoma"/>
            <family val="2"/>
          </rPr>
          <t xml:space="preserve">
Ainley et al: 132 - 578 pairs
Speich and Wahl 1989: 554 breeders</t>
        </r>
      </text>
    </comment>
    <comment ref="Q40" authorId="3">
      <text>
        <r>
          <rPr>
            <b/>
            <sz val="9"/>
            <color indexed="81"/>
            <rFont val="Tahoma"/>
            <family val="2"/>
          </rPr>
          <t>Adams, Josh:</t>
        </r>
        <r>
          <rPr>
            <sz val="9"/>
            <color indexed="81"/>
            <rFont val="Tahoma"/>
            <family val="2"/>
          </rPr>
          <t xml:space="preserve">
11,408 pairs - R. Lowe unpub. In :  Wallace, Elizabeth A. and George E. Wallace. 1998. Brandt's Cormorant (Phalacrocorax penicillatus), The Birds of North America Online (A. Poole, Ed.). Ithaca: Cornell Lab of Ornithology; Retrieved from the Birds of North America Online: http://bna.birds.cornell.edu/bna/species/362. doi:10.2173/bna.362
Adams 2013: 21.200</t>
        </r>
      </text>
    </comment>
    <comment ref="R40" authorId="3">
      <text>
        <r>
          <rPr>
            <b/>
            <sz val="9"/>
            <color indexed="81"/>
            <rFont val="Tahoma"/>
            <family val="2"/>
          </rPr>
          <t>Adams, Josh:</t>
        </r>
        <r>
          <rPr>
            <sz val="9"/>
            <color indexed="81"/>
            <rFont val="Tahoma"/>
            <family val="2"/>
          </rPr>
          <t xml:space="preserve">
41,697 pairs - Carter et al. 1992 in Wallace and Wallace 1998
64,210 - Sowls et al 1980
83,394: Carter 1992
Capitolo et al 2014: 34876 breeders in central CA
</t>
        </r>
      </text>
    </comment>
    <comment ref="AN40" authorId="1">
      <text>
        <r>
          <rPr>
            <b/>
            <sz val="9"/>
            <color indexed="81"/>
            <rFont val="Tahoma"/>
            <family val="2"/>
          </rPr>
          <t>Kelsey, Emily Cashman:</t>
        </r>
        <r>
          <rPr>
            <sz val="9"/>
            <color indexed="81"/>
            <rFont val="Tahoma"/>
            <family val="2"/>
          </rPr>
          <t xml:space="preserve">
Furness and Wade 2012:
Great cormorant=0.84
Shag=0.82</t>
        </r>
      </text>
    </comment>
    <comment ref="N41" authorId="3">
      <text>
        <r>
          <rPr>
            <b/>
            <sz val="9"/>
            <color indexed="81"/>
            <rFont val="Tahoma"/>
            <family val="2"/>
          </rPr>
          <t>Adams, Josh:</t>
        </r>
        <r>
          <rPr>
            <sz val="9"/>
            <color indexed="81"/>
            <rFont val="Tahoma"/>
            <family val="2"/>
          </rPr>
          <t xml:space="preserve">
Hatch et al. 1999: West Coast (albociliatus), 22,000 pairs</t>
        </r>
      </text>
    </comment>
    <comment ref="P41" authorId="0">
      <text>
        <r>
          <rPr>
            <b/>
            <sz val="9"/>
            <color indexed="81"/>
            <rFont val="Tahoma"/>
            <family val="2"/>
          </rPr>
          <t>Emma Cashman Kelsey:</t>
        </r>
        <r>
          <rPr>
            <sz val="9"/>
            <color indexed="81"/>
            <rFont val="Tahoma"/>
            <family val="2"/>
          </rPr>
          <t xml:space="preserve">
Briggs 1983: 100
Speich and Wahl 1989: 3296 breeders
</t>
        </r>
      </text>
    </comment>
    <comment ref="Q41" authorId="0">
      <text>
        <r>
          <rPr>
            <b/>
            <sz val="9"/>
            <color indexed="81"/>
            <rFont val="Tahoma"/>
            <family val="2"/>
          </rPr>
          <t>Emma Cashman Kelsey:</t>
        </r>
        <r>
          <rPr>
            <sz val="9"/>
            <color indexed="81"/>
            <rFont val="Tahoma"/>
            <family val="2"/>
          </rPr>
          <t xml:space="preserve">
Adams 2013: 30,400
</t>
        </r>
      </text>
    </comment>
    <comment ref="R41" authorId="0">
      <text>
        <r>
          <rPr>
            <b/>
            <sz val="9"/>
            <color indexed="81"/>
            <rFont val="Tahoma"/>
            <family val="2"/>
          </rPr>
          <t>Emma Cashman Kelsey:</t>
        </r>
        <r>
          <rPr>
            <sz val="9"/>
            <color indexed="81"/>
            <rFont val="Tahoma"/>
            <family val="2"/>
          </rPr>
          <t xml:space="preserve">
Carter et al. 1992: 10,037</t>
        </r>
      </text>
    </comment>
    <comment ref="AN41" authorId="1">
      <text>
        <r>
          <rPr>
            <b/>
            <sz val="9"/>
            <color indexed="81"/>
            <rFont val="Tahoma"/>
            <family val="2"/>
          </rPr>
          <t>Kelsey, Emily Cashman:</t>
        </r>
        <r>
          <rPr>
            <sz val="9"/>
            <color indexed="81"/>
            <rFont val="Tahoma"/>
            <family val="2"/>
          </rPr>
          <t xml:space="preserve">
Willmott et al: 0.85
Seamans = 0.88
Furness and Wade 2012:
Great cormorant=0.84
Shag=0.82</t>
        </r>
      </text>
    </comment>
    <comment ref="F42" authorId="3">
      <text>
        <r>
          <rPr>
            <b/>
            <sz val="9"/>
            <color indexed="81"/>
            <rFont val="Tahoma"/>
            <family val="2"/>
          </rPr>
          <t>Adams, Josh:</t>
        </r>
        <r>
          <rPr>
            <sz val="9"/>
            <color indexed="81"/>
            <rFont val="Tahoma"/>
            <family val="2"/>
          </rPr>
          <t xml:space="preserve">
Siegel-Causey and Litvinenko (1993) estimated the world breeding population to be about 400,000 birds, about a third occurring in North America (Johnsgard 1993).</t>
        </r>
      </text>
    </comment>
    <comment ref="G42" authorId="3">
      <text>
        <r>
          <rPr>
            <b/>
            <sz val="9"/>
            <color indexed="81"/>
            <rFont val="Tahoma"/>
            <family val="2"/>
          </rPr>
          <t>Adams, Josh:</t>
        </r>
        <r>
          <rPr>
            <sz val="9"/>
            <color indexed="81"/>
            <rFont val="Tahoma"/>
            <family val="2"/>
          </rPr>
          <t xml:space="preserve">
Siegel-Causey and Litvinenko (1993) estimated the world breeding population to be about 400,000 birds, about a third occurring in North America (Johnsgard 1993).</t>
        </r>
      </text>
    </comment>
    <comment ref="P42" authorId="3">
      <text>
        <r>
          <rPr>
            <b/>
            <sz val="9"/>
            <color indexed="81"/>
            <rFont val="Tahoma"/>
            <family val="2"/>
          </rPr>
          <t>Adams, Josh:</t>
        </r>
        <r>
          <rPr>
            <sz val="9"/>
            <color indexed="81"/>
            <rFont val="Tahoma"/>
            <family val="2"/>
          </rPr>
          <t xml:space="preserve">
Speich and. Wahl. 1989: 4866
</t>
        </r>
      </text>
    </comment>
    <comment ref="Q42" authorId="0">
      <text>
        <r>
          <rPr>
            <b/>
            <sz val="9"/>
            <color indexed="81"/>
            <rFont val="Tahoma"/>
            <family val="2"/>
          </rPr>
          <t>Emma Cashman Kelsey:</t>
        </r>
        <r>
          <rPr>
            <sz val="9"/>
            <color indexed="81"/>
            <rFont val="Tahoma"/>
            <family val="2"/>
          </rPr>
          <t xml:space="preserve">
Adams 2013: 10,100</t>
        </r>
      </text>
    </comment>
    <comment ref="R42" authorId="3">
      <text>
        <r>
          <rPr>
            <b/>
            <sz val="9"/>
            <color indexed="81"/>
            <rFont val="Tahoma"/>
            <family val="2"/>
          </rPr>
          <t>Adams, Josh:</t>
        </r>
        <r>
          <rPr>
            <sz val="9"/>
            <color indexed="81"/>
            <rFont val="Tahoma"/>
            <family val="2"/>
          </rPr>
          <t xml:space="preserve">
Carter 1992: 14,345 birds, occupying 215 breeding areas; 8,400, 3,258, and 2,687 occurred in n., central, and s. California, respectively. 
Sowls et al: 15,870</t>
        </r>
      </text>
    </comment>
    <comment ref="T42" authorId="0">
      <text>
        <r>
          <rPr>
            <b/>
            <sz val="9"/>
            <color indexed="81"/>
            <rFont val="Tahoma"/>
            <family val="2"/>
          </rPr>
          <t>Emma Cashman Kelsey:</t>
        </r>
        <r>
          <rPr>
            <sz val="9"/>
            <color indexed="81"/>
            <rFont val="Tahoma"/>
            <family val="2"/>
          </rPr>
          <t xml:space="preserve">
Siegel-Cousey and Litvinenko 1993: 28,000 out of 400,000 total live in CA, OR, and WA</t>
        </r>
      </text>
    </comment>
    <comment ref="AN42" authorId="1">
      <text>
        <r>
          <rPr>
            <b/>
            <sz val="9"/>
            <color indexed="81"/>
            <rFont val="Tahoma"/>
            <family val="2"/>
          </rPr>
          <t>Kelsey, Emily Cashman:</t>
        </r>
        <r>
          <rPr>
            <sz val="9"/>
            <color indexed="81"/>
            <rFont val="Tahoma"/>
            <family val="2"/>
          </rPr>
          <t xml:space="preserve">
Furness and Wade 2012:
Great cormorant=0.84
Shag=0.82</t>
        </r>
      </text>
    </comment>
    <comment ref="N43" authorId="0">
      <text>
        <r>
          <rPr>
            <b/>
            <sz val="9"/>
            <color indexed="81"/>
            <rFont val="Tahoma"/>
            <family val="2"/>
          </rPr>
          <t>Emma Cashman Kelsey:</t>
        </r>
        <r>
          <rPr>
            <sz val="9"/>
            <color indexed="81"/>
            <rFont val="Tahoma"/>
            <family val="2"/>
          </rPr>
          <t xml:space="preserve">
Tracy et al 2002: AK pop = 750,00, Canada = 500,000
- small #s winter off coast of CA (most travel farther south)
=&gt; if all the REPH that nested in AK and Canada traveled through CCS to wintering grounds...</t>
        </r>
      </text>
    </comment>
    <comment ref="O43" authorId="0">
      <text>
        <r>
          <rPr>
            <b/>
            <sz val="9"/>
            <color indexed="81"/>
            <rFont val="Tahoma"/>
            <family val="2"/>
          </rPr>
          <t>Emma Cashman Kelsey:</t>
        </r>
        <r>
          <rPr>
            <sz val="9"/>
            <color indexed="81"/>
            <rFont val="Tahoma"/>
            <family val="2"/>
          </rPr>
          <t xml:space="preserve">
Bruegeman 1992: pop </t>
        </r>
      </text>
    </comment>
    <comment ref="R43" authorId="0">
      <text>
        <r>
          <rPr>
            <b/>
            <sz val="9"/>
            <color indexed="81"/>
            <rFont val="Tahoma"/>
            <family val="2"/>
          </rPr>
          <t>Emma Cashman Kelsey:</t>
        </r>
        <r>
          <rPr>
            <sz val="9"/>
            <color indexed="81"/>
            <rFont val="Tahoma"/>
            <family val="2"/>
          </rPr>
          <t xml:space="preserve">
Briggs et al. 1987: 3,700,000 REPH and RNPH in CA in Oct. (peak population)
- 75-95% of winter Phalarope pop was REPH
- REPH #s peaked 1 month after RNPH</t>
        </r>
      </text>
    </comment>
    <comment ref="N44" authorId="0">
      <text>
        <r>
          <rPr>
            <b/>
            <sz val="9"/>
            <color indexed="81"/>
            <rFont val="Tahoma"/>
            <family val="2"/>
          </rPr>
          <t>Emma Cashman Kelsey:</t>
        </r>
        <r>
          <rPr>
            <sz val="9"/>
            <color indexed="81"/>
            <rFont val="Tahoma"/>
            <family val="2"/>
          </rPr>
          <t xml:space="preserve">
Rubega et al. 2000: a few million in Prince William Sound area during migration (all heading south maybe?</t>
        </r>
      </text>
    </comment>
    <comment ref="P44" authorId="0">
      <text>
        <r>
          <rPr>
            <b/>
            <sz val="9"/>
            <color indexed="81"/>
            <rFont val="Tahoma"/>
            <family val="2"/>
          </rPr>
          <t>Emma Cashman Kelsey:</t>
        </r>
        <r>
          <rPr>
            <sz val="9"/>
            <color indexed="81"/>
            <rFont val="Tahoma"/>
            <family val="2"/>
          </rPr>
          <t xml:space="preserve">
Brueggeman 1992: 98% of spring phalarpoes were RNPH
- in Fall, smaller % were RNPH</t>
        </r>
      </text>
    </comment>
    <comment ref="Q44" authorId="0">
      <text>
        <r>
          <rPr>
            <b/>
            <sz val="9"/>
            <color indexed="81"/>
            <rFont val="Tahoma"/>
            <family val="2"/>
          </rPr>
          <t>Emma Cashman Kelsey:</t>
        </r>
        <r>
          <rPr>
            <sz val="9"/>
            <color indexed="81"/>
            <rFont val="Tahoma"/>
            <family val="2"/>
          </rPr>
          <t xml:space="preserve">
Brueggeman 1992: 98% of spring phalarpoes were RNPH</t>
        </r>
      </text>
    </comment>
    <comment ref="R44" authorId="0">
      <text>
        <r>
          <rPr>
            <b/>
            <sz val="9"/>
            <color indexed="81"/>
            <rFont val="Tahoma"/>
            <family val="2"/>
          </rPr>
          <t>Emma Cashman Kelsey:</t>
        </r>
        <r>
          <rPr>
            <sz val="9"/>
            <color indexed="81"/>
            <rFont val="Tahoma"/>
            <family val="2"/>
          </rPr>
          <t xml:space="preserve">
Briggs et al. 1987: 3,700,000 REPH and RNPH in CA in Oct. (peak population)
Rubega et al 2000: &lt;100 winter off coast of S CA, most travel farther south
</t>
        </r>
      </text>
    </comment>
    <comment ref="N45" authorId="0">
      <text>
        <r>
          <rPr>
            <b/>
            <sz val="9"/>
            <color indexed="81"/>
            <rFont val="Tahoma"/>
            <family val="2"/>
          </rPr>
          <t>Emma Cashman Kelsey:</t>
        </r>
        <r>
          <rPr>
            <sz val="9"/>
            <color indexed="81"/>
            <rFont val="Tahoma"/>
            <family val="2"/>
          </rPr>
          <t xml:space="preserve">
Briggs 1983: 32-60% of Bearing Sea/Pacific pop stay in AK for winter
-&gt; 40-68% travel sounth (1983: 1/2 of 5mill population nests in the Pacific/Bearing Sea.  Of that, 0.8-1.5 mill stay in AK for winter.  That would mean 1.7 - 1 mill come south)
 hatch et al 2009: 2.4 mill in Pacific region
-&gt; sticking with roughly the same % that were thought to move south by  Briggs (1983)</t>
        </r>
      </text>
    </comment>
    <comment ref="AN45" authorId="0">
      <text>
        <r>
          <rPr>
            <b/>
            <sz val="9"/>
            <color indexed="81"/>
            <rFont val="Tahoma"/>
            <family val="2"/>
          </rPr>
          <t>Emma Cashman Kelsey:</t>
        </r>
        <r>
          <rPr>
            <sz val="9"/>
            <color indexed="81"/>
            <rFont val="Tahoma"/>
            <family val="2"/>
          </rPr>
          <t xml:space="preserve">
Hatch et al: 0.92
Garthe and Huppop: 0.81
del Hoyo: 0.95</t>
        </r>
      </text>
    </comment>
    <comment ref="F46" authorId="0">
      <text>
        <r>
          <rPr>
            <b/>
            <sz val="9"/>
            <color indexed="81"/>
            <rFont val="Tahoma"/>
            <family val="2"/>
          </rPr>
          <t>Emma Cashman Kelsey:</t>
        </r>
        <r>
          <rPr>
            <sz val="9"/>
            <color indexed="81"/>
            <rFont val="Tahoma"/>
            <family val="2"/>
          </rPr>
          <t xml:space="preserve">
Burger and Gochfeld 2002: 85,000 - 175,000 breeding pairs
</t>
        </r>
      </text>
    </comment>
    <comment ref="N46" authorId="0">
      <text>
        <r>
          <rPr>
            <b/>
            <sz val="9"/>
            <color indexed="81"/>
            <rFont val="Tahoma"/>
            <family val="2"/>
          </rPr>
          <t>Emma Cashman Kelsey:</t>
        </r>
        <r>
          <rPr>
            <sz val="9"/>
            <color indexed="81"/>
            <rFont val="Tahoma"/>
            <family val="2"/>
          </rPr>
          <t xml:space="preserve">
Burger and Gochfeld 2002: winter on pacific coast, cnetral N America, along Mississippi to gulf coast, along atlantic coast, and a few in Mexico, Bermuda, Bahamas, and Cuba</t>
        </r>
      </text>
    </comment>
    <comment ref="Q46" authorId="0">
      <text>
        <r>
          <rPr>
            <b/>
            <sz val="9"/>
            <color indexed="81"/>
            <rFont val="Tahoma"/>
            <family val="2"/>
          </rPr>
          <t>Emma Cashman Kelsey:</t>
        </r>
        <r>
          <rPr>
            <sz val="9"/>
            <color indexed="81"/>
            <rFont val="Tahoma"/>
            <family val="2"/>
          </rPr>
          <t xml:space="preserve">
Brueggeman 1992: Migrants thought not to stop over in OR and WA
- non breeding pop in OR and WA is 1/10 of S CA</t>
        </r>
      </text>
    </comment>
    <comment ref="R46" authorId="0">
      <text>
        <r>
          <rPr>
            <b/>
            <sz val="9"/>
            <color indexed="81"/>
            <rFont val="Tahoma"/>
            <family val="2"/>
          </rPr>
          <t>Emma Cashman Kelsey:</t>
        </r>
        <r>
          <rPr>
            <sz val="9"/>
            <color indexed="81"/>
            <rFont val="Tahoma"/>
            <family val="2"/>
          </rPr>
          <t xml:space="preserve">
Briggs 1987: 300,000 in S. CA and 530,000 N of Pt. Conception during spring migration
- 15,000 in S CA Dec-March
Briggs 1983: 130,00 - 530,00 during spring and fall migrations</t>
        </r>
      </text>
    </comment>
    <comment ref="AN46" authorId="1">
      <text>
        <r>
          <rPr>
            <b/>
            <sz val="9"/>
            <color indexed="81"/>
            <rFont val="Tahoma"/>
            <family val="2"/>
          </rPr>
          <t>Kelsey, Emily Cashman:</t>
        </r>
        <r>
          <rPr>
            <sz val="9"/>
            <color indexed="81"/>
            <rFont val="Tahoma"/>
            <family val="2"/>
          </rPr>
          <t xml:space="preserve">
black-headed gull
similar:
common gull
laughing gull
red and black billed gull</t>
        </r>
      </text>
    </comment>
    <comment ref="N47" authorId="0">
      <text>
        <r>
          <rPr>
            <b/>
            <sz val="9"/>
            <color indexed="81"/>
            <rFont val="Tahoma"/>
            <family val="2"/>
          </rPr>
          <t>Emma Cashman Kelsey:</t>
        </r>
        <r>
          <rPr>
            <sz val="9"/>
            <color indexed="81"/>
            <rFont val="Tahoma"/>
            <family val="2"/>
          </rPr>
          <t xml:space="preserve">
Day 2001: "In California, peak number of 50,000 individuals recorded in spring due to temporal concentration during migration; actual number migrating by unknown (Briggs et al. 1987). These individuals probably come from w. Canada, Alaska, and e. and probably n.-central Russia. Estimated population size of ≤100,000 individuals for Pacific wintering population (Shuntov 1998)."</t>
        </r>
      </text>
    </comment>
    <comment ref="R47" authorId="0">
      <text>
        <r>
          <rPr>
            <b/>
            <sz val="9"/>
            <color indexed="81"/>
            <rFont val="Tahoma"/>
            <family val="2"/>
          </rPr>
          <t>Emma Cashman Kelsey:</t>
        </r>
        <r>
          <rPr>
            <sz val="9"/>
            <color indexed="81"/>
            <rFont val="Tahoma"/>
            <family val="2"/>
          </rPr>
          <t xml:space="preserve">
Briggs 1983: peak spring pop 25,000 - 50,000
Briggs 1987: 50,000
- peak migration 5000 - 10,000 at one time
Briggs 1992: fall peak numbers seen in CA shortly after OR and WA, same population but traveling quickly (?)</t>
        </r>
      </text>
    </comment>
    <comment ref="AN47" authorId="1">
      <text>
        <r>
          <rPr>
            <b/>
            <sz val="9"/>
            <color indexed="81"/>
            <rFont val="Tahoma"/>
            <family val="2"/>
          </rPr>
          <t>Kelsey, Emily Cashman:</t>
        </r>
        <r>
          <rPr>
            <sz val="9"/>
            <color indexed="81"/>
            <rFont val="Tahoma"/>
            <family val="2"/>
          </rPr>
          <t xml:space="preserve">
black-headed gull
</t>
        </r>
      </text>
    </comment>
    <comment ref="N48" authorId="0">
      <text>
        <r>
          <rPr>
            <b/>
            <sz val="9"/>
            <color indexed="81"/>
            <rFont val="Tahoma"/>
            <family val="2"/>
          </rPr>
          <t>Emma Cashman Kelsey:</t>
        </r>
        <r>
          <rPr>
            <sz val="9"/>
            <color indexed="81"/>
            <rFont val="Tahoma"/>
            <family val="2"/>
          </rPr>
          <t xml:space="preserve">
Winklet 1996: populations also winter along the OR and WA coast but don't know how many and it is highly variable.
I am estimating that a high of 300,000 winter off CA, though this may be an over est. (see CA pop notes).  If there were as many in OR and WA than the pop % would be a ranking of 4 instead of 3, so I am giving it 25% uncertainty.  (there are probably significantly less CAGU wintering off the coast of WA and OR than CA)</t>
        </r>
      </text>
    </comment>
    <comment ref="R48" authorId="0">
      <text>
        <r>
          <rPr>
            <b/>
            <sz val="9"/>
            <color indexed="81"/>
            <rFont val="Tahoma"/>
            <family val="2"/>
          </rPr>
          <t>Emma Cashman Kelsey:</t>
        </r>
        <r>
          <rPr>
            <sz val="9"/>
            <color indexed="81"/>
            <rFont val="Tahoma"/>
            <family val="2"/>
          </rPr>
          <t xml:space="preserve">
Carter 1992: 4764 nesting birds
Briggs 1987: 10,000 birds wintering off the coast (1981)
Briggs 1983: 150,000 - 200,000 winter off the coast of S CA
   200,000 - 300,000 seen off coast of N and C CA 
Brueggeman 1992: 150,000 birds N and S of pt Conception, but these counts were done at different times so aren't additive (but we will consider them that way for the sake of arguement)</t>
        </r>
      </text>
    </comment>
    <comment ref="S48" authorId="0">
      <text>
        <r>
          <rPr>
            <b/>
            <sz val="9"/>
            <color indexed="81"/>
            <rFont val="Tahoma"/>
            <family val="2"/>
          </rPr>
          <t>Emma Cashman Kelsey:</t>
        </r>
        <r>
          <rPr>
            <sz val="9"/>
            <color indexed="81"/>
            <rFont val="Tahoma"/>
            <family val="2"/>
          </rPr>
          <t xml:space="preserve">
some breed in interior US and Canada but all thought to come to ocean during winter? (Canadian pop follows columbia R down) (Adams 2013)</t>
        </r>
      </text>
    </comment>
    <comment ref="AN48" authorId="1">
      <text>
        <r>
          <rPr>
            <b/>
            <sz val="9"/>
            <color indexed="81"/>
            <rFont val="Tahoma"/>
            <family val="2"/>
          </rPr>
          <t>Kelsey, Emily Cashman:</t>
        </r>
        <r>
          <rPr>
            <sz val="9"/>
            <color indexed="81"/>
            <rFont val="Tahoma"/>
            <family val="2"/>
          </rPr>
          <t xml:space="preserve">
Winkler:
mono lake = 0.79
WY = 0.75 - 0.92
Furness and Wade:
common gull = 0.8
in the same family as WEGU, HERG, GWGU so on higher end of range</t>
        </r>
      </text>
    </comment>
    <comment ref="G49" authorId="0">
      <text>
        <r>
          <rPr>
            <b/>
            <sz val="9"/>
            <color indexed="81"/>
            <rFont val="Tahoma"/>
            <family val="2"/>
          </rPr>
          <t>Emma Cashman Kelsey:</t>
        </r>
        <r>
          <rPr>
            <sz val="9"/>
            <color indexed="81"/>
            <rFont val="Tahoma"/>
            <family val="2"/>
          </rPr>
          <t xml:space="preserve">
est. 300,000 breeders</t>
        </r>
      </text>
    </comment>
    <comment ref="R49" authorId="0">
      <text>
        <r>
          <rPr>
            <b/>
            <sz val="9"/>
            <color indexed="81"/>
            <rFont val="Tahoma"/>
            <family val="2"/>
          </rPr>
          <t>Emma Cashman Kelsey:</t>
        </r>
        <r>
          <rPr>
            <sz val="9"/>
            <color indexed="81"/>
            <rFont val="Tahoma"/>
            <family val="2"/>
          </rPr>
          <t xml:space="preserve">
Briggs et al. 1983: max fall pop = 13,000 in central CA (1982), 15,000 in so CA (1983)
</t>
        </r>
      </text>
    </comment>
    <comment ref="S49" authorId="0">
      <text>
        <r>
          <rPr>
            <b/>
            <sz val="9"/>
            <color indexed="81"/>
            <rFont val="Tahoma"/>
            <family val="2"/>
          </rPr>
          <t>Emma Cashman Kelsey:</t>
        </r>
        <r>
          <rPr>
            <sz val="9"/>
            <color indexed="81"/>
            <rFont val="Tahoma"/>
            <family val="2"/>
          </rPr>
          <t xml:space="preserve">
90% of breeders nest on Isla Raza and all(?) migrate north in the off season?</t>
        </r>
      </text>
    </comment>
    <comment ref="AN49" authorId="1">
      <text>
        <r>
          <rPr>
            <b/>
            <sz val="9"/>
            <color indexed="81"/>
            <rFont val="Tahoma"/>
            <family val="2"/>
          </rPr>
          <t>Kelsey, Emily Cashman:</t>
        </r>
        <r>
          <rPr>
            <sz val="9"/>
            <color indexed="81"/>
            <rFont val="Tahoma"/>
            <family val="2"/>
          </rPr>
          <t xml:space="preserve">
common gull
</t>
        </r>
      </text>
    </comment>
    <comment ref="N50" authorId="0">
      <text>
        <r>
          <rPr>
            <b/>
            <sz val="9"/>
            <color indexed="81"/>
            <rFont val="Tahoma"/>
            <family val="2"/>
          </rPr>
          <t>Emma Cashman Kelsey:</t>
        </r>
        <r>
          <rPr>
            <sz val="9"/>
            <color indexed="81"/>
            <rFont val="Tahoma"/>
            <family val="2"/>
          </rPr>
          <t xml:space="preserve">
William and Bevier 2002: Christmas bird counts est 50,000 along W coast of America</t>
        </r>
      </text>
    </comment>
    <comment ref="R50" authorId="0">
      <text>
        <r>
          <rPr>
            <b/>
            <sz val="9"/>
            <color indexed="81"/>
            <rFont val="Tahoma"/>
            <family val="2"/>
          </rPr>
          <t>Emma Cashman Kelsey:</t>
        </r>
        <r>
          <rPr>
            <sz val="9"/>
            <color indexed="81"/>
            <rFont val="Tahoma"/>
            <family val="2"/>
          </rPr>
          <t xml:space="preserve">
Briggs 1987: Southern CA winter pop = 1500</t>
        </r>
      </text>
    </comment>
    <comment ref="AN50" authorId="1">
      <text>
        <r>
          <rPr>
            <b/>
            <sz val="9"/>
            <color indexed="81"/>
            <rFont val="Tahoma"/>
            <family val="2"/>
          </rPr>
          <t>Kelsey, Emily Cashman:</t>
        </r>
        <r>
          <rPr>
            <sz val="9"/>
            <color indexed="81"/>
            <rFont val="Tahoma"/>
            <family val="2"/>
          </rPr>
          <t xml:space="preserve">
Garthe and Huppop: 0.8
same as common gull (Furness and Wade 2012)
</t>
        </r>
      </text>
    </comment>
    <comment ref="N51" authorId="0">
      <text>
        <r>
          <rPr>
            <b/>
            <sz val="9"/>
            <color indexed="81"/>
            <rFont val="Tahoma"/>
            <family val="2"/>
          </rPr>
          <t>Emma Cashman Kelsey:</t>
        </r>
        <r>
          <rPr>
            <sz val="9"/>
            <color indexed="81"/>
            <rFont val="Tahoma"/>
            <family val="2"/>
          </rPr>
          <t xml:space="preserve">
Pollet et al. 2012: "Winters in the west from s. British Columbia south along the Pacific coast to s. Mexico; interior/eastern populations from the Great Lakes and the Canadian Maritimes (including e. Newfoundland) south to the s. US (Florida and Gulf coast), the Caribbean, and se. Mexico (Ebird data)."</t>
        </r>
      </text>
    </comment>
    <comment ref="R51" authorId="0">
      <text>
        <r>
          <rPr>
            <b/>
            <sz val="9"/>
            <color indexed="81"/>
            <rFont val="Tahoma"/>
            <family val="2"/>
          </rPr>
          <t>Emma Cashman Kelsey:</t>
        </r>
        <r>
          <rPr>
            <sz val="9"/>
            <color indexed="81"/>
            <rFont val="Tahoma"/>
            <family val="2"/>
          </rPr>
          <t xml:space="preserve">
Briggs 1987: 10,000 in S CA but most likely underest. b/c many unid. gulls also seen</t>
        </r>
      </text>
    </comment>
    <comment ref="AN51" authorId="1">
      <text>
        <r>
          <rPr>
            <b/>
            <sz val="9"/>
            <color indexed="81"/>
            <rFont val="Tahoma"/>
            <family val="2"/>
          </rPr>
          <t>Kelsey, Emily Cashman:</t>
        </r>
        <r>
          <rPr>
            <sz val="9"/>
            <color indexed="81"/>
            <rFont val="Tahoma"/>
            <family val="2"/>
          </rPr>
          <t xml:space="preserve">
Pollet et al 2012:
btwn yr 2 and 3 = 0.87 - 0.88
Furrness and Wade:
common gull = 0.8</t>
        </r>
      </text>
    </comment>
    <comment ref="F52" authorId="2">
      <text>
        <r>
          <rPr>
            <b/>
            <sz val="9"/>
            <color indexed="81"/>
            <rFont val="Calibri"/>
            <family val="2"/>
          </rPr>
          <t>Emma Kelsey:</t>
        </r>
        <r>
          <rPr>
            <sz val="9"/>
            <color indexed="81"/>
            <rFont val="Calibri"/>
            <family val="2"/>
          </rPr>
          <t xml:space="preserve">
This is what Willmott et al. 2013 had for the species as a whole.  Should have the number for the subspecies instead?</t>
        </r>
      </text>
    </comment>
    <comment ref="N52" authorId="0">
      <text>
        <r>
          <rPr>
            <b/>
            <sz val="9"/>
            <color indexed="81"/>
            <rFont val="Tahoma"/>
            <family val="2"/>
          </rPr>
          <t>Emma Cashman Kelsey:</t>
        </r>
        <r>
          <rPr>
            <sz val="9"/>
            <color indexed="81"/>
            <rFont val="Tahoma"/>
            <family val="2"/>
          </rPr>
          <t xml:space="preserve">
Pierotti and Good 1994: "fairly continuous distribution along all Atlantic, Pacific, and Gulf coasts; also extends north into s. Illinois, W. Virginia, Tennessee, and Alabama along Mississippi, Ohio, and Cumberland Rivers.</t>
        </r>
      </text>
    </comment>
    <comment ref="R52" authorId="0">
      <text>
        <r>
          <rPr>
            <b/>
            <sz val="9"/>
            <color indexed="81"/>
            <rFont val="Tahoma"/>
            <family val="2"/>
          </rPr>
          <t>Emma Cashman Kelsey:</t>
        </r>
        <r>
          <rPr>
            <sz val="9"/>
            <color indexed="81"/>
            <rFont val="Tahoma"/>
            <family val="2"/>
          </rPr>
          <t xml:space="preserve">
Briggs 1983: 300,000 = wintering pop
</t>
        </r>
      </text>
    </comment>
    <comment ref="AN52" authorId="1">
      <text>
        <r>
          <rPr>
            <b/>
            <sz val="9"/>
            <color indexed="81"/>
            <rFont val="Tahoma"/>
            <family val="2"/>
          </rPr>
          <t>Kelsey, Emily Cashman:</t>
        </r>
        <r>
          <rPr>
            <sz val="9"/>
            <color indexed="81"/>
            <rFont val="Tahoma"/>
            <family val="2"/>
          </rPr>
          <t xml:space="preserve">
Furness and Wade 2012:
0.93
Pierotti and Good 1994:
probably lower in N American populations (0.8 - 0.85)
Gill 1990 = 0.90
Garthe and Huppop: 0.93</t>
        </r>
      </text>
    </comment>
    <comment ref="N53" authorId="0">
      <text>
        <r>
          <rPr>
            <b/>
            <sz val="9"/>
            <color indexed="81"/>
            <rFont val="Tahoma"/>
            <family val="2"/>
          </rPr>
          <t>Emma Cashman Kelsey:</t>
        </r>
        <r>
          <rPr>
            <sz val="9"/>
            <color indexed="81"/>
            <rFont val="Tahoma"/>
            <family val="2"/>
          </rPr>
          <t xml:space="preserve">
Snell 2002: "Overwinters locally in southern interior British Columbia. Seasonally abundant to very abundant coastal nw. Washington and coastal British Columbia (Campbell et al. 1990). Common over continental shelf waters off west coast of British Columbia and Oregon and occasionally far offshore with much of the distribution and presence in these offshore areas likely due to presence of fishing fleets (Morgan et al. 1991). Fairly common in midwinter along coast of Oregon and in inland areas west of Cascades on lawns, agricultural lands, and garbage dumps (Gilligan et al. 1994)."</t>
        </r>
      </text>
    </comment>
    <comment ref="O53" authorId="0">
      <text>
        <r>
          <rPr>
            <b/>
            <sz val="9"/>
            <color indexed="81"/>
            <rFont val="Tahoma"/>
            <family val="2"/>
          </rPr>
          <t>Emma Cashman Kelsey:</t>
        </r>
        <r>
          <rPr>
            <sz val="9"/>
            <color indexed="81"/>
            <rFont val="Tahoma"/>
            <family val="2"/>
          </rPr>
          <t xml:space="preserve">
Briggs 1987: THGU make up 5-8% of the THGU and HEEG pop that winter on ANI
=&gt; extrapolate this out to the whole CA wintering pop
- </t>
        </r>
      </text>
    </comment>
    <comment ref="R53" authorId="0">
      <text>
        <r>
          <rPr>
            <b/>
            <sz val="9"/>
            <color indexed="81"/>
            <rFont val="Tahoma"/>
            <family val="2"/>
          </rPr>
          <t>Emma Cashman Kelsey:</t>
        </r>
        <r>
          <rPr>
            <sz val="9"/>
            <color indexed="81"/>
            <rFont val="Tahoma"/>
            <family val="2"/>
          </rPr>
          <t xml:space="preserve">
Briggs 1987: THGU make up 5-8% of the THGU and HEEG pop that winter on ANI
=&gt; extrapolate this out to the whole CA wintering pop
- </t>
        </r>
      </text>
    </comment>
    <comment ref="U53" authorId="0">
      <text>
        <r>
          <rPr>
            <b/>
            <sz val="9"/>
            <color indexed="81"/>
            <rFont val="Tahoma"/>
            <family val="2"/>
          </rPr>
          <t>Emma Cashman Kelsey:</t>
        </r>
        <r>
          <rPr>
            <sz val="9"/>
            <color indexed="81"/>
            <rFont val="Tahoma"/>
            <family val="2"/>
          </rPr>
          <t xml:space="preserve">
I have no idea.   But winter coast to coast and doesn't seem to favor open ocean.  So it can't be a big % of the population….
</t>
        </r>
      </text>
    </comment>
    <comment ref="AN53" authorId="1">
      <text>
        <r>
          <rPr>
            <b/>
            <sz val="9"/>
            <color indexed="81"/>
            <rFont val="Tahoma"/>
            <family val="2"/>
          </rPr>
          <t>Kelsey, Emily Cashman:</t>
        </r>
        <r>
          <rPr>
            <sz val="9"/>
            <color indexed="81"/>
            <rFont val="Tahoma"/>
            <family val="2"/>
          </rPr>
          <t xml:space="preserve">
Herring gull = 0.93
</t>
        </r>
      </text>
    </comment>
    <comment ref="N54" authorId="0">
      <text>
        <r>
          <rPr>
            <b/>
            <sz val="9"/>
            <color indexed="81"/>
            <rFont val="Tahoma"/>
            <family val="2"/>
          </rPr>
          <t>Emma Cashman Kelsey:</t>
        </r>
        <r>
          <rPr>
            <sz val="9"/>
            <color indexed="81"/>
            <rFont val="Tahoma"/>
            <family val="2"/>
          </rPr>
          <t xml:space="preserve">
Good (pers com): "My feeling is that, especially in OR and WA, you are dealing with a hybrid complex that is too mixed up to be able to assign numbers to each species.  It will be a challenge regardless, as some at-sea surveys ignore gulls altogether (like the WDFW ones her off the WA coast).
Also, some of the info is like apples and oranges.  Briggs' #s are on the water, yes?  Speich and Wahl are colony counts, yes? and there are many non-breeders out floating in the population.
The most recent assignment of WEGU, HYGU, and GWGU are Doug Bell's from the late 80s, which are essentially proportional estimates based on ID'd individuals (so not the whole colony, which he did not estimate).
We don't know how the hybrid zone has changed since then: is it stable, is it expanding?  One paper came out on the PI gulls, but they slightly changed the protocol which makes comparing to Bell's work problematic.  I can tell you that there are WEGU and WEGU-like HYGU on DI and in Grays Harbor where I did my PhD work, GWGU and GWGU-like HYGU on Tatoosh I. (also PhD work), and GWGU and GWGU-like HYGU on PI.
For all of these reasons, it might be best to treat them as the WEGU/GWGU hybrid complex.  Their ecology is probably similar enough, maybe even with respect to how they might interact with wind farms, that lumping them would not be a problem.</t>
        </r>
      </text>
    </comment>
    <comment ref="P54" authorId="0">
      <text>
        <r>
          <rPr>
            <b/>
            <sz val="9"/>
            <color indexed="81"/>
            <rFont val="Tahoma"/>
            <family val="2"/>
          </rPr>
          <t>Emma Cashman Kelsey:</t>
        </r>
        <r>
          <rPr>
            <sz val="9"/>
            <color indexed="81"/>
            <rFont val="Tahoma"/>
            <family val="2"/>
          </rPr>
          <t xml:space="preserve">
Briggs 1983: WA = 20,900 (but numbers have been declining since)
36, 923: WA pop est. are WEGU and GWGU hybrid breeding birds estimates (Speich and Wahl 1989)</t>
        </r>
      </text>
    </comment>
    <comment ref="Q54" authorId="0">
      <text>
        <r>
          <rPr>
            <b/>
            <sz val="9"/>
            <color indexed="81"/>
            <rFont val="Tahoma"/>
            <family val="2"/>
          </rPr>
          <t>Emma Cashman Kelsey:</t>
        </r>
        <r>
          <rPr>
            <sz val="9"/>
            <color indexed="81"/>
            <rFont val="Tahoma"/>
            <family val="2"/>
          </rPr>
          <t xml:space="preserve">
Naughton 2007: 32,300 - 22,400 = WEGU and GWGU hybrid breeding birds estimates
Speich and Wahl 1989: 39,923 WEGU and GWGU</t>
        </r>
      </text>
    </comment>
    <comment ref="R54" authorId="0">
      <text>
        <r>
          <rPr>
            <b/>
            <sz val="9"/>
            <color indexed="81"/>
            <rFont val="Tahoma"/>
            <family val="2"/>
          </rPr>
          <t>Emma Cashman Kelsey:</t>
        </r>
        <r>
          <rPr>
            <sz val="9"/>
            <color indexed="81"/>
            <rFont val="Tahoma"/>
            <family val="2"/>
          </rPr>
          <t xml:space="preserve">
Briggs 1987: wintering pop = 35,000 - 50,000 in Nor Cal, 250 - 500 in SoCal</t>
        </r>
      </text>
    </comment>
    <comment ref="P55" authorId="0">
      <text>
        <r>
          <rPr>
            <b/>
            <sz val="9"/>
            <color indexed="81"/>
            <rFont val="Tahoma"/>
            <family val="2"/>
          </rPr>
          <t>Emma Cashman Kelsey:</t>
        </r>
        <r>
          <rPr>
            <sz val="9"/>
            <color indexed="81"/>
            <rFont val="Tahoma"/>
            <family val="2"/>
          </rPr>
          <t xml:space="preserve">
Briggs 1983: 1900
Briggs 1992: 6000 - 8000 in S WA</t>
        </r>
      </text>
    </comment>
    <comment ref="Q55" authorId="0">
      <text>
        <r>
          <rPr>
            <b/>
            <sz val="9"/>
            <color indexed="81"/>
            <rFont val="Tahoma"/>
            <family val="2"/>
          </rPr>
          <t>Emma Cashman Kelsey:</t>
        </r>
        <r>
          <rPr>
            <sz val="9"/>
            <color indexed="81"/>
            <rFont val="Tahoma"/>
            <family val="2"/>
          </rPr>
          <t xml:space="preserve">
Briggs 1983: 9900
Briggs 1992: 8200 breeding pairs in OR (multiply this by 3 to get high est of entire pop)</t>
        </r>
      </text>
    </comment>
    <comment ref="R55" authorId="0">
      <text>
        <r>
          <rPr>
            <b/>
            <sz val="9"/>
            <color indexed="81"/>
            <rFont val="Tahoma"/>
            <family val="2"/>
          </rPr>
          <t>Emma Cashman Kelsey:</t>
        </r>
        <r>
          <rPr>
            <sz val="9"/>
            <color indexed="81"/>
            <rFont val="Tahoma"/>
            <family val="2"/>
          </rPr>
          <t xml:space="preserve">
Sowls et al 1980: 50930
Carter et al 1992: 61,760</t>
        </r>
      </text>
    </comment>
    <comment ref="AN55" authorId="1">
      <text>
        <r>
          <rPr>
            <b/>
            <sz val="9"/>
            <color indexed="81"/>
            <rFont val="Tahoma"/>
            <family val="2"/>
          </rPr>
          <t>Kelsey, Emily Cashman:</t>
        </r>
        <r>
          <rPr>
            <sz val="9"/>
            <color indexed="81"/>
            <rFont val="Tahoma"/>
            <family val="2"/>
          </rPr>
          <t xml:space="preserve">
0.90 (0.70-0.75 in ENSO)
</t>
        </r>
      </text>
    </comment>
    <comment ref="N56" authorId="0">
      <text>
        <r>
          <rPr>
            <b/>
            <sz val="9"/>
            <color indexed="81"/>
            <rFont val="Tahoma"/>
            <family val="2"/>
          </rPr>
          <t>Emma Cashman Kelsey:</t>
        </r>
        <r>
          <rPr>
            <sz val="9"/>
            <color indexed="81"/>
            <rFont val="Tahoma"/>
            <family val="2"/>
          </rPr>
          <t xml:space="preserve">
Suryan 2004: 12,922 breeding pairs in 2000
-&gt; multiplied by 3 to account for mates and nonbreeders</t>
        </r>
      </text>
    </comment>
    <comment ref="O56" authorId="0">
      <text>
        <r>
          <rPr>
            <b/>
            <sz val="9"/>
            <color indexed="81"/>
            <rFont val="Tahoma"/>
            <family val="2"/>
          </rPr>
          <t>Emma Cashman Kelsey:</t>
        </r>
        <r>
          <rPr>
            <sz val="9"/>
            <color indexed="81"/>
            <rFont val="Tahoma"/>
            <family val="2"/>
          </rPr>
          <t xml:space="preserve">
Suryan 2004: 12,922 breeding pairs in 2000
-&gt; multiplied by 2 to get all breeders
this includes in-land populations, but CATEs are so mobile (and they are well enough within the % range category) </t>
        </r>
      </text>
    </comment>
    <comment ref="P56" authorId="0">
      <text>
        <r>
          <rPr>
            <b/>
            <sz val="9"/>
            <color indexed="81"/>
            <rFont val="Tahoma"/>
            <family val="2"/>
          </rPr>
          <t>Emma Cashman Kelsey:</t>
        </r>
        <r>
          <rPr>
            <sz val="9"/>
            <color indexed="81"/>
            <rFont val="Tahoma"/>
            <family val="2"/>
          </rPr>
          <t xml:space="preserve">
Speich and Wahl 1989: 7918
</t>
        </r>
      </text>
    </comment>
    <comment ref="V56" authorId="0">
      <text>
        <r>
          <rPr>
            <b/>
            <sz val="9"/>
            <color indexed="81"/>
            <rFont val="Tahoma"/>
            <family val="2"/>
          </rPr>
          <t>Emma Cashman Kelsey:</t>
        </r>
        <r>
          <rPr>
            <sz val="9"/>
            <color indexed="81"/>
            <rFont val="Tahoma"/>
            <family val="2"/>
          </rPr>
          <t xml:space="preserve">
assuming that entire AK pop migrate through CCS, might not be the case</t>
        </r>
      </text>
    </comment>
    <comment ref="AN56" authorId="1">
      <text>
        <r>
          <rPr>
            <b/>
            <sz val="9"/>
            <color indexed="81"/>
            <rFont val="Tahoma"/>
            <family val="2"/>
          </rPr>
          <t>Kelsey, Emily Cashman:</t>
        </r>
        <r>
          <rPr>
            <sz val="9"/>
            <color indexed="81"/>
            <rFont val="Tahoma"/>
            <family val="2"/>
          </rPr>
          <t xml:space="preserve">
0.79 = 2nd year birds
0.89 = &gt;3rd year birds
Suryan 2004: 0.84 - 0.91
del Hoyo: CA adult mortality = 0.11</t>
        </r>
      </text>
    </comment>
    <comment ref="N57" authorId="0">
      <text>
        <r>
          <rPr>
            <b/>
            <sz val="9"/>
            <color indexed="81"/>
            <rFont val="Tahoma"/>
            <family val="2"/>
          </rPr>
          <t>Emma Cashman Kelsey:</t>
        </r>
        <r>
          <rPr>
            <sz val="9"/>
            <color indexed="81"/>
            <rFont val="Tahoma"/>
            <family val="2"/>
          </rPr>
          <t xml:space="preserve">
Gould 1982: 150,000 - 218,000 ARTE and COTE in open waters of gulf of AK at peak
-&gt; 95% are ARTE
the majority thought to migrate down coast</t>
        </r>
      </text>
    </comment>
    <comment ref="O57" authorId="0">
      <text>
        <r>
          <rPr>
            <b/>
            <sz val="9"/>
            <color indexed="81"/>
            <rFont val="Tahoma"/>
            <family val="2"/>
          </rPr>
          <t>Emma Cashman Kelsey:</t>
        </r>
        <r>
          <rPr>
            <sz val="9"/>
            <color indexed="81"/>
            <rFont val="Tahoma"/>
            <family val="2"/>
          </rPr>
          <t xml:space="preserve">
Gould 1982: 150,000 - 218,000 ARTE and COTE in open waters of gulf of AK at peak
-&gt; 95% are ARTE</t>
        </r>
      </text>
    </comment>
    <comment ref="R57" authorId="0">
      <text>
        <r>
          <rPr>
            <b/>
            <sz val="9"/>
            <color indexed="81"/>
            <rFont val="Tahoma"/>
            <family val="2"/>
          </rPr>
          <t>Emma Cashman Kelsey:</t>
        </r>
        <r>
          <rPr>
            <sz val="9"/>
            <color indexed="81"/>
            <rFont val="Tahoma"/>
            <family val="2"/>
          </rPr>
          <t xml:space="preserve">
Briggs 1987: fall peak numbers (instantanious counts) = 200,000 off central CA, 50,000 of S CA
(Gould est. 95% = ARTE, 5% = COTE)
there might be some overlap but going to assume they are separate….
</t>
        </r>
      </text>
    </comment>
    <comment ref="V57" authorId="0">
      <text>
        <r>
          <rPr>
            <b/>
            <sz val="9"/>
            <color indexed="81"/>
            <rFont val="Tahoma"/>
            <family val="2"/>
          </rPr>
          <t>Emma Cashman Kelsey:</t>
        </r>
        <r>
          <rPr>
            <sz val="9"/>
            <color indexed="81"/>
            <rFont val="Tahoma"/>
            <family val="2"/>
          </rPr>
          <t xml:space="preserve">
assuming that entire AK pop migrate through CCS, might not be the case</t>
        </r>
      </text>
    </comment>
    <comment ref="AN57" authorId="1">
      <text>
        <r>
          <rPr>
            <b/>
            <sz val="9"/>
            <color indexed="81"/>
            <rFont val="Tahoma"/>
            <family val="2"/>
          </rPr>
          <t>Kelsey, Emily Cashman:</t>
        </r>
        <r>
          <rPr>
            <sz val="9"/>
            <color indexed="81"/>
            <rFont val="Tahoma"/>
            <family val="2"/>
          </rPr>
          <t xml:space="preserve">
Hatch 2002: 0.82 - 0.87, underestimate
Garthe and Huppop: 0.88
</t>
        </r>
      </text>
    </comment>
    <comment ref="N58" authorId="0">
      <text>
        <r>
          <rPr>
            <b/>
            <sz val="9"/>
            <color indexed="81"/>
            <rFont val="Tahoma"/>
            <family val="2"/>
          </rPr>
          <t>Emma Cashman Kelsey:</t>
        </r>
        <r>
          <rPr>
            <sz val="9"/>
            <color indexed="81"/>
            <rFont val="Tahoma"/>
            <family val="2"/>
          </rPr>
          <t xml:space="preserve">
Gould 1982: 150,000 - 218,000 ARTE and COTE in open waters of gulf of AK at peak
-&gt; 5% are COTE
the majority thought to migrate down the coast</t>
        </r>
      </text>
    </comment>
    <comment ref="O58" authorId="0">
      <text>
        <r>
          <rPr>
            <b/>
            <sz val="9"/>
            <color indexed="81"/>
            <rFont val="Tahoma"/>
            <family val="2"/>
          </rPr>
          <t>Emma Cashman Kelsey:</t>
        </r>
        <r>
          <rPr>
            <sz val="9"/>
            <color indexed="81"/>
            <rFont val="Tahoma"/>
            <family val="2"/>
          </rPr>
          <t xml:space="preserve">
Gould 1982: 150,000 - 218,000 ARTE and COTE in open waters of gulf of AK at peak
-&gt; 5% are COTE</t>
        </r>
      </text>
    </comment>
    <comment ref="AL58" authorId="0">
      <text>
        <r>
          <rPr>
            <b/>
            <sz val="9"/>
            <color indexed="81"/>
            <rFont val="Tahoma"/>
            <family val="2"/>
          </rPr>
          <t>Emma Cashman Kelsey:</t>
        </r>
        <r>
          <rPr>
            <sz val="9"/>
            <color indexed="81"/>
            <rFont val="Tahoma"/>
            <family val="2"/>
          </rPr>
          <t xml:space="preserve">
the population the winters in the CCS breeds primarily in Canada.  Therefore, Canada's record is appropriate</t>
        </r>
      </text>
    </comment>
    <comment ref="AN58" authorId="1">
      <text>
        <r>
          <rPr>
            <b/>
            <sz val="9"/>
            <color indexed="81"/>
            <rFont val="Tahoma"/>
            <family val="2"/>
          </rPr>
          <t>Kelsey, Emily Cashman:</t>
        </r>
        <r>
          <rPr>
            <sz val="9"/>
            <color indexed="81"/>
            <rFont val="Tahoma"/>
            <family val="2"/>
          </rPr>
          <t xml:space="preserve">
Common Tern
</t>
        </r>
      </text>
    </comment>
    <comment ref="N59" authorId="0">
      <text>
        <r>
          <rPr>
            <b/>
            <sz val="9"/>
            <color indexed="81"/>
            <rFont val="Tahoma"/>
            <family val="2"/>
          </rPr>
          <t>Emma Cashman Kelsey:</t>
        </r>
        <r>
          <rPr>
            <sz val="9"/>
            <color indexed="81"/>
            <rFont val="Tahoma"/>
            <family val="2"/>
          </rPr>
          <t xml:space="preserve">
95% breed on Isla Raza in the Gulf of CA, the rest breed on CA coast.  Post breeding range is up the coast of CA (sometimes into OR and WA)
Some thought to go south instead, winter off central and south america
- Burness et al. 1999</t>
        </r>
      </text>
    </comment>
    <comment ref="O59" authorId="0">
      <text>
        <r>
          <rPr>
            <b/>
            <sz val="9"/>
            <color indexed="81"/>
            <rFont val="Tahoma"/>
            <family val="2"/>
          </rPr>
          <t>Emma Cashman Kelsey:</t>
        </r>
        <r>
          <rPr>
            <sz val="9"/>
            <color indexed="81"/>
            <rFont val="Tahoma"/>
            <family val="2"/>
          </rPr>
          <t xml:space="preserve">
Briggs 1987
</t>
        </r>
      </text>
    </comment>
    <comment ref="AN59" authorId="1">
      <text>
        <r>
          <rPr>
            <b/>
            <sz val="9"/>
            <color indexed="81"/>
            <rFont val="Tahoma"/>
            <family val="2"/>
          </rPr>
          <t>Kelsey, Emily Cashman:</t>
        </r>
        <r>
          <rPr>
            <sz val="9"/>
            <color indexed="81"/>
            <rFont val="Tahoma"/>
            <family val="2"/>
          </rPr>
          <t xml:space="preserve">
Sandwich tern: 0.83 - 0.94
</t>
        </r>
      </text>
    </comment>
    <comment ref="N60" authorId="0">
      <text>
        <r>
          <rPr>
            <b/>
            <sz val="9"/>
            <color indexed="81"/>
            <rFont val="Tahoma"/>
            <family val="2"/>
          </rPr>
          <t>Emma Cashman Kelsey:</t>
        </r>
        <r>
          <rPr>
            <sz val="9"/>
            <color indexed="81"/>
            <rFont val="Tahoma"/>
            <family val="2"/>
          </rPr>
          <t xml:space="preserve">
Buckley and Buckley 2002: 10,000 pairs minimum breeding in Gulf of CA, few pairs found breeding in S CA.   this population thought to all winter off the coast of S/central CA</t>
        </r>
      </text>
    </comment>
    <comment ref="O60" authorId="0">
      <text>
        <r>
          <rPr>
            <b/>
            <sz val="9"/>
            <color indexed="81"/>
            <rFont val="Tahoma"/>
            <family val="2"/>
          </rPr>
          <t>Emma Cashman Kelsey:</t>
        </r>
        <r>
          <rPr>
            <sz val="9"/>
            <color indexed="81"/>
            <rFont val="Tahoma"/>
            <family val="2"/>
          </rPr>
          <t xml:space="preserve">
Briggs 1987</t>
        </r>
      </text>
    </comment>
    <comment ref="AN60" authorId="1">
      <text>
        <r>
          <rPr>
            <b/>
            <sz val="9"/>
            <color indexed="81"/>
            <rFont val="Tahoma"/>
            <family val="2"/>
          </rPr>
          <t>Kelsey, Emily Cashman:</t>
        </r>
        <r>
          <rPr>
            <sz val="9"/>
            <color indexed="81"/>
            <rFont val="Tahoma"/>
            <family val="2"/>
          </rPr>
          <t xml:space="preserve">
0.82 of ROTE in Orange County (Buckley)
Furness and Wade:
COTE: 0.88 
Sandwich tern: 0.83 - 0.94</t>
        </r>
      </text>
    </comment>
    <comment ref="N61" authorId="0">
      <text>
        <r>
          <rPr>
            <b/>
            <sz val="9"/>
            <color indexed="81"/>
            <rFont val="Tahoma"/>
            <family val="2"/>
          </rPr>
          <t>Emma Cashman Kelsey:</t>
        </r>
        <r>
          <rPr>
            <sz val="9"/>
            <color indexed="81"/>
            <rFont val="Tahoma"/>
            <family val="2"/>
          </rPr>
          <t xml:space="preserve">
Mcnicholl et al. 2001: 8,095 indiv. Breeding on Pacific Coast</t>
        </r>
      </text>
    </comment>
    <comment ref="O61" authorId="0">
      <text>
        <r>
          <rPr>
            <b/>
            <sz val="9"/>
            <color indexed="81"/>
            <rFont val="Tahoma"/>
            <family val="2"/>
          </rPr>
          <t>Emma Cashman Kelsey:</t>
        </r>
        <r>
          <rPr>
            <sz val="9"/>
            <color indexed="81"/>
            <rFont val="Tahoma"/>
            <family val="2"/>
          </rPr>
          <t xml:space="preserve">
Briggs 1987: abundant nesting resident, found all along CA coast in July (post breeding) then the majority travel south, although some still found in S CA for winter.</t>
        </r>
      </text>
    </comment>
    <comment ref="R61" authorId="0">
      <text>
        <r>
          <rPr>
            <b/>
            <sz val="9"/>
            <color indexed="81"/>
            <rFont val="Tahoma"/>
            <family val="2"/>
          </rPr>
          <t>Emma Cashman Kelsey:</t>
        </r>
        <r>
          <rPr>
            <sz val="9"/>
            <color indexed="81"/>
            <rFont val="Tahoma"/>
            <family val="2"/>
          </rPr>
          <t xml:space="preserve">
Carter 1992: 3550 = CA breeding pop</t>
        </r>
      </text>
    </comment>
    <comment ref="AN61" authorId="1">
      <text>
        <r>
          <rPr>
            <b/>
            <sz val="9"/>
            <color indexed="81"/>
            <rFont val="Tahoma"/>
            <family val="2"/>
          </rPr>
          <t>Kelsey, Emily Cashman:</t>
        </r>
        <r>
          <rPr>
            <sz val="9"/>
            <color indexed="81"/>
            <rFont val="Tahoma"/>
            <family val="2"/>
          </rPr>
          <t xml:space="preserve">
Furness and Wade:
common tern = 0.88
sandwich tern =  0.83 - 0.94
</t>
        </r>
      </text>
    </comment>
    <comment ref="N62" authorId="3">
      <text>
        <r>
          <rPr>
            <b/>
            <sz val="9"/>
            <color indexed="81"/>
            <rFont val="Tahoma"/>
            <family val="2"/>
          </rPr>
          <t>Adams, Josh:</t>
        </r>
        <r>
          <rPr>
            <sz val="9"/>
            <color indexed="81"/>
            <rFont val="Tahoma"/>
            <family val="2"/>
          </rPr>
          <t xml:space="preserve">
ABC West Coast est</t>
        </r>
      </text>
    </comment>
    <comment ref="R62" authorId="0">
      <text>
        <r>
          <rPr>
            <b/>
            <sz val="9"/>
            <color indexed="81"/>
            <rFont val="Tahoma"/>
            <family val="2"/>
          </rPr>
          <t>Emma Cashman Kelsey:</t>
        </r>
        <r>
          <rPr>
            <sz val="9"/>
            <color indexed="81"/>
            <rFont val="Tahoma"/>
            <family val="2"/>
          </rPr>
          <t xml:space="preserve">
Carter 1992: 272 = CA breeding pop</t>
        </r>
      </text>
    </comment>
    <comment ref="AN62" authorId="1">
      <text>
        <r>
          <rPr>
            <b/>
            <sz val="9"/>
            <color indexed="81"/>
            <rFont val="Tahoma"/>
            <family val="2"/>
          </rPr>
          <t>Kelsey, Emily Cashman:</t>
        </r>
        <r>
          <rPr>
            <sz val="9"/>
            <color indexed="81"/>
            <rFont val="Tahoma"/>
            <family val="2"/>
          </rPr>
          <t xml:space="preserve">
0.88 for CA population 
del Hoyo: 0.85 - 0.92
</t>
        </r>
      </text>
    </comment>
    <comment ref="R63" authorId="0">
      <text>
        <r>
          <rPr>
            <b/>
            <sz val="9"/>
            <color indexed="81"/>
            <rFont val="Tahoma"/>
            <family val="2"/>
          </rPr>
          <t>Emma Cashman Kelsey:</t>
        </r>
        <r>
          <rPr>
            <sz val="9"/>
            <color indexed="81"/>
            <rFont val="Tahoma"/>
            <family val="2"/>
          </rPr>
          <t xml:space="preserve">
One colony in San Diego accounts for the CCS population:
20-40 pairs
-&gt; estimated population range is 2x to 3x this number of pairs</t>
        </r>
      </text>
    </comment>
    <comment ref="R64" authorId="0">
      <text>
        <r>
          <rPr>
            <b/>
            <sz val="9"/>
            <color indexed="81"/>
            <rFont val="Tahoma"/>
            <family val="2"/>
          </rPr>
          <t>Emma Cashman Kelsey:</t>
        </r>
        <r>
          <rPr>
            <sz val="9"/>
            <color indexed="81"/>
            <rFont val="Tahoma"/>
            <family val="2"/>
          </rPr>
          <t xml:space="preserve">
Molina 2008: about 2100 breeders in coastal CA</t>
        </r>
      </text>
    </comment>
    <comment ref="AN64" authorId="0">
      <text>
        <r>
          <rPr>
            <b/>
            <sz val="9"/>
            <color indexed="81"/>
            <rFont val="Tahoma"/>
            <family val="2"/>
          </rPr>
          <t>Emma Cashman Kelsey:</t>
        </r>
        <r>
          <rPr>
            <sz val="9"/>
            <color indexed="81"/>
            <rFont val="Tahoma"/>
            <family val="2"/>
          </rPr>
          <t xml:space="preserve">
base off of other large terns</t>
        </r>
      </text>
    </comment>
    <comment ref="U65" authorId="0">
      <text>
        <r>
          <rPr>
            <b/>
            <sz val="9"/>
            <color indexed="81"/>
            <rFont val="Tahoma"/>
            <family val="2"/>
          </rPr>
          <t>Emma Cashman Kelsey:</t>
        </r>
        <r>
          <rPr>
            <sz val="9"/>
            <color indexed="81"/>
            <rFont val="Tahoma"/>
            <family val="2"/>
          </rPr>
          <t xml:space="preserve">
No actual numbers have been recorded but pretty uncommon, probably about the same percent of the population as the PAJA?</t>
        </r>
      </text>
    </comment>
    <comment ref="AN65" authorId="0">
      <text>
        <r>
          <rPr>
            <b/>
            <sz val="9"/>
            <color indexed="81"/>
            <rFont val="Tahoma"/>
            <family val="2"/>
          </rPr>
          <t>Emma Cashman Kelsey:</t>
        </r>
        <r>
          <rPr>
            <sz val="9"/>
            <color indexed="81"/>
            <rFont val="Tahoma"/>
            <family val="2"/>
          </rPr>
          <t xml:space="preserve">
Wiley and Lee: 0.9
Willmott: 0.9</t>
        </r>
      </text>
    </comment>
    <comment ref="R66" authorId="0">
      <text>
        <r>
          <rPr>
            <b/>
            <sz val="9"/>
            <color indexed="81"/>
            <rFont val="Tahoma"/>
            <family val="2"/>
          </rPr>
          <t>Emma Cashman Kelsey:</t>
        </r>
        <r>
          <rPr>
            <sz val="9"/>
            <color indexed="81"/>
            <rFont val="Tahoma"/>
            <family val="2"/>
          </rPr>
          <t xml:space="preserve">
Brueggeman: much less abundant (and closer to shore) that POJA
Briggs et al. 1987: order of maginitude less abundant than POJA</t>
        </r>
      </text>
    </comment>
    <comment ref="AN66" authorId="1">
      <text>
        <r>
          <rPr>
            <b/>
            <sz val="9"/>
            <color indexed="81"/>
            <rFont val="Tahoma"/>
            <family val="2"/>
          </rPr>
          <t>Kelsey, Emily Cashman:</t>
        </r>
        <r>
          <rPr>
            <sz val="9"/>
            <color indexed="81"/>
            <rFont val="Tahoma"/>
            <family val="2"/>
          </rPr>
          <t xml:space="preserve">
Wiley and Lee: 11% mortality for 3-year study
Furness and Wade 2012: Arctic skua = 0.84</t>
        </r>
      </text>
    </comment>
    <comment ref="R67" authorId="0">
      <text>
        <r>
          <rPr>
            <b/>
            <sz val="9"/>
            <color indexed="81"/>
            <rFont val="Tahoma"/>
            <family val="2"/>
          </rPr>
          <t>Emma Cashman Kelsey:</t>
        </r>
        <r>
          <rPr>
            <sz val="9"/>
            <color indexed="81"/>
            <rFont val="Tahoma"/>
            <family val="2"/>
          </rPr>
          <t xml:space="preserve">
Briggs 1987: 32,000 - 66,000 off the coast of CA in sept - oct
All POJA seen in OR and WA thought to travel to CA</t>
        </r>
      </text>
    </comment>
    <comment ref="AN67" authorId="0">
      <text>
        <r>
          <rPr>
            <b/>
            <sz val="9"/>
            <color indexed="81"/>
            <rFont val="Tahoma"/>
            <family val="2"/>
          </rPr>
          <t>Emma Cashman Kelsey:</t>
        </r>
        <r>
          <rPr>
            <sz val="9"/>
            <color indexed="81"/>
            <rFont val="Tahoma"/>
            <family val="2"/>
          </rPr>
          <t xml:space="preserve">
Desholm: Pomarine Skua: 0.78
Willmott: 0.89</t>
        </r>
      </text>
    </comment>
    <comment ref="U68" authorId="0">
      <text>
        <r>
          <rPr>
            <b/>
            <sz val="9"/>
            <color indexed="81"/>
            <rFont val="Tahoma"/>
            <family val="2"/>
          </rPr>
          <t>Emma Cashman Kelsey:</t>
        </r>
        <r>
          <rPr>
            <sz val="9"/>
            <color indexed="81"/>
            <rFont val="Tahoma"/>
            <family val="2"/>
          </rPr>
          <t xml:space="preserve">
Pass through CCS on their transequitoral migration August-October (although seen in spring sometimes too). 
Briggs 1983: max monthly count = 5 (pt. ano nuevo - point reyes)
Probably very small percentage of the population</t>
        </r>
      </text>
    </comment>
    <comment ref="AN68" authorId="1">
      <text>
        <r>
          <rPr>
            <b/>
            <sz val="9"/>
            <color indexed="81"/>
            <rFont val="Tahoma"/>
            <family val="2"/>
          </rPr>
          <t>Kelsey, Emily Cashman:</t>
        </r>
        <r>
          <rPr>
            <sz val="9"/>
            <color indexed="81"/>
            <rFont val="Tahoma"/>
            <family val="2"/>
          </rPr>
          <t xml:space="preserve">
Furness and Wade 2012:
Arctic skua = 0.84
Great skua = 0.89</t>
        </r>
      </text>
    </comment>
    <comment ref="N69" authorId="0">
      <text>
        <r>
          <rPr>
            <b/>
            <sz val="9"/>
            <color indexed="81"/>
            <rFont val="Tahoma"/>
            <family val="2"/>
          </rPr>
          <t>Emma Cashman Kelsey:</t>
        </r>
        <r>
          <rPr>
            <sz val="9"/>
            <color indexed="81"/>
            <rFont val="Tahoma"/>
            <family val="2"/>
          </rPr>
          <t xml:space="preserve">
Populations from N of Haida Gwaii and AK could also potental come into CCS in winter?</t>
        </r>
      </text>
    </comment>
    <comment ref="O69" authorId="0">
      <text>
        <r>
          <rPr>
            <b/>
            <sz val="9"/>
            <color indexed="81"/>
            <rFont val="Tahoma"/>
            <family val="2"/>
          </rPr>
          <t>Emma Cashman Kelsey:</t>
        </r>
        <r>
          <rPr>
            <sz val="9"/>
            <color indexed="81"/>
            <rFont val="Tahoma"/>
            <family val="2"/>
          </rPr>
          <t xml:space="preserve">
Gaston and Shoji 2010: "general dispersal southwards in the winter as far as CA on the American shore"</t>
        </r>
      </text>
    </comment>
    <comment ref="P69" authorId="0">
      <text>
        <r>
          <rPr>
            <b/>
            <sz val="9"/>
            <color indexed="81"/>
            <rFont val="Tahoma"/>
            <family val="2"/>
          </rPr>
          <t>Emma Cashman Kelsey:</t>
        </r>
        <r>
          <rPr>
            <sz val="9"/>
            <color indexed="81"/>
            <rFont val="Tahoma"/>
            <family val="2"/>
          </rPr>
          <t xml:space="preserve">
Brueggeman 1992: Puget Sound and SJF are important wintering grounds
Adams 2014: 500,000 birds nest on Haida Gwaii (25-50% of global pop)</t>
        </r>
      </text>
    </comment>
    <comment ref="R69" authorId="0">
      <text>
        <r>
          <rPr>
            <b/>
            <sz val="9"/>
            <color indexed="81"/>
            <rFont val="Tahoma"/>
            <family val="2"/>
          </rPr>
          <t>Emma Cashman Kelsey:</t>
        </r>
        <r>
          <rPr>
            <sz val="9"/>
            <color indexed="81"/>
            <rFont val="Tahoma"/>
            <family val="2"/>
          </rPr>
          <t xml:space="preserve">
Briggs 1987: "occurs occasionally and in relatively low numbers"</t>
        </r>
      </text>
    </comment>
    <comment ref="AN69" authorId="0">
      <text>
        <r>
          <rPr>
            <b/>
            <sz val="9"/>
            <color indexed="81"/>
            <rFont val="Tahoma"/>
            <family val="2"/>
          </rPr>
          <t>Emma Cashman Kelsey:</t>
        </r>
        <r>
          <rPr>
            <sz val="9"/>
            <color indexed="81"/>
            <rFont val="Tahoma"/>
            <family val="2"/>
          </rPr>
          <t xml:space="preserve">
Ralph et al: 0.77
Gaston and Jones: 0.77
Baston 1992: 0.75</t>
        </r>
      </text>
    </comment>
    <comment ref="N70" authorId="0">
      <text>
        <r>
          <rPr>
            <b/>
            <sz val="9"/>
            <color indexed="81"/>
            <rFont val="Tahoma"/>
            <family val="2"/>
          </rPr>
          <t>Emma Cashman Kelsey:</t>
        </r>
        <r>
          <rPr>
            <sz val="9"/>
            <color indexed="81"/>
            <rFont val="Tahoma"/>
            <family val="2"/>
          </rPr>
          <t xml:space="preserve">
USFWS 2009: 12,940 off outrer WA through N CA
-&gt; added the CA # to get upper est.</t>
        </r>
      </text>
    </comment>
    <comment ref="P70" authorId="0">
      <text>
        <r>
          <rPr>
            <b/>
            <sz val="9"/>
            <color indexed="81"/>
            <rFont val="Tahoma"/>
            <family val="2"/>
          </rPr>
          <t>Emma Cashman Kelsey:</t>
        </r>
        <r>
          <rPr>
            <sz val="9"/>
            <color indexed="81"/>
            <rFont val="Tahoma"/>
            <family val="2"/>
          </rPr>
          <t xml:space="preserve">
Speich and Wahl 1989: 2417 breeders
5,000 - 6,500
</t>
        </r>
      </text>
    </comment>
    <comment ref="Q70" authorId="0">
      <text>
        <r>
          <rPr>
            <b/>
            <sz val="9"/>
            <color indexed="81"/>
            <rFont val="Tahoma"/>
            <family val="2"/>
          </rPr>
          <t>Emma Cashman Kelsey:</t>
        </r>
        <r>
          <rPr>
            <sz val="9"/>
            <color indexed="81"/>
            <rFont val="Tahoma"/>
            <family val="2"/>
          </rPr>
          <t xml:space="preserve">
6,600 - 20,000</t>
        </r>
      </text>
    </comment>
    <comment ref="R70" authorId="0">
      <text>
        <r>
          <rPr>
            <b/>
            <sz val="9"/>
            <color indexed="81"/>
            <rFont val="Tahoma"/>
            <family val="2"/>
          </rPr>
          <t>Emma Cashman Kelsey:</t>
        </r>
        <r>
          <rPr>
            <sz val="9"/>
            <color indexed="81"/>
            <rFont val="Tahoma"/>
            <family val="2"/>
          </rPr>
          <t xml:space="preserve">
Sowls et al: 2,000
Carter et al: 1,821
6450</t>
        </r>
      </text>
    </comment>
    <comment ref="AN70" authorId="1">
      <text>
        <r>
          <rPr>
            <b/>
            <sz val="9"/>
            <color indexed="81"/>
            <rFont val="Tahoma"/>
            <family val="2"/>
          </rPr>
          <t>Kelsey, Emily Cashman:</t>
        </r>
        <r>
          <rPr>
            <sz val="9"/>
            <color indexed="81"/>
            <rFont val="Tahoma"/>
            <family val="2"/>
          </rPr>
          <t xml:space="preserve">
Nelson 1997: similar spp = 0.80 - 0.88
Peery 2006: 0.87 - 0.90</t>
        </r>
      </text>
    </comment>
    <comment ref="E71" authorId="3">
      <text>
        <r>
          <rPr>
            <b/>
            <sz val="9"/>
            <color indexed="81"/>
            <rFont val="Tahoma"/>
            <family val="2"/>
          </rPr>
          <t>Adams, Josh:</t>
        </r>
        <r>
          <rPr>
            <sz val="9"/>
            <color indexed="81"/>
            <rFont val="Tahoma"/>
            <family val="2"/>
          </rPr>
          <t xml:space="preserve">
Guadalupe and Scripps's Murrelet</t>
        </r>
      </text>
    </comment>
    <comment ref="F71" authorId="3">
      <text>
        <r>
          <rPr>
            <b/>
            <sz val="9"/>
            <color indexed="81"/>
            <rFont val="Tahoma"/>
            <family val="2"/>
          </rPr>
          <t>Adams, Josh:</t>
        </r>
        <r>
          <rPr>
            <sz val="9"/>
            <color indexed="81"/>
            <rFont val="Tahoma"/>
            <family val="2"/>
          </rPr>
          <t xml:space="preserve">
pop for both species combined</t>
        </r>
      </text>
    </comment>
    <comment ref="R71" authorId="0">
      <text>
        <r>
          <rPr>
            <b/>
            <sz val="9"/>
            <color indexed="81"/>
            <rFont val="Tahoma"/>
            <family val="2"/>
          </rPr>
          <t>Emma Cashman Kelsey:</t>
        </r>
        <r>
          <rPr>
            <sz val="9"/>
            <color indexed="81"/>
            <rFont val="Tahoma"/>
            <family val="2"/>
          </rPr>
          <t xml:space="preserve">
Sowls 1980: 3,500
Briggs 1983: 3,500
Carter 1992: 1,760
</t>
        </r>
      </text>
    </comment>
    <comment ref="AN71" authorId="1">
      <text>
        <r>
          <rPr>
            <b/>
            <sz val="9"/>
            <color indexed="81"/>
            <rFont val="Tahoma"/>
            <family val="2"/>
          </rPr>
          <t>Kelsey, Emily Cashman:</t>
        </r>
        <r>
          <rPr>
            <sz val="9"/>
            <color indexed="81"/>
            <rFont val="Tahoma"/>
            <family val="2"/>
          </rPr>
          <t xml:space="preserve">
Furness and Wade: 
Little Auk (from related species)</t>
        </r>
      </text>
    </comment>
    <comment ref="F72" authorId="0">
      <text>
        <r>
          <rPr>
            <b/>
            <sz val="9"/>
            <color indexed="81"/>
            <rFont val="Tahoma"/>
            <family val="2"/>
          </rPr>
          <t>Emma Cashman Kelsey:</t>
        </r>
        <r>
          <rPr>
            <sz val="9"/>
            <color indexed="81"/>
            <rFont val="Tahoma"/>
            <family val="2"/>
          </rPr>
          <t xml:space="preserve">
Birdlife: 15,000 - 20,000</t>
        </r>
      </text>
    </comment>
    <comment ref="R72" authorId="0">
      <text>
        <r>
          <rPr>
            <b/>
            <sz val="9"/>
            <color indexed="81"/>
            <rFont val="Tahoma"/>
            <family val="2"/>
          </rPr>
          <t>Emma Cashman Kelsey:</t>
        </r>
        <r>
          <rPr>
            <sz val="9"/>
            <color indexed="81"/>
            <rFont val="Tahoma"/>
            <family val="2"/>
          </rPr>
          <t xml:space="preserve">
Birdlife: breeds in Gulf of CA, winters in gulf, along the coast of S Ca, Mexico, and possibly Guatamala
Briggs 1987: consistenly seen post breeding season on small numbers
Briggs 1983: extremely uncommon in CA (quantifies 'uncommon' as not more than 5,000)
</t>
        </r>
      </text>
    </comment>
    <comment ref="AN72" authorId="1">
      <text>
        <r>
          <rPr>
            <b/>
            <sz val="9"/>
            <color indexed="81"/>
            <rFont val="Tahoma"/>
            <family val="2"/>
          </rPr>
          <t>Kelsey, Emily Cashman:</t>
        </r>
        <r>
          <rPr>
            <sz val="9"/>
            <color indexed="81"/>
            <rFont val="Tahoma"/>
            <family val="2"/>
          </rPr>
          <t xml:space="preserve">
probably more similar to ANMU</t>
        </r>
      </text>
    </comment>
    <comment ref="P73" authorId="0">
      <text>
        <r>
          <rPr>
            <b/>
            <sz val="9"/>
            <color indexed="81"/>
            <rFont val="Tahoma"/>
            <family val="2"/>
          </rPr>
          <t>Emma Cashman Kelsey:</t>
        </r>
        <r>
          <rPr>
            <sz val="9"/>
            <color indexed="81"/>
            <rFont val="Tahoma"/>
            <family val="2"/>
          </rPr>
          <t xml:space="preserve">
Manuwal: 7,000
Seich and Wahl 1989: 30,780 breeders
Adams: 5900 - 9600</t>
        </r>
      </text>
    </comment>
    <comment ref="R73" authorId="0">
      <text>
        <r>
          <rPr>
            <b/>
            <sz val="9"/>
            <color indexed="81"/>
            <rFont val="Tahoma"/>
            <family val="2"/>
          </rPr>
          <t>Emma Cashman Kelsey:</t>
        </r>
        <r>
          <rPr>
            <sz val="9"/>
            <color indexed="81"/>
            <rFont val="Tahoma"/>
            <family val="2"/>
          </rPr>
          <t xml:space="preserve">
Carter et al: 351,336
Manuwal: 363,154
Adams:261,400</t>
        </r>
      </text>
    </comment>
    <comment ref="AN73" authorId="0">
      <text>
        <r>
          <rPr>
            <b/>
            <sz val="9"/>
            <color indexed="81"/>
            <rFont val="Tahoma"/>
            <family val="2"/>
          </rPr>
          <t>Emma Cashman Kelsey:</t>
        </r>
        <r>
          <rPr>
            <sz val="9"/>
            <color indexed="81"/>
            <rFont val="Tahoma"/>
            <family val="2"/>
          </rPr>
          <t xml:space="preserve">
Garthe and Huppop: 0.885</t>
        </r>
      </text>
    </comment>
    <comment ref="P74" authorId="0">
      <text>
        <r>
          <rPr>
            <b/>
            <sz val="9"/>
            <color indexed="81"/>
            <rFont val="Tahoma"/>
            <family val="2"/>
          </rPr>
          <t>Emma Cashman Kelsey:</t>
        </r>
        <r>
          <rPr>
            <sz val="9"/>
            <color indexed="81"/>
            <rFont val="Tahoma"/>
            <family val="2"/>
          </rPr>
          <t xml:space="preserve">
Briggs 1983: 700
Speich and Wahl 1989: 4270 breeders</t>
        </r>
      </text>
    </comment>
    <comment ref="Q74" authorId="0">
      <text>
        <r>
          <rPr>
            <b/>
            <sz val="9"/>
            <color indexed="81"/>
            <rFont val="Tahoma"/>
            <family val="2"/>
          </rPr>
          <t>Emma Cashman Kelsey:</t>
        </r>
        <r>
          <rPr>
            <sz val="9"/>
            <color indexed="81"/>
            <rFont val="Tahoma"/>
            <family val="2"/>
          </rPr>
          <t xml:space="preserve">
Briggs 1983: k2100
</t>
        </r>
      </text>
    </comment>
    <comment ref="R74" authorId="0">
      <text>
        <r>
          <rPr>
            <b/>
            <sz val="9"/>
            <color indexed="81"/>
            <rFont val="Tahoma"/>
            <family val="2"/>
          </rPr>
          <t>Emma Cashman Kelsey:</t>
        </r>
        <r>
          <rPr>
            <sz val="9"/>
            <color indexed="81"/>
            <rFont val="Tahoma"/>
            <family val="2"/>
          </rPr>
          <t xml:space="preserve">
Sowls 1980: 14,724
Briggs 1983: 12,500
Carter 1992: 15,470</t>
        </r>
      </text>
    </comment>
    <comment ref="AN74" authorId="0">
      <text>
        <r>
          <rPr>
            <b/>
            <sz val="9"/>
            <color indexed="81"/>
            <rFont val="Tahoma"/>
            <family val="2"/>
          </rPr>
          <t>Emma Cashman Kelsey:</t>
        </r>
        <r>
          <rPr>
            <sz val="9"/>
            <color indexed="81"/>
            <rFont val="Tahoma"/>
            <family val="2"/>
          </rPr>
          <t xml:space="preserve">
Ralph et al: 0.80-0.89
Gaston and Jones: 0.80
del Hoyo: 0.76 - 0.89</t>
        </r>
      </text>
    </comment>
    <comment ref="P75" authorId="0">
      <text>
        <r>
          <rPr>
            <b/>
            <sz val="9"/>
            <color indexed="81"/>
            <rFont val="Tahoma"/>
            <family val="2"/>
          </rPr>
          <t>Emma Cashman Kelsey:</t>
        </r>
        <r>
          <rPr>
            <sz val="9"/>
            <color indexed="81"/>
            <rFont val="Tahoma"/>
            <family val="2"/>
          </rPr>
          <t xml:space="preserve">
Speich and Wahl 1989: 23,342</t>
        </r>
      </text>
    </comment>
    <comment ref="R75" authorId="0">
      <text>
        <r>
          <rPr>
            <b/>
            <sz val="9"/>
            <color indexed="81"/>
            <rFont val="Tahoma"/>
            <family val="2"/>
          </rPr>
          <t>Emma Cashman Kelsey:</t>
        </r>
        <r>
          <rPr>
            <sz val="9"/>
            <color indexed="81"/>
            <rFont val="Tahoma"/>
            <family val="2"/>
          </rPr>
          <t xml:space="preserve">
Carter et al: 267
McChesney and Carter 2008: 250 breeders in the 1970s</t>
        </r>
      </text>
    </comment>
    <comment ref="AN75" authorId="1">
      <text>
        <r>
          <rPr>
            <b/>
            <sz val="9"/>
            <color indexed="81"/>
            <rFont val="Tahoma"/>
            <family val="2"/>
          </rPr>
          <t>Kelsey, Emily Cashman:</t>
        </r>
        <r>
          <rPr>
            <sz val="9"/>
            <color indexed="81"/>
            <rFont val="Tahoma"/>
            <family val="2"/>
          </rPr>
          <t xml:space="preserve">
Furness and Wade 2012:
Atlantic Puffin = 0.95
</t>
        </r>
      </text>
    </comment>
    <comment ref="N76" authorId="0">
      <text>
        <r>
          <rPr>
            <b/>
            <sz val="9"/>
            <color indexed="81"/>
            <rFont val="Tahoma"/>
            <family val="2"/>
          </rPr>
          <t>Emma Cashman Kelsey:</t>
        </r>
        <r>
          <rPr>
            <sz val="9"/>
            <color indexed="81"/>
            <rFont val="Tahoma"/>
            <family val="2"/>
          </rPr>
          <t xml:space="preserve">
Piatt and Kitaysky 2002: breeds in AK (86% of population), wintering pop in AK &lt;2% of summer pop. Suggesting they travel south.
- rarely seen off CA, OR, or WA coast
- more commonly seen in wrecks on coast of CCS</t>
        </r>
      </text>
    </comment>
    <comment ref="R76" authorId="0">
      <text>
        <r>
          <rPr>
            <b/>
            <sz val="9"/>
            <color indexed="81"/>
            <rFont val="Tahoma"/>
            <family val="2"/>
          </rPr>
          <t>Emma Cashman Kelsey:</t>
        </r>
        <r>
          <rPr>
            <sz val="9"/>
            <color indexed="81"/>
            <rFont val="Tahoma"/>
            <family val="2"/>
          </rPr>
          <t xml:space="preserve">
Briggs 1987: returns to AK breeding grounds through CA waters
-&gt; 5000 - 10,000
</t>
        </r>
      </text>
    </comment>
    <comment ref="AN76" authorId="1">
      <text>
        <r>
          <rPr>
            <b/>
            <sz val="9"/>
            <color indexed="81"/>
            <rFont val="Tahoma"/>
            <family val="2"/>
          </rPr>
          <t>Kelsey, Emily Cashman:</t>
        </r>
        <r>
          <rPr>
            <sz val="9"/>
            <color indexed="81"/>
            <rFont val="Tahoma"/>
            <family val="2"/>
          </rPr>
          <t xml:space="preserve">
Furness and Wade 2012:
Atlantic Puffin = 0.95
</t>
        </r>
      </text>
    </comment>
    <comment ref="P77" authorId="0">
      <text>
        <r>
          <rPr>
            <b/>
            <sz val="9"/>
            <color indexed="81"/>
            <rFont val="Tahoma"/>
            <family val="2"/>
          </rPr>
          <t>Emma Cashman Kelsey:</t>
        </r>
        <r>
          <rPr>
            <sz val="9"/>
            <color indexed="81"/>
            <rFont val="Tahoma"/>
            <family val="2"/>
          </rPr>
          <t xml:space="preserve">
Briggs 1983: 42,400
Speich and Wahl 1989: 60,814 breeders
</t>
        </r>
      </text>
    </comment>
    <comment ref="Q77" authorId="0">
      <text>
        <r>
          <rPr>
            <b/>
            <sz val="9"/>
            <color indexed="81"/>
            <rFont val="Tahoma"/>
            <family val="2"/>
          </rPr>
          <t>Emma Cashman Kelsey:</t>
        </r>
        <r>
          <rPr>
            <sz val="9"/>
            <color indexed="81"/>
            <rFont val="Tahoma"/>
            <family val="2"/>
          </rPr>
          <t xml:space="preserve">
Briggs 1983: 200
Adams 2013: 475 in southern OR = 95% of state breeding pop</t>
        </r>
      </text>
    </comment>
    <comment ref="R77" authorId="0">
      <text>
        <r>
          <rPr>
            <b/>
            <sz val="9"/>
            <color indexed="81"/>
            <rFont val="Tahoma"/>
            <family val="2"/>
          </rPr>
          <t>Emma Cashman Kelsey:</t>
        </r>
        <r>
          <rPr>
            <sz val="9"/>
            <color indexed="81"/>
            <rFont val="Tahoma"/>
            <family val="2"/>
          </rPr>
          <t xml:space="preserve">
Sowls 1980: 362
Briggs 1983: 400</t>
        </r>
      </text>
    </comment>
    <comment ref="AN77" authorId="1">
      <text>
        <r>
          <rPr>
            <b/>
            <sz val="9"/>
            <color indexed="81"/>
            <rFont val="Tahoma"/>
            <family val="2"/>
          </rPr>
          <t>Kelsey, Emily Cashman:</t>
        </r>
        <r>
          <rPr>
            <sz val="9"/>
            <color indexed="81"/>
            <rFont val="Tahoma"/>
            <family val="2"/>
          </rPr>
          <t xml:space="preserve">
Thayer: 0.80 - 0.90
same as rates in similar spp too
Furness and Wade 2012:
Atlantic Puffin = 0.95
</t>
        </r>
      </text>
    </comment>
    <comment ref="N78" authorId="0">
      <text>
        <r>
          <rPr>
            <b/>
            <sz val="9"/>
            <color indexed="81"/>
            <rFont val="Tahoma"/>
            <family val="2"/>
          </rPr>
          <t>Emma Cashman Kelsey:</t>
        </r>
        <r>
          <rPr>
            <sz val="9"/>
            <color indexed="81"/>
            <rFont val="Tahoma"/>
            <family val="2"/>
          </rPr>
          <t xml:space="preserve">
Briggs 1983: very rare winter visitor to CA from AK
Jones 2001: uncommon off W coast of US but regularly seen in winter
- 1 million breed in AK</t>
        </r>
      </text>
    </comment>
    <comment ref="AN78" authorId="1">
      <text>
        <r>
          <rPr>
            <b/>
            <sz val="9"/>
            <color indexed="81"/>
            <rFont val="Tahoma"/>
            <family val="2"/>
          </rPr>
          <t>Kelsey, Emily Cashman:</t>
        </r>
        <r>
          <rPr>
            <sz val="9"/>
            <color indexed="81"/>
            <rFont val="Tahoma"/>
            <family val="2"/>
          </rPr>
          <t xml:space="preserve">
Furness and Wade: 
Little Auk (from related species)</t>
        </r>
      </text>
    </comment>
    <comment ref="N79" authorId="0">
      <text>
        <r>
          <rPr>
            <b/>
            <sz val="9"/>
            <color indexed="81"/>
            <rFont val="Tahoma"/>
            <family val="2"/>
          </rPr>
          <t>Emma Cashman Kelsey:</t>
        </r>
        <r>
          <rPr>
            <sz val="9"/>
            <color indexed="81"/>
            <rFont val="Tahoma"/>
            <family val="2"/>
          </rPr>
          <t xml:space="preserve">
Manuwal (1972) estimated a 70% floating population in addition to the breeding population on SEFI
-&gt; added 70% of breeding population to breeding population number to get upper estimate</t>
        </r>
      </text>
    </comment>
    <comment ref="O79" authorId="0">
      <text>
        <r>
          <rPr>
            <b/>
            <sz val="9"/>
            <color indexed="81"/>
            <rFont val="Tahoma"/>
            <family val="2"/>
          </rPr>
          <t>Emma Cashman Kelsey:</t>
        </r>
        <r>
          <rPr>
            <sz val="9"/>
            <color indexed="81"/>
            <rFont val="Tahoma"/>
            <family val="2"/>
          </rPr>
          <t xml:space="preserve">
Sum of breeding populations (listed in comment for each state total, the uppper calculation is what is listed in the cell for each state)</t>
        </r>
      </text>
    </comment>
    <comment ref="P79" authorId="0">
      <text>
        <r>
          <rPr>
            <b/>
            <sz val="9"/>
            <color indexed="81"/>
            <rFont val="Tahoma"/>
            <family val="2"/>
          </rPr>
          <t>Emma Cashman Kelsey:</t>
        </r>
        <r>
          <rPr>
            <sz val="9"/>
            <color indexed="81"/>
            <rFont val="Tahoma"/>
            <family val="2"/>
          </rPr>
          <t xml:space="preserve">
Speich and Whal 1989: 87,600 breeding  in central/northern WA in 1980s</t>
        </r>
      </text>
    </comment>
    <comment ref="Q79" authorId="0">
      <text>
        <r>
          <rPr>
            <b/>
            <sz val="9"/>
            <color indexed="81"/>
            <rFont val="Tahoma"/>
            <family val="2"/>
          </rPr>
          <t>Emma Cashman Kelsey:</t>
        </r>
        <r>
          <rPr>
            <sz val="9"/>
            <color indexed="81"/>
            <rFont val="Tahoma"/>
            <family val="2"/>
          </rPr>
          <t xml:space="preserve">
Adams 2013: 400 breeders</t>
        </r>
      </text>
    </comment>
    <comment ref="R79" authorId="3">
      <text>
        <r>
          <rPr>
            <b/>
            <sz val="9"/>
            <color indexed="81"/>
            <rFont val="Tahoma"/>
            <family val="2"/>
          </rPr>
          <t>Adams, Josh:</t>
        </r>
        <r>
          <rPr>
            <sz val="9"/>
            <color indexed="81"/>
            <rFont val="Tahoma"/>
            <family val="2"/>
          </rPr>
          <t xml:space="preserve">
Adams 2008: 53,572 = breeding pop
Carter et al, 1992: 56,562 = breeding pop
Sowls et al. 1980: 131,170 = breeding pop
Ainley 1990 = 171,000 on SEFI (including nonbreeders and floating population)
-&gt; now thought to be an overestimate, and the population has significantly decreased since the 70s and 80s</t>
        </r>
      </text>
    </comment>
    <comment ref="AH79" authorId="0">
      <text>
        <r>
          <rPr>
            <b/>
            <sz val="9"/>
            <color indexed="81"/>
            <rFont val="Tahoma"/>
            <family val="2"/>
          </rPr>
          <t>Emma Cashman Kelsey:
subspecies = 4 though</t>
        </r>
      </text>
    </comment>
    <comment ref="AN79" authorId="1">
      <text>
        <r>
          <rPr>
            <b/>
            <sz val="9"/>
            <color indexed="81"/>
            <rFont val="Tahoma"/>
            <family val="2"/>
          </rPr>
          <t>Kelsey, Emily Cashman:</t>
        </r>
        <r>
          <rPr>
            <sz val="9"/>
            <color indexed="81"/>
            <rFont val="Tahoma"/>
            <family val="2"/>
          </rPr>
          <t xml:space="preserve">
Furness and Wade: 0.77-0.88 (SEFI)
0.67 - 0.86 in Canada
Gaston and Jones: 0.83-0.88
Ralph et al: 0.86
del Hoyo: 0.86</t>
        </r>
      </text>
    </comment>
  </commentList>
</comments>
</file>

<file path=xl/comments10.xml><?xml version="1.0" encoding="utf-8"?>
<comments xmlns="http://schemas.openxmlformats.org/spreadsheetml/2006/main">
  <authors>
    <author>Emma Kelsey</author>
  </authors>
  <commentList>
    <comment ref="AB1" authorId="0">
      <text>
        <r>
          <rPr>
            <b/>
            <sz val="9"/>
            <color indexed="81"/>
            <rFont val="Calibri"/>
            <family val="2"/>
          </rPr>
          <t>Emma Kelsey:</t>
        </r>
        <r>
          <rPr>
            <sz val="9"/>
            <color indexed="81"/>
            <rFont val="Calibri"/>
            <family val="2"/>
          </rPr>
          <t xml:space="preserve">
US Fish and Wildlife Service 2005</t>
        </r>
      </text>
    </comment>
    <comment ref="F3" authorId="0">
      <text>
        <r>
          <rPr>
            <b/>
            <sz val="9"/>
            <color indexed="81"/>
            <rFont val="Calibri"/>
            <family val="2"/>
          </rPr>
          <t>Emma Kelsey:</t>
        </r>
        <r>
          <rPr>
            <sz val="9"/>
            <color indexed="81"/>
            <rFont val="Calibri"/>
            <family val="2"/>
          </rPr>
          <t xml:space="preserve">
Kessel et al. 2002:
AK breeding estimates</t>
        </r>
      </text>
    </comment>
    <comment ref="F5" authorId="0">
      <text>
        <r>
          <rPr>
            <b/>
            <sz val="9"/>
            <color indexed="81"/>
            <rFont val="Calibri"/>
            <family val="2"/>
          </rPr>
          <t>Emma Kelsey:</t>
        </r>
        <r>
          <rPr>
            <sz val="9"/>
            <color indexed="81"/>
            <rFont val="Calibri"/>
            <family val="2"/>
          </rPr>
          <t xml:space="preserve">
White et al. 2002:
F.p.anatum: 2,500 - 3,000 breeding pairs</t>
        </r>
      </text>
    </comment>
    <comment ref="O5" authorId="0">
      <text>
        <r>
          <rPr>
            <b/>
            <sz val="9"/>
            <color indexed="81"/>
            <rFont val="Calibri"/>
            <family val="2"/>
          </rPr>
          <t>Emma Kelsey:</t>
        </r>
        <r>
          <rPr>
            <sz val="9"/>
            <color indexed="81"/>
            <rFont val="Calibri"/>
            <family val="2"/>
          </rPr>
          <t xml:space="preserve">
White et al. 2002:
329 breeding pairs in WA, OR, and CA</t>
        </r>
      </text>
    </comment>
  </commentList>
</comments>
</file>

<file path=xl/comments2.xml><?xml version="1.0" encoding="utf-8"?>
<comments xmlns="http://schemas.openxmlformats.org/spreadsheetml/2006/main">
  <authors>
    <author>Emma Kelsey</author>
    <author>Emma Cashman Kelsey</author>
    <author>Adams, Josh</author>
  </authors>
  <commentList>
    <comment ref="AB1" authorId="0">
      <text>
        <r>
          <rPr>
            <b/>
            <sz val="9"/>
            <color indexed="81"/>
            <rFont val="Calibri"/>
            <family val="2"/>
          </rPr>
          <t>Emma Kelsey:</t>
        </r>
        <r>
          <rPr>
            <sz val="9"/>
            <color indexed="81"/>
            <rFont val="Calibri"/>
            <family val="2"/>
          </rPr>
          <t xml:space="preserve">
Willmott 2013: RSZ = 20 - 200m
Ainley: RSZ = &gt;10m</t>
        </r>
      </text>
    </comment>
    <comment ref="AI1" authorId="1">
      <text>
        <r>
          <rPr>
            <b/>
            <sz val="9"/>
            <color indexed="81"/>
            <rFont val="Tahoma"/>
            <family val="2"/>
          </rPr>
          <t>Emma Cashman Kelsey:</t>
        </r>
        <r>
          <rPr>
            <sz val="9"/>
            <color indexed="81"/>
            <rFont val="Tahoma"/>
            <family val="2"/>
          </rPr>
          <t xml:space="preserve">
for everything pre 2013, going to use data from Willmott 2013 (some of their sources are hard to access now)</t>
        </r>
      </text>
    </comment>
    <comment ref="AB4" authorId="0">
      <text>
        <r>
          <rPr>
            <b/>
            <sz val="9"/>
            <color indexed="81"/>
            <rFont val="Calibri"/>
            <family val="2"/>
          </rPr>
          <t>Emma Kelsey:</t>
        </r>
        <r>
          <rPr>
            <sz val="9"/>
            <color indexed="81"/>
            <rFont val="Calibri"/>
            <family val="2"/>
          </rPr>
          <t xml:space="preserve">
Cook 2012: 1.0
Willmott 2013: 1 - 9
Furness 2013:
Common scoter = 3
Velvet scoter = 3
Bordage and Savard 2011: migration flight alititude over water = 100-300m</t>
        </r>
      </text>
    </comment>
    <comment ref="AC4" authorId="1">
      <text>
        <r>
          <rPr>
            <b/>
            <sz val="9"/>
            <color indexed="81"/>
            <rFont val="Tahoma"/>
            <family val="2"/>
          </rPr>
          <t>Emma Cashman Kelsey:</t>
        </r>
        <r>
          <rPr>
            <sz val="9"/>
            <color indexed="81"/>
            <rFont val="Tahoma"/>
            <family val="2"/>
          </rPr>
          <t xml:space="preserve">
Furness and Wade: Common scoter and Velvet scoter = 3</t>
        </r>
      </text>
    </comment>
    <comment ref="AI4" authorId="1">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
Peterson 2006: COSC showed general avoidance (macro and micro)</t>
        </r>
      </text>
    </comment>
    <comment ref="J5" authorId="1">
      <text>
        <r>
          <rPr>
            <b/>
            <sz val="9"/>
            <color indexed="81"/>
            <rFont val="Tahoma"/>
            <family val="2"/>
          </rPr>
          <t>Emma Cashman Kelsey:</t>
        </r>
        <r>
          <rPr>
            <sz val="9"/>
            <color indexed="81"/>
            <rFont val="Tahoma"/>
            <family val="2"/>
          </rPr>
          <t xml:space="preserve">
Savard 1998: usually migrates over land at night</t>
        </r>
      </text>
    </comment>
    <comment ref="AB5" authorId="0">
      <text>
        <r>
          <rPr>
            <b/>
            <sz val="9"/>
            <color indexed="81"/>
            <rFont val="Calibri"/>
            <family val="2"/>
          </rPr>
          <t>Emma Kelsey:</t>
        </r>
        <r>
          <rPr>
            <sz val="9"/>
            <color indexed="81"/>
            <rFont val="Calibri"/>
            <family val="2"/>
          </rPr>
          <t xml:space="preserve">
Cook 2012: 1.0
Willmott 2013; 9-61
Furness 2013:
Common scoter = 3
Velvet scoter = 3</t>
        </r>
      </text>
    </comment>
    <comment ref="AC5" authorId="1">
      <text>
        <r>
          <rPr>
            <b/>
            <sz val="9"/>
            <color indexed="81"/>
            <rFont val="Tahoma"/>
            <family val="2"/>
          </rPr>
          <t>Emma Cashman Kelsey:</t>
        </r>
        <r>
          <rPr>
            <sz val="9"/>
            <color indexed="81"/>
            <rFont val="Tahoma"/>
            <family val="2"/>
          </rPr>
          <t xml:space="preserve">
Furness and Wade: Common scoter and Velvet scoter = 3</t>
        </r>
      </text>
    </comment>
    <comment ref="AI5" authorId="1">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t>
        </r>
      </text>
    </comment>
    <comment ref="P6" authorId="1">
      <text>
        <r>
          <rPr>
            <b/>
            <sz val="9"/>
            <color indexed="81"/>
            <rFont val="Tahoma"/>
            <family val="2"/>
          </rPr>
          <t>Emma Cashman Kelsey:</t>
        </r>
        <r>
          <rPr>
            <sz val="9"/>
            <color indexed="81"/>
            <rFont val="Tahoma"/>
            <family val="2"/>
          </rPr>
          <t xml:space="preserve">
Brown 1997: "over water, usually travels by day and night"</t>
        </r>
      </text>
    </comment>
    <comment ref="AB6" authorId="0">
      <text>
        <r>
          <rPr>
            <b/>
            <sz val="9"/>
            <color indexed="81"/>
            <rFont val="Calibri"/>
            <family val="2"/>
          </rPr>
          <t>Emma Kelsey:</t>
        </r>
        <r>
          <rPr>
            <sz val="9"/>
            <color indexed="81"/>
            <rFont val="Calibri"/>
            <family val="2"/>
          </rPr>
          <t xml:space="preserve">
Johnston 2014: common scoter = 0.1
Willmott 2013: 0 - 70
Furness 2013:
Common scoter = 3
Velvet scoter = 3</t>
        </r>
      </text>
    </comment>
    <comment ref="AC6" authorId="1">
      <text>
        <r>
          <rPr>
            <b/>
            <sz val="9"/>
            <color indexed="81"/>
            <rFont val="Tahoma"/>
            <family val="2"/>
          </rPr>
          <t>Emma Cashman Kelsey:</t>
        </r>
        <r>
          <rPr>
            <sz val="9"/>
            <color indexed="81"/>
            <rFont val="Tahoma"/>
            <family val="2"/>
          </rPr>
          <t xml:space="preserve">
Furness and Wade: Common scoter and Velvet scoter = 3</t>
        </r>
      </text>
    </comment>
    <comment ref="AI6" authorId="1">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t>
        </r>
      </text>
    </comment>
    <comment ref="AB7" authorId="0">
      <text>
        <r>
          <rPr>
            <b/>
            <sz val="9"/>
            <color indexed="81"/>
            <rFont val="Calibri"/>
            <family val="2"/>
          </rPr>
          <t>Emma Kelsey:</t>
        </r>
        <r>
          <rPr>
            <sz val="9"/>
            <color indexed="81"/>
            <rFont val="Calibri"/>
            <family val="2"/>
          </rPr>
          <t xml:space="preserve">
Cooper and Ritchie: vast majority of swans, geese, and ducks fly above 30m during day and night</t>
        </r>
      </text>
    </comment>
    <comment ref="AI7" authorId="1">
      <text>
        <r>
          <rPr>
            <b/>
            <sz val="9"/>
            <color indexed="81"/>
            <rFont val="Tahoma"/>
            <family val="2"/>
          </rPr>
          <t>Emma Cashman Kelsey:</t>
        </r>
        <r>
          <rPr>
            <sz val="9"/>
            <color indexed="81"/>
            <rFont val="Tahoma"/>
            <family val="2"/>
          </rPr>
          <t xml:space="preserve">
Cook 2012: geese and swans = 41 (visual obs), 68 (visual + radar)
Willmott 2013: geese and swans = 41, 68</t>
        </r>
      </text>
    </comment>
    <comment ref="AB8" authorId="0">
      <text>
        <r>
          <rPr>
            <b/>
            <sz val="9"/>
            <color indexed="81"/>
            <rFont val="Calibri"/>
            <family val="2"/>
          </rPr>
          <t>Emma Kelsey:</t>
        </r>
        <r>
          <rPr>
            <sz val="9"/>
            <color indexed="81"/>
            <rFont val="Calibri"/>
            <family val="2"/>
          </rPr>
          <t xml:space="preserve">
Willmott 2013: 50 - 100
Cooper and Ritchie: vast majority of swans, geese, and ducks fly above 30m during day and night</t>
        </r>
      </text>
    </comment>
    <comment ref="AI8" authorId="1">
      <text>
        <r>
          <rPr>
            <b/>
            <sz val="9"/>
            <color indexed="81"/>
            <rFont val="Tahoma"/>
            <family val="2"/>
          </rPr>
          <t>Emma Cashman Kelsey:</t>
        </r>
        <r>
          <rPr>
            <sz val="9"/>
            <color indexed="81"/>
            <rFont val="Tahoma"/>
            <family val="2"/>
          </rPr>
          <t xml:space="preserve">
Willmott 2013: 37 (Krijgsveld 2011)</t>
        </r>
      </text>
    </comment>
    <comment ref="AI9" authorId="1">
      <text>
        <r>
          <rPr>
            <b/>
            <sz val="9"/>
            <color indexed="81"/>
            <rFont val="Tahoma"/>
            <family val="2"/>
          </rPr>
          <t>Emma Cashman Kelsey:</t>
        </r>
        <r>
          <rPr>
            <sz val="9"/>
            <color indexed="81"/>
            <rFont val="Tahoma"/>
            <family val="2"/>
          </rPr>
          <t xml:space="preserve">
Willmott 2013: 37 (Krijgsveld 2011)
Peterson 2006: attraction (possibly due to fish availability)</t>
        </r>
      </text>
    </comment>
    <comment ref="AJ9" authorId="1">
      <text>
        <r>
          <rPr>
            <b/>
            <sz val="9"/>
            <color indexed="81"/>
            <rFont val="Tahoma"/>
            <family val="2"/>
          </rPr>
          <t>Emma Cashman Kelsey:</t>
        </r>
        <r>
          <rPr>
            <sz val="9"/>
            <color indexed="81"/>
            <rFont val="Tahoma"/>
            <family val="2"/>
          </rPr>
          <t xml:space="preserve">
Bradbury 2014 = 3</t>
        </r>
      </text>
    </comment>
    <comment ref="C10" authorId="1">
      <text>
        <r>
          <rPr>
            <b/>
            <sz val="9"/>
            <color indexed="81"/>
            <rFont val="Tahoma"/>
            <family val="2"/>
          </rPr>
          <t>Emma Cashman Kelsey:</t>
        </r>
        <r>
          <rPr>
            <sz val="9"/>
            <color indexed="81"/>
            <rFont val="Tahoma"/>
            <family val="2"/>
          </rPr>
          <t xml:space="preserve">
aka great northern diver</t>
        </r>
      </text>
    </comment>
    <comment ref="AI10" authorId="1">
      <text>
        <r>
          <rPr>
            <b/>
            <sz val="9"/>
            <color indexed="81"/>
            <rFont val="Tahoma"/>
            <family val="2"/>
          </rPr>
          <t>Emma Cashman Kelsey:</t>
        </r>
        <r>
          <rPr>
            <sz val="9"/>
            <color indexed="81"/>
            <rFont val="Tahoma"/>
            <family val="2"/>
          </rPr>
          <t xml:space="preserve">
Cook 2012: divers = 52 (visual obs), 68 (visual/radar)</t>
        </r>
      </text>
    </comment>
    <comment ref="C11" authorId="1">
      <text>
        <r>
          <rPr>
            <b/>
            <sz val="9"/>
            <color indexed="81"/>
            <rFont val="Tahoma"/>
            <family val="2"/>
          </rPr>
          <t>Emma Cashman Kelsey:</t>
        </r>
        <r>
          <rPr>
            <sz val="9"/>
            <color indexed="81"/>
            <rFont val="Tahoma"/>
            <family val="2"/>
          </rPr>
          <t xml:space="preserve">
sub spp of artic/black-throated loon</t>
        </r>
      </text>
    </comment>
    <comment ref="AI11" authorId="1">
      <text>
        <r>
          <rPr>
            <b/>
            <sz val="9"/>
            <color indexed="81"/>
            <rFont val="Tahoma"/>
            <family val="2"/>
          </rPr>
          <t>Emma Cashman Kelsey:</t>
        </r>
        <r>
          <rPr>
            <sz val="9"/>
            <color indexed="81"/>
            <rFont val="Tahoma"/>
            <family val="2"/>
          </rPr>
          <t xml:space="preserve">
Cook 2012: divers = 52 (visual obs), 68 (visual/radar)</t>
        </r>
      </text>
    </comment>
    <comment ref="AB12" authorId="0">
      <text>
        <r>
          <rPr>
            <b/>
            <sz val="9"/>
            <color indexed="81"/>
            <rFont val="Calibri"/>
            <family val="2"/>
          </rPr>
          <t>Emma Kelsey:</t>
        </r>
        <r>
          <rPr>
            <sz val="9"/>
            <color indexed="81"/>
            <rFont val="Calibri"/>
            <family val="2"/>
          </rPr>
          <t xml:space="preserve">
Ainley: 1.5
Johnston 2014: 8.1, 6.4, 3.8
Willmott 2013: 2 - 67
Furness 2013: 5</t>
        </r>
      </text>
    </comment>
    <comment ref="AI12" authorId="1">
      <text>
        <r>
          <rPr>
            <b/>
            <sz val="9"/>
            <color indexed="81"/>
            <rFont val="Tahoma"/>
            <family val="2"/>
          </rPr>
          <t>Emma Cashman Kelsey:</t>
        </r>
        <r>
          <rPr>
            <sz val="9"/>
            <color indexed="81"/>
            <rFont val="Tahoma"/>
            <family val="2"/>
          </rPr>
          <t xml:space="preserve">
Cook 2012: divers = 52 (visual obs), 68 (visual/radar)
Peterson 2009: significant avoidance behavior</t>
        </r>
      </text>
    </comment>
    <comment ref="C13" authorId="1">
      <text>
        <r>
          <rPr>
            <b/>
            <sz val="9"/>
            <color indexed="81"/>
            <rFont val="Tahoma"/>
            <family val="2"/>
          </rPr>
          <t>Emma Cashman Kelsey:</t>
        </r>
        <r>
          <rPr>
            <sz val="9"/>
            <color indexed="81"/>
            <rFont val="Tahoma"/>
            <family val="2"/>
          </rPr>
          <t xml:space="preserve">
aka white-billed diver</t>
        </r>
      </text>
    </comment>
    <comment ref="AB13" authorId="1">
      <text>
        <r>
          <rPr>
            <b/>
            <sz val="9"/>
            <color indexed="81"/>
            <rFont val="Tahoma"/>
            <family val="2"/>
          </rPr>
          <t>Emma Cashman Kelsey:</t>
        </r>
        <r>
          <rPr>
            <sz val="9"/>
            <color indexed="81"/>
            <rFont val="Tahoma"/>
            <family val="2"/>
          </rPr>
          <t xml:space="preserve">
North 1994: "flies low over water, staying several 100 m off shore"</t>
        </r>
      </text>
    </comment>
    <comment ref="AI13" authorId="1">
      <text>
        <r>
          <rPr>
            <b/>
            <sz val="9"/>
            <color indexed="81"/>
            <rFont val="Tahoma"/>
            <family val="2"/>
          </rPr>
          <t>Emma Cashman Kelsey:</t>
        </r>
        <r>
          <rPr>
            <sz val="9"/>
            <color indexed="81"/>
            <rFont val="Tahoma"/>
            <family val="2"/>
          </rPr>
          <t xml:space="preserve">
Cook 2012: divers = 52 (visual obs), 68 (visual/radar)</t>
        </r>
      </text>
    </comment>
    <comment ref="F14" authorId="1">
      <text>
        <r>
          <rPr>
            <b/>
            <sz val="9"/>
            <color indexed="81"/>
            <rFont val="Tahoma"/>
            <family val="2"/>
          </rPr>
          <t>Emma Cashman Kelsey:</t>
        </r>
        <r>
          <rPr>
            <sz val="9"/>
            <color indexed="81"/>
            <rFont val="Tahoma"/>
            <family val="2"/>
          </rPr>
          <t xml:space="preserve">
Henkel 2004</t>
        </r>
      </text>
    </comment>
    <comment ref="AB14" authorId="1">
      <text>
        <r>
          <rPr>
            <b/>
            <sz val="9"/>
            <color indexed="81"/>
            <rFont val="Tahoma"/>
            <family val="2"/>
          </rPr>
          <t>Emma Cashman Kelsey:</t>
        </r>
        <r>
          <rPr>
            <sz val="9"/>
            <color indexed="81"/>
            <rFont val="Tahoma"/>
            <family val="2"/>
          </rPr>
          <t xml:space="preserve">
Furness 2013: Slavonian grebe = 4, Great-creseted grebe = 4
Willmott 2013: Pied-billed grebe = 10
Garthe and Huppop: grebes spent majorty if flight betwn 5 - 10m 
Bradbury 2014: grebes = 2
</t>
        </r>
      </text>
    </comment>
    <comment ref="AI14" authorId="1">
      <text>
        <r>
          <rPr>
            <b/>
            <sz val="9"/>
            <color indexed="81"/>
            <rFont val="Tahoma"/>
            <family val="2"/>
          </rPr>
          <t>Emma Cashman Kelsey:</t>
        </r>
        <r>
          <rPr>
            <sz val="9"/>
            <color indexed="81"/>
            <rFont val="Tahoma"/>
            <family val="2"/>
          </rPr>
          <t xml:space="preserve">
Cook 2012: 50 (visual obs)</t>
        </r>
      </text>
    </comment>
    <comment ref="AJ14" authorId="1">
      <text>
        <r>
          <rPr>
            <b/>
            <sz val="9"/>
            <color indexed="81"/>
            <rFont val="Tahoma"/>
            <family val="2"/>
          </rPr>
          <t>Emma Cashman Kelsey:</t>
        </r>
        <r>
          <rPr>
            <sz val="9"/>
            <color indexed="81"/>
            <rFont val="Tahoma"/>
            <family val="2"/>
          </rPr>
          <t xml:space="preserve">
Bradbury 2014: grebes = 3
</t>
        </r>
      </text>
    </comment>
    <comment ref="AB15" authorId="1">
      <text>
        <r>
          <rPr>
            <b/>
            <sz val="9"/>
            <color indexed="81"/>
            <rFont val="Tahoma"/>
            <family val="2"/>
          </rPr>
          <t>Emma Cashman Kelsey:</t>
        </r>
        <r>
          <rPr>
            <sz val="9"/>
            <color indexed="81"/>
            <rFont val="Tahoma"/>
            <family val="2"/>
          </rPr>
          <t xml:space="preserve">
Furness 2013: Slavonian grebe = 4, Great-creseted grebe = 4
Willmott 2013: Pied-billed grebe = 10
Bradbury 2014: grebes = 2</t>
        </r>
      </text>
    </comment>
    <comment ref="AI15" authorId="1">
      <text>
        <r>
          <rPr>
            <b/>
            <sz val="9"/>
            <color indexed="81"/>
            <rFont val="Tahoma"/>
            <family val="2"/>
          </rPr>
          <t>Emma Cashman Kelsey:</t>
        </r>
        <r>
          <rPr>
            <sz val="9"/>
            <color indexed="81"/>
            <rFont val="Tahoma"/>
            <family val="2"/>
          </rPr>
          <t xml:space="preserve">
Cook 2012: 50 (visual obs)</t>
        </r>
      </text>
    </comment>
    <comment ref="AJ15" authorId="1">
      <text>
        <r>
          <rPr>
            <b/>
            <sz val="9"/>
            <color indexed="81"/>
            <rFont val="Tahoma"/>
            <family val="2"/>
          </rPr>
          <t>Emma Cashman Kelsey:</t>
        </r>
        <r>
          <rPr>
            <sz val="9"/>
            <color indexed="81"/>
            <rFont val="Tahoma"/>
            <family val="2"/>
          </rPr>
          <t xml:space="preserve">
Bradbury 2014: grebes = 3</t>
        </r>
      </text>
    </comment>
    <comment ref="C16" authorId="1">
      <text>
        <r>
          <rPr>
            <b/>
            <sz val="9"/>
            <color indexed="81"/>
            <rFont val="Tahoma"/>
            <family val="2"/>
          </rPr>
          <t>Emma Cashman Kelsey:</t>
        </r>
        <r>
          <rPr>
            <sz val="9"/>
            <color indexed="81"/>
            <rFont val="Tahoma"/>
            <family val="2"/>
          </rPr>
          <t xml:space="preserve">
aka- black-necked grebe</t>
        </r>
      </text>
    </comment>
    <comment ref="J16" authorId="1">
      <text>
        <r>
          <rPr>
            <b/>
            <sz val="9"/>
            <color indexed="81"/>
            <rFont val="Tahoma"/>
            <family val="2"/>
          </rPr>
          <t>Emma Cashman Kelsey:</t>
        </r>
        <r>
          <rPr>
            <sz val="9"/>
            <color indexed="81"/>
            <rFont val="Tahoma"/>
            <family val="2"/>
          </rPr>
          <t xml:space="preserve">
Cullen 1999: migration is entirely nocternal</t>
        </r>
      </text>
    </comment>
    <comment ref="AB16" authorId="1">
      <text>
        <r>
          <rPr>
            <b/>
            <sz val="9"/>
            <color indexed="81"/>
            <rFont val="Tahoma"/>
            <family val="2"/>
          </rPr>
          <t>Emma Cashman Kelsey:</t>
        </r>
        <r>
          <rPr>
            <sz val="9"/>
            <color indexed="81"/>
            <rFont val="Tahoma"/>
            <family val="2"/>
          </rPr>
          <t xml:space="preserve">
Furness 2013: Slavonian grebe = 4, Great-creseted grebe = 4
Willmott 2013: Pied-billed grebe = 10
Bradbury 2014: grebes = 2</t>
        </r>
      </text>
    </comment>
    <comment ref="AI16" authorId="1">
      <text>
        <r>
          <rPr>
            <b/>
            <sz val="9"/>
            <color indexed="81"/>
            <rFont val="Tahoma"/>
            <family val="2"/>
          </rPr>
          <t>Emma Cashman Kelsey:</t>
        </r>
        <r>
          <rPr>
            <sz val="9"/>
            <color indexed="81"/>
            <rFont val="Tahoma"/>
            <family val="2"/>
          </rPr>
          <t xml:space="preserve">
Cook 2012: 50 (visual obs)</t>
        </r>
      </text>
    </comment>
    <comment ref="AJ16" authorId="1">
      <text>
        <r>
          <rPr>
            <b/>
            <sz val="9"/>
            <color indexed="81"/>
            <rFont val="Tahoma"/>
            <family val="2"/>
          </rPr>
          <t>Emma Cashman Kelsey:</t>
        </r>
        <r>
          <rPr>
            <sz val="9"/>
            <color indexed="81"/>
            <rFont val="Tahoma"/>
            <family val="2"/>
          </rPr>
          <t xml:space="preserve">
Bradbury 2014: grebes = 3</t>
        </r>
      </text>
    </comment>
    <comment ref="C17" authorId="1">
      <text>
        <r>
          <rPr>
            <b/>
            <sz val="9"/>
            <color indexed="81"/>
            <rFont val="Tahoma"/>
            <family val="2"/>
          </rPr>
          <t>Emma Cashman Kelsey:</t>
        </r>
        <r>
          <rPr>
            <sz val="9"/>
            <color indexed="81"/>
            <rFont val="Tahoma"/>
            <family val="2"/>
          </rPr>
          <t xml:space="preserve">
aka- Slavonian grebe</t>
        </r>
      </text>
    </comment>
    <comment ref="AB17" authorId="1">
      <text>
        <r>
          <rPr>
            <b/>
            <sz val="9"/>
            <color indexed="81"/>
            <rFont val="Tahoma"/>
            <family val="2"/>
          </rPr>
          <t>Emma Cashman Kelsey:</t>
        </r>
        <r>
          <rPr>
            <sz val="9"/>
            <color indexed="81"/>
            <rFont val="Tahoma"/>
            <family val="2"/>
          </rPr>
          <t xml:space="preserve">
Furness 2013: Slavonian grebe = 4
Bradbury 2014: grebes = 2</t>
        </r>
      </text>
    </comment>
    <comment ref="AI17" authorId="1">
      <text>
        <r>
          <rPr>
            <b/>
            <sz val="9"/>
            <color indexed="81"/>
            <rFont val="Tahoma"/>
            <family val="2"/>
          </rPr>
          <t>Emma Cashman Kelsey:</t>
        </r>
        <r>
          <rPr>
            <sz val="9"/>
            <color indexed="81"/>
            <rFont val="Tahoma"/>
            <family val="2"/>
          </rPr>
          <t xml:space="preserve">
Cook 2012: 50 (visual obs)</t>
        </r>
      </text>
    </comment>
    <comment ref="AJ17" authorId="1">
      <text>
        <r>
          <rPr>
            <b/>
            <sz val="9"/>
            <color indexed="81"/>
            <rFont val="Tahoma"/>
            <family val="2"/>
          </rPr>
          <t>Emma Cashman Kelsey:</t>
        </r>
        <r>
          <rPr>
            <sz val="9"/>
            <color indexed="81"/>
            <rFont val="Tahoma"/>
            <family val="2"/>
          </rPr>
          <t xml:space="preserve">
Bradbury 2014: grebes = 3</t>
        </r>
      </text>
    </comment>
    <comment ref="AB18" authorId="1">
      <text>
        <r>
          <rPr>
            <b/>
            <sz val="9"/>
            <color indexed="81"/>
            <rFont val="Tahoma"/>
            <family val="2"/>
          </rPr>
          <t>Emma Cashman Kelsey:</t>
        </r>
        <r>
          <rPr>
            <sz val="9"/>
            <color indexed="81"/>
            <rFont val="Tahoma"/>
            <family val="2"/>
          </rPr>
          <t xml:space="preserve">
Furness 2013: Slavonian grebe = 4
Bradbury 2014: grebes = 2</t>
        </r>
      </text>
    </comment>
    <comment ref="AI18" authorId="1">
      <text>
        <r>
          <rPr>
            <b/>
            <sz val="9"/>
            <color indexed="81"/>
            <rFont val="Tahoma"/>
            <family val="2"/>
          </rPr>
          <t>Emma Cashman Kelsey:</t>
        </r>
        <r>
          <rPr>
            <sz val="9"/>
            <color indexed="81"/>
            <rFont val="Tahoma"/>
            <family val="2"/>
          </rPr>
          <t xml:space="preserve">
Cook 2012: 50 (visual obs)</t>
        </r>
      </text>
    </comment>
    <comment ref="AJ18" authorId="1">
      <text>
        <r>
          <rPr>
            <b/>
            <sz val="9"/>
            <color indexed="81"/>
            <rFont val="Tahoma"/>
            <family val="2"/>
          </rPr>
          <t>Emma Cashman Kelsey:</t>
        </r>
        <r>
          <rPr>
            <sz val="9"/>
            <color indexed="81"/>
            <rFont val="Tahoma"/>
            <family val="2"/>
          </rPr>
          <t xml:space="preserve">
Bradbury 2014: grebes = 3</t>
        </r>
      </text>
    </comment>
    <comment ref="AI19" authorId="1">
      <text>
        <r>
          <rPr>
            <b/>
            <sz val="9"/>
            <color indexed="81"/>
            <rFont val="Tahoma"/>
            <family val="2"/>
          </rPr>
          <t>Emma Cashman Kelsey:</t>
        </r>
        <r>
          <rPr>
            <sz val="9"/>
            <color indexed="81"/>
            <rFont val="Tahoma"/>
            <family val="2"/>
          </rPr>
          <t xml:space="preserve">
Cook 2012: 50 (visual obs)</t>
        </r>
      </text>
    </comment>
    <comment ref="AI20" authorId="1">
      <text>
        <r>
          <rPr>
            <b/>
            <sz val="9"/>
            <color indexed="81"/>
            <rFont val="Tahoma"/>
            <family val="2"/>
          </rPr>
          <t>Emma Cashman Kelsey:</t>
        </r>
        <r>
          <rPr>
            <sz val="9"/>
            <color indexed="81"/>
            <rFont val="Tahoma"/>
            <family val="2"/>
          </rPr>
          <t xml:space="preserve">
Cook 2012: 50 (visual obs)</t>
        </r>
      </text>
    </comment>
    <comment ref="AI21" authorId="1">
      <text>
        <r>
          <rPr>
            <b/>
            <sz val="9"/>
            <color indexed="81"/>
            <rFont val="Tahoma"/>
            <family val="2"/>
          </rPr>
          <t>Emma Cashman Kelsey:</t>
        </r>
        <r>
          <rPr>
            <sz val="9"/>
            <color indexed="81"/>
            <rFont val="Tahoma"/>
            <family val="2"/>
          </rPr>
          <t xml:space="preserve">
Cook 2012: 50 (visual obs)</t>
        </r>
      </text>
    </comment>
    <comment ref="J22" authorId="0">
      <text>
        <r>
          <rPr>
            <b/>
            <sz val="9"/>
            <color indexed="81"/>
            <rFont val="Calibri"/>
            <family val="2"/>
          </rPr>
          <t>Emma Kelsey:</t>
        </r>
        <r>
          <rPr>
            <sz val="9"/>
            <color indexed="81"/>
            <rFont val="Calibri"/>
            <family val="2"/>
          </rPr>
          <t xml:space="preserve">
del Hoyo: may feed more at night than other shearwaters (surface-seizing, dipping, rarely dives)</t>
        </r>
      </text>
    </comment>
    <comment ref="AI22" authorId="1">
      <text>
        <r>
          <rPr>
            <b/>
            <sz val="9"/>
            <color indexed="81"/>
            <rFont val="Tahoma"/>
            <family val="2"/>
          </rPr>
          <t>Emma Cashman Kelsey:</t>
        </r>
        <r>
          <rPr>
            <sz val="9"/>
            <color indexed="81"/>
            <rFont val="Tahoma"/>
            <family val="2"/>
          </rPr>
          <t xml:space="preserve">
Cook 2012: 50 (visual obs)</t>
        </r>
      </text>
    </comment>
    <comment ref="AB23" authorId="0">
      <text>
        <r>
          <rPr>
            <b/>
            <sz val="9"/>
            <color indexed="81"/>
            <rFont val="Calibri"/>
            <family val="2"/>
          </rPr>
          <t>Emma Kelsey:</t>
        </r>
        <r>
          <rPr>
            <sz val="12"/>
            <color theme="1"/>
            <rFont val="Calibri"/>
            <family val="2"/>
            <scheme val="minor"/>
          </rPr>
          <t xml:space="preserve">
Johonston et al. 2014: 0</t>
        </r>
      </text>
    </comment>
    <comment ref="AI23" authorId="1">
      <text>
        <r>
          <rPr>
            <b/>
            <sz val="9"/>
            <color indexed="81"/>
            <rFont val="Tahoma"/>
            <family val="2"/>
          </rPr>
          <t>Emma Cashman Kelsey:</t>
        </r>
        <r>
          <rPr>
            <sz val="9"/>
            <color indexed="81"/>
            <rFont val="Tahoma"/>
            <family val="2"/>
          </rPr>
          <t xml:space="preserve">
Cook 2012: 50 (visual obs)</t>
        </r>
      </text>
    </comment>
    <comment ref="AJ23" authorId="1">
      <text>
        <r>
          <rPr>
            <b/>
            <sz val="9"/>
            <color indexed="81"/>
            <rFont val="Tahoma"/>
            <family val="2"/>
          </rPr>
          <t>Emma Cashman Kelsey:</t>
        </r>
        <r>
          <rPr>
            <sz val="9"/>
            <color indexed="81"/>
            <rFont val="Tahoma"/>
            <family val="2"/>
          </rPr>
          <t xml:space="preserve">
Bradbury 2014= 1 (scale inverted, 1=lowest level of disturbance)</t>
        </r>
      </text>
    </comment>
    <comment ref="AI24" authorId="1">
      <text>
        <r>
          <rPr>
            <b/>
            <sz val="9"/>
            <color indexed="81"/>
            <rFont val="Tahoma"/>
            <family val="2"/>
          </rPr>
          <t>Emma Cashman Kelsey:</t>
        </r>
        <r>
          <rPr>
            <sz val="9"/>
            <color indexed="81"/>
            <rFont val="Tahoma"/>
            <family val="2"/>
          </rPr>
          <t xml:space="preserve">
Cook 2012: 50 (visual obs)</t>
        </r>
      </text>
    </comment>
    <comment ref="P25" authorId="0">
      <text>
        <r>
          <rPr>
            <b/>
            <sz val="9"/>
            <color indexed="81"/>
            <rFont val="Calibri"/>
            <family val="2"/>
          </rPr>
          <t>Emma Kelsey:</t>
        </r>
        <r>
          <rPr>
            <sz val="9"/>
            <color indexed="81"/>
            <rFont val="Calibri"/>
            <family val="2"/>
          </rPr>
          <t xml:space="preserve">
del Hoyo: mostly diurnal feeder
</t>
        </r>
      </text>
    </comment>
    <comment ref="AI25" authorId="1">
      <text>
        <r>
          <rPr>
            <b/>
            <sz val="9"/>
            <color indexed="81"/>
            <rFont val="Tahoma"/>
            <family val="2"/>
          </rPr>
          <t>Emma Cashman Kelsey:</t>
        </r>
        <r>
          <rPr>
            <sz val="9"/>
            <color indexed="81"/>
            <rFont val="Tahoma"/>
            <family val="2"/>
          </rPr>
          <t xml:space="preserve">
Cook 2012: 50 (visual obs)</t>
        </r>
      </text>
    </comment>
    <comment ref="AI26" authorId="1">
      <text>
        <r>
          <rPr>
            <b/>
            <sz val="9"/>
            <color indexed="81"/>
            <rFont val="Tahoma"/>
            <family val="2"/>
          </rPr>
          <t>Emma Cashman Kelsey:</t>
        </r>
        <r>
          <rPr>
            <sz val="9"/>
            <color indexed="81"/>
            <rFont val="Tahoma"/>
            <family val="2"/>
          </rPr>
          <t xml:space="preserve">
Cook 2012: 50 (visual obs)</t>
        </r>
      </text>
    </comment>
    <comment ref="AB27" authorId="0">
      <text>
        <r>
          <rPr>
            <b/>
            <sz val="9"/>
            <color indexed="81"/>
            <rFont val="Calibri"/>
            <family val="2"/>
          </rPr>
          <t>Emma Kelsey:</t>
        </r>
        <r>
          <rPr>
            <sz val="9"/>
            <color indexed="81"/>
            <rFont val="Calibri"/>
            <family val="2"/>
          </rPr>
          <t xml:space="preserve">
Ainley: 3.7
Willmott 2013:5
Furness 2013: 0</t>
        </r>
      </text>
    </comment>
    <comment ref="AI27" authorId="1">
      <text>
        <r>
          <rPr>
            <b/>
            <sz val="9"/>
            <color indexed="81"/>
            <rFont val="Tahoma"/>
            <family val="2"/>
          </rPr>
          <t>Emma Cashman Kelsey:</t>
        </r>
        <r>
          <rPr>
            <sz val="9"/>
            <color indexed="81"/>
            <rFont val="Tahoma"/>
            <family val="2"/>
          </rPr>
          <t xml:space="preserve">
Cook 2012: 50 (visual obs)</t>
        </r>
      </text>
    </comment>
    <comment ref="J28" authorId="1">
      <text>
        <r>
          <rPr>
            <b/>
            <sz val="9"/>
            <color indexed="81"/>
            <rFont val="Tahoma"/>
            <family val="2"/>
          </rPr>
          <t>Emma Cashman Kelsey:</t>
        </r>
        <r>
          <rPr>
            <sz val="9"/>
            <color indexed="81"/>
            <rFont val="Tahoma"/>
            <family val="2"/>
          </rPr>
          <t xml:space="preserve">
Keitt 2000: "often in flight, may rest on water when wind is light"</t>
        </r>
      </text>
    </comment>
    <comment ref="P28" authorId="1">
      <text>
        <r>
          <rPr>
            <b/>
            <sz val="9"/>
            <color indexed="81"/>
            <rFont val="Tahoma"/>
            <family val="2"/>
          </rPr>
          <t>Emma Cashman Kelsey:</t>
        </r>
        <r>
          <rPr>
            <sz val="9"/>
            <color indexed="81"/>
            <rFont val="Tahoma"/>
            <family val="2"/>
          </rPr>
          <t xml:space="preserve">
Keitt 2000: "often in flight, may rest on water when wind is light"</t>
        </r>
      </text>
    </comment>
    <comment ref="AI28" authorId="1">
      <text>
        <r>
          <rPr>
            <b/>
            <sz val="9"/>
            <color indexed="81"/>
            <rFont val="Tahoma"/>
            <family val="2"/>
          </rPr>
          <t>Emma Cashman Kelsey:</t>
        </r>
        <r>
          <rPr>
            <sz val="9"/>
            <color indexed="81"/>
            <rFont val="Tahoma"/>
            <family val="2"/>
          </rPr>
          <t xml:space="preserve">
Cook 2012: 50 (visual obs)</t>
        </r>
      </text>
    </comment>
    <comment ref="E29" authorId="2">
      <text>
        <r>
          <rPr>
            <b/>
            <sz val="9"/>
            <color indexed="81"/>
            <rFont val="Tahoma"/>
            <family val="2"/>
          </rPr>
          <t>Adams, Josh:</t>
        </r>
        <r>
          <rPr>
            <sz val="9"/>
            <color indexed="81"/>
            <rFont val="Tahoma"/>
            <family val="2"/>
          </rPr>
          <t xml:space="preserve">
Split from Northern Fulmar</t>
        </r>
      </text>
    </comment>
    <comment ref="AB29" authorId="0">
      <text>
        <r>
          <rPr>
            <b/>
            <sz val="9"/>
            <color indexed="81"/>
            <rFont val="Calibri"/>
            <family val="2"/>
          </rPr>
          <t>Emma Kelsey:</t>
        </r>
        <r>
          <rPr>
            <sz val="9"/>
            <color indexed="81"/>
            <rFont val="Calibri"/>
            <family val="2"/>
          </rPr>
          <t xml:space="preserve">
Ainley et al. - 1.7
Cook 2012: 0.2
Willmott 2013: 0-0.2
Furness 2013: 1
Johnston 2014: 1.0, 0.8, 0.4
Bradbury 2014: 1</t>
        </r>
      </text>
    </comment>
    <comment ref="AI29" authorId="1">
      <text>
        <r>
          <rPr>
            <b/>
            <sz val="9"/>
            <color indexed="81"/>
            <rFont val="Tahoma"/>
            <family val="2"/>
          </rPr>
          <t>Emma Cashman Kelsey:</t>
        </r>
        <r>
          <rPr>
            <sz val="9"/>
            <color indexed="81"/>
            <rFont val="Tahoma"/>
            <family val="2"/>
          </rPr>
          <t xml:space="preserve">
Cook 2012: 50 (visual obs)</t>
        </r>
      </text>
    </comment>
    <comment ref="AI30" authorId="1">
      <text>
        <r>
          <rPr>
            <b/>
            <sz val="9"/>
            <color indexed="81"/>
            <rFont val="Tahoma"/>
            <family val="2"/>
          </rPr>
          <t>Emma Cashman Kelsey:</t>
        </r>
        <r>
          <rPr>
            <sz val="9"/>
            <color indexed="81"/>
            <rFont val="Tahoma"/>
            <family val="2"/>
          </rPr>
          <t xml:space="preserve">
Cook 2012: 50 (visual obs)</t>
        </r>
      </text>
    </comment>
    <comment ref="J31" authorId="0">
      <text>
        <r>
          <rPr>
            <b/>
            <sz val="9"/>
            <color indexed="81"/>
            <rFont val="Calibri"/>
            <family val="2"/>
          </rPr>
          <t>Emma Kelsey:</t>
        </r>
        <r>
          <rPr>
            <sz val="9"/>
            <color indexed="81"/>
            <rFont val="Calibri"/>
            <family val="2"/>
          </rPr>
          <t xml:space="preserve">
del Hoyo: feeds at night</t>
        </r>
      </text>
    </comment>
    <comment ref="AI31" authorId="1">
      <text>
        <r>
          <rPr>
            <b/>
            <sz val="9"/>
            <color indexed="81"/>
            <rFont val="Tahoma"/>
            <family val="2"/>
          </rPr>
          <t>Emma Cashman Kelsey:</t>
        </r>
        <r>
          <rPr>
            <sz val="9"/>
            <color indexed="81"/>
            <rFont val="Tahoma"/>
            <family val="2"/>
          </rPr>
          <t xml:space="preserve">
Cook 2012: 50 (visual obs)</t>
        </r>
      </text>
    </comment>
    <comment ref="AI32" authorId="1">
      <text>
        <r>
          <rPr>
            <b/>
            <sz val="9"/>
            <color indexed="81"/>
            <rFont val="Tahoma"/>
            <family val="2"/>
          </rPr>
          <t>Emma Cashman Kelsey:</t>
        </r>
        <r>
          <rPr>
            <sz val="9"/>
            <color indexed="81"/>
            <rFont val="Tahoma"/>
            <family val="2"/>
          </rPr>
          <t xml:space="preserve">
Cook 2012: 50 (visual obs)</t>
        </r>
      </text>
    </comment>
    <comment ref="J33" authorId="1">
      <text>
        <r>
          <rPr>
            <b/>
            <sz val="9"/>
            <color indexed="81"/>
            <rFont val="Tahoma"/>
            <family val="2"/>
          </rPr>
          <t>Emma Cashman Kelsey:</t>
        </r>
        <r>
          <rPr>
            <sz val="9"/>
            <color indexed="81"/>
            <rFont val="Tahoma"/>
            <family val="2"/>
          </rPr>
          <t xml:space="preserve">
Ainley 1995: "During the autumn molt, and during daylight especially on days of highest winds in other parts of the year, Ashy Storm-Petrels frequently raft in small to vast numbers on the sea surface."</t>
        </r>
      </text>
    </comment>
    <comment ref="P33" authorId="1">
      <text>
        <r>
          <rPr>
            <b/>
            <sz val="9"/>
            <color indexed="81"/>
            <rFont val="Tahoma"/>
            <family val="2"/>
          </rPr>
          <t>Emma Cashman Kelsey:</t>
        </r>
        <r>
          <rPr>
            <sz val="9"/>
            <color indexed="81"/>
            <rFont val="Tahoma"/>
            <family val="2"/>
          </rPr>
          <t xml:space="preserve">
Ainley 1995: "During the autumn molt, and during daylight especially on days of highest winds in other parts of the year, Ashy Storm-Petrels frequently raft in small to vast numbers on the sea surface."
</t>
        </r>
      </text>
    </comment>
    <comment ref="AI33" authorId="1">
      <text>
        <r>
          <rPr>
            <b/>
            <sz val="9"/>
            <color indexed="81"/>
            <rFont val="Tahoma"/>
            <family val="2"/>
          </rPr>
          <t>Emma Cashman Kelsey:</t>
        </r>
        <r>
          <rPr>
            <sz val="9"/>
            <color indexed="81"/>
            <rFont val="Tahoma"/>
            <family val="2"/>
          </rPr>
          <t xml:space="preserve">
Cook 2012: 50 (visual obs)</t>
        </r>
      </text>
    </comment>
    <comment ref="AI34" authorId="1">
      <text>
        <r>
          <rPr>
            <b/>
            <sz val="9"/>
            <color indexed="81"/>
            <rFont val="Tahoma"/>
            <family val="2"/>
          </rPr>
          <t>Emma Cashman Kelsey:</t>
        </r>
        <r>
          <rPr>
            <sz val="9"/>
            <color indexed="81"/>
            <rFont val="Tahoma"/>
            <family val="2"/>
          </rPr>
          <t xml:space="preserve">
Cook 2012: 50 (visual obs)</t>
        </r>
      </text>
    </comment>
    <comment ref="AI35" authorId="1">
      <text>
        <r>
          <rPr>
            <b/>
            <sz val="9"/>
            <color indexed="81"/>
            <rFont val="Tahoma"/>
            <family val="2"/>
          </rPr>
          <t>Emma Cashman Kelsey:</t>
        </r>
        <r>
          <rPr>
            <sz val="9"/>
            <color indexed="81"/>
            <rFont val="Tahoma"/>
            <family val="2"/>
          </rPr>
          <t xml:space="preserve">
Cook 2012: 50 (visual obs)</t>
        </r>
      </text>
    </comment>
    <comment ref="J36" authorId="0">
      <text>
        <r>
          <rPr>
            <b/>
            <sz val="9"/>
            <color indexed="81"/>
            <rFont val="Calibri"/>
            <family val="2"/>
          </rPr>
          <t>Emma Kelsey:</t>
        </r>
        <r>
          <rPr>
            <sz val="9"/>
            <color indexed="81"/>
            <rFont val="Calibri"/>
            <family val="2"/>
          </rPr>
          <t xml:space="preserve">
del Hoyo: may feed at both day and night</t>
        </r>
      </text>
    </comment>
    <comment ref="AB36" authorId="0">
      <text>
        <r>
          <rPr>
            <b/>
            <sz val="9"/>
            <color indexed="81"/>
            <rFont val="Calibri"/>
            <family val="2"/>
          </rPr>
          <t>Emma Kelsey:</t>
        </r>
        <r>
          <rPr>
            <sz val="9"/>
            <color indexed="81"/>
            <rFont val="Calibri"/>
            <family val="2"/>
          </rPr>
          <t xml:space="preserve">
Ainley = 0.1
Willmott 2013 = 0 - 2
Furness 2013 = 2
Bradbury 2014 = 2</t>
        </r>
      </text>
    </comment>
    <comment ref="AI36" authorId="1">
      <text>
        <r>
          <rPr>
            <b/>
            <sz val="9"/>
            <color indexed="81"/>
            <rFont val="Tahoma"/>
            <family val="2"/>
          </rPr>
          <t>Emma Cashman Kelsey:</t>
        </r>
        <r>
          <rPr>
            <sz val="9"/>
            <color indexed="81"/>
            <rFont val="Tahoma"/>
            <family val="2"/>
          </rPr>
          <t xml:space="preserve">
Cook 2012: 50 (visual obs)</t>
        </r>
      </text>
    </comment>
    <comment ref="AB37" authorId="0">
      <text>
        <r>
          <rPr>
            <b/>
            <sz val="9"/>
            <color indexed="81"/>
            <rFont val="Calibri"/>
            <family val="2"/>
          </rPr>
          <t>Emma Kelsey:</t>
        </r>
        <r>
          <rPr>
            <sz val="9"/>
            <color indexed="81"/>
            <rFont val="Calibri"/>
            <family val="2"/>
          </rPr>
          <t xml:space="preserve">
Ainley had it as a different flight type than other strom petrels (sea anchor glider) but this is the flight height ranking for all the rest of the storm petrels
Willmott 2013 = 0
Bradbury 2014 = 0</t>
        </r>
      </text>
    </comment>
    <comment ref="AI37" authorId="1">
      <text>
        <r>
          <rPr>
            <b/>
            <sz val="9"/>
            <color indexed="81"/>
            <rFont val="Tahoma"/>
            <family val="2"/>
          </rPr>
          <t>Emma Cashman Kelsey:</t>
        </r>
        <r>
          <rPr>
            <sz val="9"/>
            <color indexed="81"/>
            <rFont val="Tahoma"/>
            <family val="2"/>
          </rPr>
          <t xml:space="preserve">
Cook 2012: 50 (visual obs)</t>
        </r>
      </text>
    </comment>
    <comment ref="P40" authorId="1">
      <text>
        <r>
          <rPr>
            <b/>
            <sz val="9"/>
            <color indexed="81"/>
            <rFont val="Tahoma"/>
            <family val="2"/>
          </rPr>
          <t>Emma Cashman Kelsey:</t>
        </r>
        <r>
          <rPr>
            <sz val="9"/>
            <color indexed="81"/>
            <rFont val="Tahoma"/>
            <family val="2"/>
          </rPr>
          <t xml:space="preserve">
Wallace and Wallace 1998: does land on water</t>
        </r>
      </text>
    </comment>
    <comment ref="AB40" authorId="0">
      <text>
        <r>
          <rPr>
            <b/>
            <sz val="9"/>
            <color indexed="81"/>
            <rFont val="Calibri"/>
            <family val="2"/>
          </rPr>
          <t>Emma Kelsey:</t>
        </r>
        <r>
          <rPr>
            <sz val="9"/>
            <color indexed="81"/>
            <rFont val="Calibri"/>
            <family val="2"/>
          </rPr>
          <t xml:space="preserve">
Ainley: 3.5
Cook 2012: European Shag = 12.4
Johnston 2014: Eurpoean Shag = 12.6, 9.9, 6.3
Furness 2013:
shag = 5
great comorant = 4</t>
        </r>
      </text>
    </comment>
    <comment ref="AI40" authorId="1">
      <text>
        <r>
          <rPr>
            <b/>
            <sz val="9"/>
            <color indexed="81"/>
            <rFont val="Tahoma"/>
            <family val="2"/>
          </rPr>
          <t>Emma Cashman Kelsey:</t>
        </r>
        <r>
          <rPr>
            <sz val="9"/>
            <color indexed="81"/>
            <rFont val="Tahoma"/>
            <family val="2"/>
          </rPr>
          <t xml:space="preserve">
Cook 2012: 18 (visual obs), 23 (radar)</t>
        </r>
      </text>
    </comment>
    <comment ref="AB41" authorId="0">
      <text>
        <r>
          <rPr>
            <b/>
            <sz val="9"/>
            <color indexed="81"/>
            <rFont val="Calibri"/>
            <family val="2"/>
          </rPr>
          <t>Emma Kelsey:</t>
        </r>
        <r>
          <rPr>
            <sz val="9"/>
            <color indexed="81"/>
            <rFont val="Calibri"/>
            <family val="2"/>
          </rPr>
          <t xml:space="preserve">
Ainley: 3.5
Willmott 2013: 4 - 78
Cook 2012: European Shag = 12.4
Johnston 2014: Eurpoean Shag = 2.6, 9.9, 6.3
Fijin 2012: average cormorant flight height = ~ 40ft
Furness 2013:
shag = 5
great comorant = 4</t>
        </r>
      </text>
    </comment>
    <comment ref="AI41" authorId="1">
      <text>
        <r>
          <rPr>
            <b/>
            <sz val="9"/>
            <color indexed="81"/>
            <rFont val="Tahoma"/>
            <family val="2"/>
          </rPr>
          <t>Emma Cashman Kelsey:</t>
        </r>
        <r>
          <rPr>
            <sz val="9"/>
            <color indexed="81"/>
            <rFont val="Tahoma"/>
            <family val="2"/>
          </rPr>
          <t xml:space="preserve">
Cook 2012: 18 (visual obs), 23 (radar)</t>
        </r>
      </text>
    </comment>
    <comment ref="P42" authorId="1">
      <text>
        <r>
          <rPr>
            <b/>
            <sz val="9"/>
            <color indexed="81"/>
            <rFont val="Tahoma"/>
            <family val="2"/>
          </rPr>
          <t>Emma Cashman Kelsey:</t>
        </r>
        <r>
          <rPr>
            <sz val="9"/>
            <color indexed="81"/>
            <rFont val="Tahoma"/>
            <family val="2"/>
          </rPr>
          <t xml:space="preserve">
Hobson 2013: does land and take off from water</t>
        </r>
      </text>
    </comment>
    <comment ref="AB42" authorId="0">
      <text>
        <r>
          <rPr>
            <b/>
            <sz val="9"/>
            <color indexed="81"/>
            <rFont val="Calibri"/>
            <family val="2"/>
          </rPr>
          <t>Emma Kelsey:</t>
        </r>
        <r>
          <rPr>
            <sz val="9"/>
            <color indexed="81"/>
            <rFont val="Calibri"/>
            <family val="2"/>
          </rPr>
          <t xml:space="preserve">
Ainley: 3.5
Cook 2012: European Shag = 12.4
Johnston 2014: Eurpoean Shag = 2.6, 9.9, 6.3
Furness 2013:
shag = 5
great comorant = 4</t>
        </r>
      </text>
    </comment>
    <comment ref="AI42" authorId="1">
      <text>
        <r>
          <rPr>
            <b/>
            <sz val="9"/>
            <color indexed="81"/>
            <rFont val="Tahoma"/>
            <family val="2"/>
          </rPr>
          <t>Emma Cashman Kelsey:</t>
        </r>
        <r>
          <rPr>
            <sz val="9"/>
            <color indexed="81"/>
            <rFont val="Tahoma"/>
            <family val="2"/>
          </rPr>
          <t xml:space="preserve">
Cook 2012: 18 (visual obs), 23 (radar)</t>
        </r>
      </text>
    </comment>
    <comment ref="AB43" authorId="0">
      <text>
        <r>
          <rPr>
            <b/>
            <sz val="9"/>
            <color indexed="81"/>
            <rFont val="Calibri"/>
            <family val="2"/>
          </rPr>
          <t>Emma Kelsey:</t>
        </r>
        <r>
          <rPr>
            <sz val="9"/>
            <color indexed="81"/>
            <rFont val="Calibri"/>
            <family val="2"/>
          </rPr>
          <t xml:space="preserve">
Ainley = 2.3
Willmott 2013 = 9 - 75</t>
        </r>
      </text>
    </comment>
    <comment ref="AJ43" authorId="1">
      <text>
        <r>
          <rPr>
            <b/>
            <sz val="9"/>
            <color indexed="81"/>
            <rFont val="Tahoma"/>
            <family val="2"/>
          </rPr>
          <t>Emma Cashman Kelsey:</t>
        </r>
        <r>
          <rPr>
            <sz val="9"/>
            <color indexed="81"/>
            <rFont val="Tahoma"/>
            <family val="2"/>
          </rPr>
          <t xml:space="preserve">
RNPH:
Willmott 2013 = 4
Bradbury 2014 = 1</t>
        </r>
      </text>
    </comment>
    <comment ref="AB44" authorId="0">
      <text>
        <r>
          <rPr>
            <b/>
            <sz val="9"/>
            <color indexed="81"/>
            <rFont val="Calibri"/>
            <family val="2"/>
          </rPr>
          <t>Emma Kelsey:</t>
        </r>
        <r>
          <rPr>
            <sz val="9"/>
            <color indexed="81"/>
            <rFont val="Calibri"/>
            <family val="2"/>
          </rPr>
          <t xml:space="preserve">
Ainley = 2.3
Willmott 2013 = 9 - 75</t>
        </r>
      </text>
    </comment>
    <comment ref="AJ44" authorId="1">
      <text>
        <r>
          <rPr>
            <b/>
            <sz val="9"/>
            <color indexed="81"/>
            <rFont val="Tahoma"/>
            <family val="2"/>
          </rPr>
          <t>Emma Cashman Kelsey:</t>
        </r>
        <r>
          <rPr>
            <sz val="9"/>
            <color indexed="81"/>
            <rFont val="Tahoma"/>
            <family val="2"/>
          </rPr>
          <t xml:space="preserve">
Willmott 2013 = 4
Bradbury 2014 = 1</t>
        </r>
      </text>
    </comment>
    <comment ref="AB45" authorId="0">
      <text>
        <r>
          <rPr>
            <b/>
            <sz val="9"/>
            <color indexed="81"/>
            <rFont val="Calibri"/>
            <family val="2"/>
          </rPr>
          <t>Emma Kelsey:</t>
        </r>
        <r>
          <rPr>
            <sz val="9"/>
            <color indexed="81"/>
            <rFont val="Calibri"/>
            <family val="2"/>
          </rPr>
          <t xml:space="preserve">
Ainley = 46
Cook 2012 = 15.7
Johnston 2014 = 15, 11.7, 7.9
Willmott 2013 = 0 - 67
Furness 2013: 16
Bradbury 2014: 15
</t>
        </r>
      </text>
    </comment>
    <comment ref="AI45"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Cook 2014: net macro-avoidance of 0 (no attraction or avoidance) so avoidance rate should be equal to micro avoidance rate: 0.995</t>
        </r>
      </text>
    </comment>
    <comment ref="P46" authorId="1">
      <text>
        <r>
          <rPr>
            <b/>
            <sz val="9"/>
            <color indexed="81"/>
            <rFont val="Tahoma"/>
            <family val="2"/>
          </rPr>
          <t>Emma Cashman Kelsey:</t>
        </r>
        <r>
          <rPr>
            <sz val="9"/>
            <color indexed="81"/>
            <rFont val="Tahoma"/>
            <family val="2"/>
          </rPr>
          <t xml:space="preserve">
Willmott 2013 = 1
Burger and Gochfeld 2002: "mostly diurnal, but occasionally flies at night"</t>
        </r>
      </text>
    </comment>
    <comment ref="AB46" authorId="0">
      <text>
        <r>
          <rPr>
            <b/>
            <sz val="9"/>
            <color indexed="81"/>
            <rFont val="Calibri"/>
            <family val="2"/>
          </rPr>
          <t>Emma Kelsey:</t>
        </r>
        <r>
          <rPr>
            <sz val="9"/>
            <color indexed="81"/>
            <rFont val="Calibri"/>
            <family val="2"/>
          </rPr>
          <t xml:space="preserve">
Ainley = 46
Willmott 2013 = 8 - 29
Cook 2012:
Black-headed Gull = 7.9
Little Gull = 5.5
Common Gull = 22.9
Lesser Black-backed Gull = 25.2
Greater Black-backed Gull = 33.1
Johnston 2014:
Black-headed Gull = 13.9, 10.9, 7.2
Little Gull = 0.0
Common Gull = 21.9, 17.2, 12.6
Lesser black-backed Gull = 28.2, 22.1, 17.2
Great black-backed gull = 32.5, 25.5, 20.6
Furness 2013:
Lesser black- backed = 30
Common = 23
Black-headed  = 18</t>
        </r>
      </text>
    </comment>
    <comment ref="AI46"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AB47" authorId="0">
      <text>
        <r>
          <rPr>
            <b/>
            <sz val="9"/>
            <color indexed="81"/>
            <rFont val="Calibri"/>
            <family val="2"/>
          </rPr>
          <t>Emma Kelsey:</t>
        </r>
        <r>
          <rPr>
            <sz val="9"/>
            <color indexed="81"/>
            <rFont val="Calibri"/>
            <family val="2"/>
          </rPr>
          <t xml:space="preserve">
Ainley = 46
Willmott 2013 = 13
Bradbury 2014 = 20
Cook 2012:
Black-headed Gull = 7.9
Little Gull = 5.5
Common Gull = 22.9
Lesser Black-backed Gull = 25.2
Greater Black-backed Gull = 33.1
Johnston 2014:
Black-headed Gull = 13.9, 10.9, 7.2
Little Gull = 0.0
Common Gull = 21.9, 17.2, 12.6
Lesser black-backed Gull = 28.2, 22.1, 17.2
Great black-backed gull = 32.5, 25.5, 20.6
Furness 2013:
Lesser black- backed = 30
Common = 23
Black-headed  = 18</t>
        </r>
      </text>
    </comment>
    <comment ref="AI47"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P48" authorId="1">
      <text>
        <r>
          <rPr>
            <b/>
            <sz val="9"/>
            <color indexed="81"/>
            <rFont val="Tahoma"/>
            <family val="2"/>
          </rPr>
          <t>Emma Cashman Kelsey:</t>
        </r>
        <r>
          <rPr>
            <sz val="9"/>
            <color indexed="81"/>
            <rFont val="Tahoma"/>
            <family val="2"/>
          </rPr>
          <t xml:space="preserve">
Winkler 1996: "migratory movements observed during day… but extent of nocturnal migration not known."</t>
        </r>
      </text>
    </comment>
    <comment ref="AB48" authorId="0">
      <text>
        <r>
          <rPr>
            <b/>
            <sz val="9"/>
            <color indexed="81"/>
            <rFont val="Calibri"/>
            <family val="2"/>
          </rPr>
          <t>Emma Kelsey:</t>
        </r>
        <r>
          <rPr>
            <sz val="9"/>
            <color indexed="81"/>
            <rFont val="Calibri"/>
            <family val="2"/>
          </rPr>
          <t xml:space="preserve">
Cook 2012:
Black-headed Gull = 7.9
Little Gull = 5.5
Common Gull = 22.9
Lesser Black-backed Gull = 25.2
Greater Black-backed Gull = 33.1
Johnston 2014:
Black-headed Gull = 13.9, 10.9, 7.2
Little Gull = 0.0
Common Gull = 21.9, 17.2, 12.6
Lesser black-backed Gull = 28.2, 22.1, 17.2
Great black-backed gull = 32.5, 25.5, 20.6
Furness 2013:
Lesser black- backed = 30
Common = 23
Black-headed  = 18</t>
        </r>
      </text>
    </comment>
    <comment ref="AI48"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AB49" authorId="0">
      <text>
        <r>
          <rPr>
            <b/>
            <sz val="9"/>
            <color indexed="81"/>
            <rFont val="Calibri"/>
            <family val="2"/>
          </rPr>
          <t>Emma Kelsey:</t>
        </r>
        <r>
          <rPr>
            <sz val="9"/>
            <color indexed="81"/>
            <rFont val="Calibri"/>
            <family val="2"/>
          </rPr>
          <t xml:space="preserve">
Cook 2012:
Black-headed Gull = 7.9
Little Gull = 5.5
Common Gull = 22.9
Lesser Black-backed Gull = 25.2
Greater Black-backed Gull = 33.1
Johnston 2014:
Black-headed Gull = 13.9, 10.9, 7.2
Little Gull = 0.0
Common Gull = 21.9, 17.2, 12.6
Lesser black-backed Gull = 28.2, 22.1, 17.2
Great black-backed gull = 32.5, 25.5, 20.6
Furness 2013:
Lesser black- backed = 30
Common = 23
Black-headed  = 18</t>
        </r>
      </text>
    </comment>
    <comment ref="AI49"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AB50" authorId="0">
      <text>
        <r>
          <rPr>
            <b/>
            <sz val="9"/>
            <color indexed="81"/>
            <rFont val="Calibri"/>
            <family val="2"/>
          </rPr>
          <t>Emma Kelsey:</t>
        </r>
        <r>
          <rPr>
            <sz val="9"/>
            <color indexed="81"/>
            <rFont val="Calibri"/>
            <family val="2"/>
          </rPr>
          <t xml:space="preserve">
Cook 2012:
Black-headed Gull = 7.9
Little Gull = 5.5
Common Gull = 22.9
Lesser Black-backed Gull = 25.2
Greater Black-backed Gull = 33.1
Johnston 2014:
Black-headed Gull = 13.9, 10.9, 7.2
Little Gull = 0.0
Common Gull = 21.9, 17.2, 12.6
Lesser black-backed Gull = 28.2, 22.1, 17.2
Great black-backed gull = 32.5, 25.5, 20.6
Furness 2013:
Lesser black- backed = 30
Common = 23
Black-headed  = 18</t>
        </r>
      </text>
    </comment>
    <comment ref="AI50"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AB51" authorId="0">
      <text>
        <r>
          <rPr>
            <b/>
            <sz val="9"/>
            <color indexed="81"/>
            <rFont val="Calibri"/>
            <family val="2"/>
          </rPr>
          <t>Emma Kelsey:</t>
        </r>
        <r>
          <rPr>
            <sz val="9"/>
            <color indexed="81"/>
            <rFont val="Calibri"/>
            <family val="2"/>
          </rPr>
          <t xml:space="preserve">
Ainley = 46
Willmott 2013 = 13 - 60.6
Cook 2012:
Black-headed Gull = 7.9
Little Gull = 5.5
Common Gull = 22.9
Lesser Black-backed Gull = 25.2
Greater Black-backed Gull = 33.1
Johnston 2014:
Black-headed Gull = 13.9, 10.9, 7.2
Little Gull = 0.0
Common Gull = 21.9, 17.2, 12.6
Lesser black-backed Gull = 28.2, 22.1, 17.2
Great black-backed gull = 32.5, 25.5, 20.6
Furness 2013:
Lesser black- backed = 30
Common = 23
Black-headed  = 18</t>
        </r>
      </text>
    </comment>
    <comment ref="AI51"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AB52" authorId="0">
      <text>
        <r>
          <rPr>
            <b/>
            <sz val="9"/>
            <color indexed="81"/>
            <rFont val="Calibri"/>
            <family val="2"/>
          </rPr>
          <t>Emma Kelsey:</t>
        </r>
        <r>
          <rPr>
            <sz val="9"/>
            <color indexed="81"/>
            <rFont val="Calibri"/>
            <family val="2"/>
          </rPr>
          <t xml:space="preserve">
Ainley = 47.9
Cook 2012 = 28.4
Johnston  2014: 31.9, 25.1, 20.1
Willmott 2013: 13 - 50
Furness 2013: 35
Bradbury 2014: 35</t>
        </r>
      </text>
    </comment>
    <comment ref="AI52"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Cook 2014: net macro-avoidance of 0 (no attraction or avoidance) so avoidance rate should be equal to micro avoidance rate: 0.995</t>
        </r>
      </text>
    </comment>
    <comment ref="AB53" authorId="0">
      <text>
        <r>
          <rPr>
            <b/>
            <sz val="9"/>
            <color indexed="81"/>
            <rFont val="Calibri"/>
            <family val="2"/>
          </rPr>
          <t>Emma Kelsey:</t>
        </r>
        <r>
          <rPr>
            <sz val="9"/>
            <color indexed="81"/>
            <rFont val="Calibri"/>
            <family val="2"/>
          </rPr>
          <t xml:space="preserve">
Ainley = Herring gull = 47.9
Cook 2012: Herring Gull = 28.4
Johnston  2014: Herring gull = 31.9, 25.1, 20.1
Willmott 2013: Herring gull = 13 - 50
Furness 2013: Herring gull = 35</t>
        </r>
      </text>
    </comment>
    <comment ref="AI53"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P54" authorId="1">
      <text>
        <r>
          <rPr>
            <b/>
            <sz val="9"/>
            <color indexed="81"/>
            <rFont val="Tahoma"/>
            <family val="2"/>
          </rPr>
          <t>Emma Cashman Kelsey:</t>
        </r>
        <r>
          <rPr>
            <sz val="9"/>
            <color indexed="81"/>
            <rFont val="Tahoma"/>
            <family val="2"/>
          </rPr>
          <t xml:space="preserve">
Hayward and Verbeek 2008: Presumably migrates during daylight hours only. Needs more study."</t>
        </r>
      </text>
    </comment>
    <comment ref="AB54" authorId="0">
      <text>
        <r>
          <rPr>
            <b/>
            <sz val="9"/>
            <color indexed="81"/>
            <rFont val="Calibri"/>
            <family val="2"/>
          </rPr>
          <t>Emma Kelsey:</t>
        </r>
        <r>
          <rPr>
            <sz val="9"/>
            <color indexed="81"/>
            <rFont val="Calibri"/>
            <family val="2"/>
          </rPr>
          <t xml:space="preserve">
Cook 2012: Great Black-backed Gull = 33.1
Johnston 2014: Great black-backed gull = 32.5, 25.5, 20.6
Furness 2013: Greater black-backed gull = 35</t>
        </r>
      </text>
    </comment>
    <comment ref="AI54"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Cook 2014: Lesser black-backed and great black-backed-  net macro-avoidance of 0 (no attraction or avoidance) so avoidance rate should be equal to micro avoidance rate: 0.995</t>
        </r>
      </text>
    </comment>
    <comment ref="AB55" authorId="0">
      <text>
        <r>
          <rPr>
            <b/>
            <sz val="9"/>
            <color indexed="81"/>
            <rFont val="Calibri"/>
            <family val="2"/>
          </rPr>
          <t>Emma Kelsey:</t>
        </r>
        <r>
          <rPr>
            <sz val="9"/>
            <color indexed="81"/>
            <rFont val="Calibri"/>
            <family val="2"/>
          </rPr>
          <t xml:space="preserve">
Cook 2012: Great Black-backed Gull = 33.1
Johnston 2014: Great black-backed gull = 32.5, 25.5, 20.6
Furness 2013: Greater black-backed gull = 35</t>
        </r>
      </text>
    </comment>
    <comment ref="AI55" authorId="1">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Cook 2014: Lesser black-backed and great black-backed-  net macro-avoidance of 0 (no attraction or avoidance) so avoidance rate should be equal to micro avoidance rate: 0.995</t>
        </r>
      </text>
    </comment>
    <comment ref="J56" authorId="1">
      <text>
        <r>
          <rPr>
            <b/>
            <sz val="9"/>
            <color indexed="81"/>
            <rFont val="Tahoma"/>
            <family val="2"/>
          </rPr>
          <t>Emma Cashman Kelsey:</t>
        </r>
        <r>
          <rPr>
            <sz val="9"/>
            <color indexed="81"/>
            <rFont val="Tahoma"/>
            <family val="2"/>
          </rPr>
          <t xml:space="preserve">
Cuthbert and Wires 1999: "Migration flight usually observed twice a day: late morning and late afternoon–early evening; nocturnal migration not uncommon."</t>
        </r>
      </text>
    </comment>
    <comment ref="AB56" authorId="0">
      <text>
        <r>
          <rPr>
            <b/>
            <sz val="9"/>
            <color indexed="81"/>
            <rFont val="Calibri"/>
            <family val="2"/>
          </rPr>
          <t>Emma Kelsey:</t>
        </r>
        <r>
          <rPr>
            <sz val="9"/>
            <color indexed="81"/>
            <rFont val="Calibri"/>
            <family val="2"/>
          </rPr>
          <t xml:space="preserve">
Ainley: 62.6
Willmott 2013: 3 - 30m
Cook 2012: Sandwich Tern = 3.6
Johnston 2014: Sandwich Tern = 2.0, 1.6, 0.4
Furness 2013:
Sandwich Tern = 7
Little tern = 7
Roseate tern = 5
</t>
        </r>
      </text>
    </comment>
    <comment ref="AI56"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J57" authorId="1">
      <text>
        <r>
          <rPr>
            <b/>
            <sz val="9"/>
            <color indexed="81"/>
            <rFont val="Tahoma"/>
            <family val="2"/>
          </rPr>
          <t>Emma Cashman Kelsey:</t>
        </r>
        <r>
          <rPr>
            <sz val="9"/>
            <color indexed="81"/>
            <rFont val="Tahoma"/>
            <family val="2"/>
          </rPr>
          <t xml:space="preserve">
Willmott 2013 = 1
Hatch 2002: "migrating terns make long flights at night with favorable winds at high altitudes… very little activity recorded at night (in Antarctica)"</t>
        </r>
      </text>
    </comment>
    <comment ref="P57" authorId="1">
      <text>
        <r>
          <rPr>
            <b/>
            <sz val="9"/>
            <color indexed="81"/>
            <rFont val="Tahoma"/>
            <family val="2"/>
          </rPr>
          <t>Emma Cashman Kelsey:</t>
        </r>
        <r>
          <rPr>
            <sz val="9"/>
            <color indexed="81"/>
            <rFont val="Tahoma"/>
            <family val="2"/>
          </rPr>
          <t xml:space="preserve">
Hatch 2002: "Rarely settles on water, except occasionally to bathe in groups; frequently stands on floating objects and readily joins feeding flocks of terns and other seabirds."</t>
        </r>
      </text>
    </comment>
    <comment ref="AB57" authorId="0">
      <text>
        <r>
          <rPr>
            <b/>
            <sz val="9"/>
            <color indexed="81"/>
            <rFont val="Calibri"/>
            <family val="2"/>
          </rPr>
          <t>Emma Kelsey:</t>
        </r>
        <r>
          <rPr>
            <sz val="9"/>
            <color indexed="81"/>
            <rFont val="Calibri"/>
            <family val="2"/>
          </rPr>
          <t xml:space="preserve">
Ainley: 62.6
Cook 2012: 2.8
Johnston 2014: 0.0
Willmott 2013: 42 - 64
Furness 2013: 5
Cook 2012: Sandwich Tern = 3.6
Johnston 2014: Sandwich Tern = 2.0, 1.6, 0.4
Bradbury 2014: 5</t>
        </r>
      </text>
    </comment>
    <comment ref="AI57"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J58" authorId="1">
      <text>
        <r>
          <rPr>
            <b/>
            <sz val="9"/>
            <color indexed="81"/>
            <rFont val="Tahoma"/>
            <family val="2"/>
          </rPr>
          <t>Emma Cashman Kelsey:</t>
        </r>
        <r>
          <rPr>
            <sz val="9"/>
            <color indexed="81"/>
            <rFont val="Tahoma"/>
            <family val="2"/>
          </rPr>
          <t xml:space="preserve">
Willmott 2013 = 1
Nisbet 2002: "terns start migratory flights in evening and fly at high altitudes during night, consistent with paucity of records of terns traveling by day."</t>
        </r>
      </text>
    </comment>
    <comment ref="AB58" authorId="0">
      <text>
        <r>
          <rPr>
            <b/>
            <sz val="9"/>
            <color indexed="81"/>
            <rFont val="Calibri"/>
            <family val="2"/>
          </rPr>
          <t>Emma Kelsey:</t>
        </r>
        <r>
          <rPr>
            <sz val="9"/>
            <color indexed="81"/>
            <rFont val="Calibri"/>
            <family val="2"/>
          </rPr>
          <t xml:space="preserve">
Ainley:  62.6
Cook 2012: 12.7
Willmott 2013: 12.7 - 50
Furness 2013: 7
Johnston 2014: 2.5, 2.0, 0.6
Cook 2012: Sandwich Tern = 3.6
Johnston 2014: Sandwich Tern = 2.0, 1.6, 0.4
Bradbury 2014: 10</t>
        </r>
      </text>
    </comment>
    <comment ref="AI58"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AB59" authorId="1">
      <text>
        <r>
          <rPr>
            <b/>
            <sz val="9"/>
            <color indexed="81"/>
            <rFont val="Tahoma"/>
            <family val="2"/>
          </rPr>
          <t>Emma Cashman Kelsey:</t>
        </r>
        <r>
          <rPr>
            <sz val="9"/>
            <color indexed="81"/>
            <rFont val="Tahoma"/>
            <family val="2"/>
          </rPr>
          <t xml:space="preserve">
Cook 2012: Sandwich Tern = 3.6
Johnston 2014: Sandwich Tern = 2.0, 1.6, 0.4
Furness 2013:
Sandwich Tern = 7
Little tern = 7
Roseate tern = 5
</t>
        </r>
      </text>
    </comment>
    <comment ref="AI59"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AB60" authorId="0">
      <text>
        <r>
          <rPr>
            <b/>
            <sz val="9"/>
            <color indexed="81"/>
            <rFont val="Calibri"/>
            <family val="2"/>
          </rPr>
          <t>Emma Kelsey:</t>
        </r>
        <r>
          <rPr>
            <sz val="9"/>
            <color indexed="81"/>
            <rFont val="Calibri"/>
            <family val="2"/>
          </rPr>
          <t xml:space="preserve">
Ainley = 62.6
Willmott 2013 = 67
Cook 2012: Sandwich Tern = 3.6
Johnston 2014: Sandwich Tern = 2.0, 1.6, 0.4
Furness 2013:
Sandwich Tern = 7
Little tern = 7
Roseate tern = 5
</t>
        </r>
      </text>
    </comment>
    <comment ref="AI60"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AB61" authorId="0">
      <text>
        <r>
          <rPr>
            <b/>
            <sz val="9"/>
            <color indexed="81"/>
            <rFont val="Calibri"/>
            <family val="2"/>
          </rPr>
          <t>Emma Kelsey:</t>
        </r>
        <r>
          <rPr>
            <sz val="9"/>
            <color indexed="81"/>
            <rFont val="Calibri"/>
            <family val="2"/>
          </rPr>
          <t xml:space="preserve">
Ainley = 62.6
Willmott 2013 = 42 - 64
Cook 2012: Sandwich Tern = 3.6
Johnston 2014: Sandwich Tern = 2.0, 1.6, 0.4
Furness 2013:
Sandwich Tern = 7
Little tern = 7
Roseate tern = 5
</t>
        </r>
      </text>
    </comment>
    <comment ref="AI61"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AB62" authorId="0">
      <text>
        <r>
          <rPr>
            <b/>
            <sz val="9"/>
            <color indexed="81"/>
            <rFont val="Calibri"/>
            <family val="2"/>
          </rPr>
          <t>Emma Kelsey:</t>
        </r>
        <r>
          <rPr>
            <sz val="9"/>
            <color indexed="81"/>
            <rFont val="Calibri"/>
            <family val="2"/>
          </rPr>
          <t xml:space="preserve">
Ainley = 62.6
Willmott 2013 = 40 - 75 (based on similar spp)
Cook 2012: Sandwich Tern = 3.6
Johnston 2014: Sandwich Tern = 2.0, 1.6, 0.4
Furness 2013:
Sandwich Tern = 7
Little tern = 7
Roseate tern = 5
</t>
        </r>
      </text>
    </comment>
    <comment ref="AI62"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AB63" authorId="0">
      <text>
        <r>
          <rPr>
            <b/>
            <sz val="9"/>
            <color indexed="81"/>
            <rFont val="Calibri"/>
            <family val="2"/>
          </rPr>
          <t>Emma Kelsey:</t>
        </r>
        <r>
          <rPr>
            <sz val="9"/>
            <color indexed="81"/>
            <rFont val="Calibri"/>
            <family val="2"/>
          </rPr>
          <t xml:space="preserve">
Ainley = 62.6
Willmott = 5, based on similar spp
Cook 2012: Sandwich Tern = 3.6
Johnston 2014: Sandwich Tern = 2.0, 1.6, 0.4
Furness 2013:
Sandwich Tern = 7
Little tern = 7
Roseate tern = 5
</t>
        </r>
      </text>
    </comment>
    <comment ref="AI63" authorId="1">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AB64" authorId="1">
      <text>
        <r>
          <rPr>
            <b/>
            <sz val="9"/>
            <color indexed="81"/>
            <rFont val="Tahoma"/>
            <family val="2"/>
          </rPr>
          <t>Emma Cashman Kelsey:</t>
        </r>
        <r>
          <rPr>
            <sz val="9"/>
            <color indexed="81"/>
            <rFont val="Tahoma"/>
            <family val="2"/>
          </rPr>
          <t xml:space="preserve">
Cook 2012: Sandwich Tern = 3.6
Johnston 2014: Sandwich Tern = 0.02</t>
        </r>
      </text>
    </comment>
    <comment ref="AI64" authorId="1">
      <text>
        <r>
          <rPr>
            <b/>
            <sz val="9"/>
            <color indexed="81"/>
            <rFont val="Tahoma"/>
            <family val="2"/>
          </rPr>
          <t>Emma Cashman Kelsey:</t>
        </r>
        <r>
          <rPr>
            <sz val="9"/>
            <color indexed="81"/>
            <rFont val="Tahoma"/>
            <family val="2"/>
          </rPr>
          <t xml:space="preserve">
Cook 2012: visual = 30, radar = 69.5</t>
        </r>
      </text>
    </comment>
    <comment ref="AB65" authorId="1">
      <text>
        <r>
          <rPr>
            <b/>
            <sz val="9"/>
            <color indexed="81"/>
            <rFont val="Tahoma"/>
            <family val="2"/>
          </rPr>
          <t>Emma Cashman Kelsey:</t>
        </r>
        <r>
          <rPr>
            <sz val="9"/>
            <color indexed="81"/>
            <rFont val="Tahoma"/>
            <family val="2"/>
          </rPr>
          <t xml:space="preserve">
Bradbury 2014 = 10</t>
        </r>
      </text>
    </comment>
    <comment ref="AI65" authorId="1">
      <text>
        <r>
          <rPr>
            <b/>
            <sz val="9"/>
            <color indexed="81"/>
            <rFont val="Tahoma"/>
            <family val="2"/>
          </rPr>
          <t>Emma Cashman Kelsey:</t>
        </r>
        <r>
          <rPr>
            <sz val="9"/>
            <color indexed="81"/>
            <rFont val="Tahoma"/>
            <family val="2"/>
          </rPr>
          <t xml:space="preserve">
Cook 2012: Skuas = 0 (visual obs)</t>
        </r>
      </text>
    </comment>
    <comment ref="AB66" authorId="0">
      <text>
        <r>
          <rPr>
            <b/>
            <sz val="9"/>
            <color indexed="81"/>
            <rFont val="Calibri"/>
            <family val="2"/>
          </rPr>
          <t>Emma Kelsey:</t>
        </r>
        <r>
          <rPr>
            <sz val="9"/>
            <color indexed="81"/>
            <rFont val="Calibri"/>
            <family val="2"/>
          </rPr>
          <t xml:space="preserve">
Ainley = 46
Willmott 2013 = 3.8 - 40
Cook 2012: Arctic Skua = 3.8</t>
        </r>
      </text>
    </comment>
    <comment ref="AI66" authorId="1">
      <text>
        <r>
          <rPr>
            <b/>
            <sz val="9"/>
            <color indexed="81"/>
            <rFont val="Tahoma"/>
            <family val="2"/>
          </rPr>
          <t>Emma Cashman Kelsey:</t>
        </r>
        <r>
          <rPr>
            <sz val="9"/>
            <color indexed="81"/>
            <rFont val="Tahoma"/>
            <family val="2"/>
          </rPr>
          <t xml:space="preserve">
Cook 2012: Skuas = 0 (visual obs)</t>
        </r>
      </text>
    </comment>
    <comment ref="AB67" authorId="0">
      <text>
        <r>
          <rPr>
            <b/>
            <sz val="9"/>
            <color indexed="81"/>
            <rFont val="Calibri"/>
            <family val="2"/>
          </rPr>
          <t>Emma Kelsey:</t>
        </r>
        <r>
          <rPr>
            <sz val="9"/>
            <color indexed="81"/>
            <rFont val="Calibri"/>
            <family val="2"/>
          </rPr>
          <t xml:space="preserve">
Ainley = 46
Willmott 2013 = 15 - 33.3
Bradbury 2014 = 10</t>
        </r>
      </text>
    </comment>
    <comment ref="AI67" authorId="1">
      <text>
        <r>
          <rPr>
            <b/>
            <sz val="9"/>
            <color indexed="81"/>
            <rFont val="Tahoma"/>
            <family val="2"/>
          </rPr>
          <t>Emma Cashman Kelsey:</t>
        </r>
        <r>
          <rPr>
            <sz val="9"/>
            <color indexed="81"/>
            <rFont val="Tahoma"/>
            <family val="2"/>
          </rPr>
          <t xml:space="preserve">
Cook 2012: Skuas = 0 (visual obs)</t>
        </r>
      </text>
    </comment>
    <comment ref="AB68" authorId="0">
      <text>
        <r>
          <rPr>
            <b/>
            <sz val="9"/>
            <color indexed="81"/>
            <rFont val="Calibri"/>
            <family val="2"/>
          </rPr>
          <t>Emma Kelsey:</t>
        </r>
        <r>
          <rPr>
            <sz val="9"/>
            <color indexed="81"/>
            <rFont val="Calibri"/>
            <family val="2"/>
          </rPr>
          <t xml:space="preserve">
Ainley: Jaegers = 46, Terns = 62.6
"The large skuas group (Cluster 12) was exceptional in that they did not exhibit a rapid increase in the probability of flying at &gt;10 m high with wind speed. However, the large skuas were most likely to fly at &gt;10 m (probability &gt; 0.8) regardless of wind speed and flight direction (Note: sample sizes were small for this cluster, relative to the sample sizes of others)."
Cook 2012: Arctic Skua = 3.8, Great Skua = 4.3
Johnston 2014: Arctic Skua = 0.0, Great Skua = 0.0
Willmott 2013: ranking of 3 based on similar spp
Bradbury 2014: skuas = 10
Fijin 2012: average skua flight height = ~27ft</t>
        </r>
      </text>
    </comment>
    <comment ref="AI68" authorId="1">
      <text>
        <r>
          <rPr>
            <b/>
            <sz val="9"/>
            <color indexed="81"/>
            <rFont val="Tahoma"/>
            <family val="2"/>
          </rPr>
          <t>Emma Cashman Kelsey:</t>
        </r>
        <r>
          <rPr>
            <sz val="9"/>
            <color indexed="81"/>
            <rFont val="Tahoma"/>
            <family val="2"/>
          </rPr>
          <t xml:space="preserve">
Cook 2012: Skuas = 0 (visual obs)</t>
        </r>
      </text>
    </comment>
    <comment ref="J69" authorId="1">
      <text>
        <r>
          <rPr>
            <b/>
            <sz val="9"/>
            <color indexed="81"/>
            <rFont val="Tahoma"/>
            <family val="2"/>
          </rPr>
          <t>Emma Cashman Kelsey:</t>
        </r>
        <r>
          <rPr>
            <sz val="9"/>
            <color indexed="81"/>
            <rFont val="Tahoma"/>
            <family val="2"/>
          </rPr>
          <t xml:space="preserve">
Gaston and Shoji: fly from offshore 'gathering grounds' to collony after dark</t>
        </r>
      </text>
    </comment>
    <comment ref="P69" authorId="1">
      <text>
        <r>
          <rPr>
            <b/>
            <sz val="9"/>
            <color indexed="81"/>
            <rFont val="Tahoma"/>
            <family val="2"/>
          </rPr>
          <t>Emma Cashman Kelsey:</t>
        </r>
        <r>
          <rPr>
            <sz val="9"/>
            <color indexed="81"/>
            <rFont val="Tahoma"/>
            <family val="2"/>
          </rPr>
          <t xml:space="preserve">
Gaston and Shoji 2010: does land on, and take off from, water
</t>
        </r>
      </text>
    </comment>
    <comment ref="AB69" authorId="0">
      <text>
        <r>
          <rPr>
            <b/>
            <sz val="9"/>
            <color indexed="81"/>
            <rFont val="Calibri"/>
            <family val="2"/>
          </rPr>
          <t>Emma Kelsey:</t>
        </r>
        <r>
          <rPr>
            <sz val="9"/>
            <color indexed="81"/>
            <rFont val="Calibri"/>
            <family val="2"/>
          </rPr>
          <t xml:space="preserve">
Cook 2012: Little Auk = 0.03
Johnston 2014: Little Auk = 0.0</t>
        </r>
      </text>
    </comment>
    <comment ref="AI69" authorId="1">
      <text>
        <r>
          <rPr>
            <b/>
            <sz val="9"/>
            <color indexed="81"/>
            <rFont val="Tahoma"/>
            <family val="2"/>
          </rPr>
          <t>Emma Cashman Kelsey:</t>
        </r>
        <r>
          <rPr>
            <sz val="9"/>
            <color indexed="81"/>
            <rFont val="Tahoma"/>
            <family val="2"/>
          </rPr>
          <t xml:space="preserve">
Cook 2012: 45 (visual obs), 68 (visual obs)</t>
        </r>
      </text>
    </comment>
    <comment ref="AB70" authorId="0">
      <text>
        <r>
          <rPr>
            <b/>
            <sz val="9"/>
            <color indexed="81"/>
            <rFont val="Calibri"/>
            <family val="2"/>
          </rPr>
          <t>Emma Kelsey:</t>
        </r>
        <r>
          <rPr>
            <sz val="9"/>
            <color indexed="81"/>
            <rFont val="Calibri"/>
            <family val="2"/>
          </rPr>
          <t xml:space="preserve">
Cook 2012: Little Auk = 0.03
Johnston 2014: Little Auk = 0.0</t>
        </r>
      </text>
    </comment>
    <comment ref="AI70" authorId="1">
      <text>
        <r>
          <rPr>
            <b/>
            <sz val="9"/>
            <color indexed="81"/>
            <rFont val="Tahoma"/>
            <family val="2"/>
          </rPr>
          <t>Emma Cashman Kelsey:</t>
        </r>
        <r>
          <rPr>
            <sz val="9"/>
            <color indexed="81"/>
            <rFont val="Tahoma"/>
            <family val="2"/>
          </rPr>
          <t xml:space="preserve">
Cook 2012: 45 (visual obs), 68 (visual obs)</t>
        </r>
      </text>
    </comment>
    <comment ref="E71" authorId="2">
      <text>
        <r>
          <rPr>
            <b/>
            <sz val="9"/>
            <color indexed="81"/>
            <rFont val="Tahoma"/>
            <family val="2"/>
          </rPr>
          <t>Adams, Josh:</t>
        </r>
        <r>
          <rPr>
            <sz val="9"/>
            <color indexed="81"/>
            <rFont val="Tahoma"/>
            <family val="2"/>
          </rPr>
          <t xml:space="preserve">
Guadalupe and Scripps's Murrelet</t>
        </r>
      </text>
    </comment>
    <comment ref="AB71" authorId="0">
      <text>
        <r>
          <rPr>
            <b/>
            <sz val="9"/>
            <color indexed="81"/>
            <rFont val="Calibri"/>
            <family val="2"/>
          </rPr>
          <t>Emma Kelsey:</t>
        </r>
        <r>
          <rPr>
            <sz val="9"/>
            <color indexed="81"/>
            <rFont val="Calibri"/>
            <family val="2"/>
          </rPr>
          <t xml:space="preserve">
Cook 2012: Little Auk = 0.03
Johnston 2014: Little Auk = 0.0</t>
        </r>
      </text>
    </comment>
    <comment ref="AI71" authorId="1">
      <text>
        <r>
          <rPr>
            <b/>
            <sz val="9"/>
            <color indexed="81"/>
            <rFont val="Tahoma"/>
            <family val="2"/>
          </rPr>
          <t>Emma Cashman Kelsey:</t>
        </r>
        <r>
          <rPr>
            <sz val="9"/>
            <color indexed="81"/>
            <rFont val="Tahoma"/>
            <family val="2"/>
          </rPr>
          <t xml:space="preserve">
Cook 2012: 45 (visual obs), 68 (visual obs)</t>
        </r>
      </text>
    </comment>
    <comment ref="AB72" authorId="0">
      <text>
        <r>
          <rPr>
            <b/>
            <sz val="9"/>
            <color indexed="81"/>
            <rFont val="Calibri"/>
            <family val="2"/>
          </rPr>
          <t>Emma Kelsey:</t>
        </r>
        <r>
          <rPr>
            <sz val="9"/>
            <color indexed="81"/>
            <rFont val="Calibri"/>
            <family val="2"/>
          </rPr>
          <t xml:space="preserve">
Cook 2012: Little Auk = 0.03
Johnston 2014: Little Auk = 0.0</t>
        </r>
      </text>
    </comment>
    <comment ref="AI72" authorId="1">
      <text>
        <r>
          <rPr>
            <b/>
            <sz val="9"/>
            <color indexed="81"/>
            <rFont val="Tahoma"/>
            <family val="2"/>
          </rPr>
          <t>Emma Cashman Kelsey:</t>
        </r>
        <r>
          <rPr>
            <sz val="9"/>
            <color indexed="81"/>
            <rFont val="Tahoma"/>
            <family val="2"/>
          </rPr>
          <t xml:space="preserve">
Cook 2012: 45 (visual obs), 68 (visual obs)</t>
        </r>
      </text>
    </comment>
    <comment ref="AB73" authorId="0">
      <text>
        <r>
          <rPr>
            <b/>
            <sz val="9"/>
            <color indexed="81"/>
            <rFont val="Calibri"/>
            <family val="2"/>
          </rPr>
          <t>Emma Kelsey:</t>
        </r>
        <r>
          <rPr>
            <sz val="9"/>
            <color indexed="81"/>
            <rFont val="Calibri"/>
            <family val="2"/>
          </rPr>
          <t xml:space="preserve">
Willmott 2013 = 0-1.6
Furness 2013: 1
Bradbury 2014: 1
</t>
        </r>
      </text>
    </comment>
    <comment ref="AC73" authorId="1">
      <text>
        <r>
          <rPr>
            <b/>
            <sz val="9"/>
            <color indexed="81"/>
            <rFont val="Tahoma"/>
            <family val="2"/>
          </rPr>
          <t>Emma Cashman Kelsey:</t>
        </r>
        <r>
          <rPr>
            <sz val="9"/>
            <color indexed="81"/>
            <rFont val="Tahoma"/>
            <family val="2"/>
          </rPr>
          <t xml:space="preserve">
Ainley et al. 2015 states that COMU and other alcids might actualy be of higher risk near colonies, but doesn't quantify</t>
        </r>
      </text>
    </comment>
    <comment ref="AI73" authorId="1">
      <text>
        <r>
          <rPr>
            <b/>
            <sz val="9"/>
            <color indexed="81"/>
            <rFont val="Tahoma"/>
            <family val="2"/>
          </rPr>
          <t>Emma Cashman Kelsey:</t>
        </r>
        <r>
          <rPr>
            <sz val="9"/>
            <color indexed="81"/>
            <rFont val="Tahoma"/>
            <family val="2"/>
          </rPr>
          <t xml:space="preserve">
Cook 2012: 45 (visual obs), 68 (visual obs)
Peterson 2006: avoidance</t>
        </r>
      </text>
    </comment>
    <comment ref="AB74" authorId="0">
      <text>
        <r>
          <rPr>
            <b/>
            <sz val="9"/>
            <color indexed="81"/>
            <rFont val="Calibri"/>
            <family val="2"/>
          </rPr>
          <t>Emma Kelsey:</t>
        </r>
        <r>
          <rPr>
            <sz val="9"/>
            <color indexed="81"/>
            <rFont val="Calibri"/>
            <family val="2"/>
          </rPr>
          <t xml:space="preserve">
Cook 2012: Little Auk = 0.03
Johnston 2014: Little Auk = 0.0</t>
        </r>
      </text>
    </comment>
    <comment ref="AI74" authorId="1">
      <text>
        <r>
          <rPr>
            <b/>
            <sz val="9"/>
            <color indexed="81"/>
            <rFont val="Tahoma"/>
            <family val="2"/>
          </rPr>
          <t>Emma Cashman Kelsey:</t>
        </r>
        <r>
          <rPr>
            <sz val="9"/>
            <color indexed="81"/>
            <rFont val="Tahoma"/>
            <family val="2"/>
          </rPr>
          <t xml:space="preserve">
Cook 2012: 45 (visual obs), 68 (visual obs)</t>
        </r>
      </text>
    </comment>
    <comment ref="AB75" authorId="0">
      <text>
        <r>
          <rPr>
            <b/>
            <sz val="9"/>
            <color indexed="81"/>
            <rFont val="Calibri"/>
            <family val="2"/>
          </rPr>
          <t>Emma Kelsey:</t>
        </r>
        <r>
          <rPr>
            <sz val="9"/>
            <color indexed="81"/>
            <rFont val="Calibri"/>
            <family val="2"/>
          </rPr>
          <t xml:space="preserve">
Cook 2012: Atlantic Puffin = 0.1
Johnston 2014: Atlantic Puffin = 0.0
Bradbury 2014: Atlantic Puffin = 0.5</t>
        </r>
      </text>
    </comment>
    <comment ref="AI75" authorId="1">
      <text>
        <r>
          <rPr>
            <b/>
            <sz val="9"/>
            <color indexed="81"/>
            <rFont val="Tahoma"/>
            <family val="2"/>
          </rPr>
          <t>Emma Cashman Kelsey:</t>
        </r>
        <r>
          <rPr>
            <sz val="9"/>
            <color indexed="81"/>
            <rFont val="Tahoma"/>
            <family val="2"/>
          </rPr>
          <t xml:space="preserve">
Cook 2012: 45 (visual obs), 68 (visual obs)</t>
        </r>
      </text>
    </comment>
    <comment ref="AB76" authorId="0">
      <text>
        <r>
          <rPr>
            <b/>
            <sz val="9"/>
            <color indexed="81"/>
            <rFont val="Calibri"/>
            <family val="2"/>
          </rPr>
          <t>Emma Kelsey:</t>
        </r>
        <r>
          <rPr>
            <sz val="9"/>
            <color indexed="81"/>
            <rFont val="Calibri"/>
            <family val="2"/>
          </rPr>
          <t xml:space="preserve">
Cook 2012: Atlantic Puffin = 0.1
Johnston 2014: Atlantic Puffin = 0.0</t>
        </r>
      </text>
    </comment>
    <comment ref="AI76" authorId="1">
      <text>
        <r>
          <rPr>
            <b/>
            <sz val="9"/>
            <color indexed="81"/>
            <rFont val="Tahoma"/>
            <family val="2"/>
          </rPr>
          <t>Emma Cashman Kelsey:</t>
        </r>
        <r>
          <rPr>
            <sz val="9"/>
            <color indexed="81"/>
            <rFont val="Tahoma"/>
            <family val="2"/>
          </rPr>
          <t xml:space="preserve">
Cook 2012: 45 (visual obs), 68 (visual obs)</t>
        </r>
      </text>
    </comment>
    <comment ref="AB77" authorId="1">
      <text>
        <r>
          <rPr>
            <b/>
            <sz val="9"/>
            <color indexed="81"/>
            <rFont val="Tahoma"/>
            <family val="2"/>
          </rPr>
          <t>Emma Cashman Kelsey:</t>
        </r>
        <r>
          <rPr>
            <sz val="9"/>
            <color indexed="81"/>
            <rFont val="Tahoma"/>
            <family val="2"/>
          </rPr>
          <t xml:space="preserve">
Cook 2012: Atlantic Puffin = 0.1
Johnston 2014: Atlantic Puffin = 0.0
Bradbury 2014: Atlantic Puffin = 0.5</t>
        </r>
      </text>
    </comment>
    <comment ref="AI77" authorId="1">
      <text>
        <r>
          <rPr>
            <b/>
            <sz val="9"/>
            <color indexed="81"/>
            <rFont val="Tahoma"/>
            <family val="2"/>
          </rPr>
          <t>Emma Cashman Kelsey:</t>
        </r>
        <r>
          <rPr>
            <sz val="9"/>
            <color indexed="81"/>
            <rFont val="Tahoma"/>
            <family val="2"/>
          </rPr>
          <t xml:space="preserve">
Cook 2012: 45 (visual obs), 68 (visual obs)</t>
        </r>
      </text>
    </comment>
    <comment ref="AB78" authorId="0">
      <text>
        <r>
          <rPr>
            <b/>
            <sz val="9"/>
            <color indexed="81"/>
            <rFont val="Calibri"/>
            <family val="2"/>
          </rPr>
          <t>Emma Kelsey:</t>
        </r>
        <r>
          <rPr>
            <sz val="9"/>
            <color indexed="81"/>
            <rFont val="Calibri"/>
            <family val="2"/>
          </rPr>
          <t xml:space="preserve">
Cook 2012: Little Auk = 0.03
Johnston 2014: Little Auk = 0.0</t>
        </r>
      </text>
    </comment>
    <comment ref="AI78" authorId="1">
      <text>
        <r>
          <rPr>
            <b/>
            <sz val="9"/>
            <color indexed="81"/>
            <rFont val="Tahoma"/>
            <family val="2"/>
          </rPr>
          <t>Emma Cashman Kelsey:</t>
        </r>
        <r>
          <rPr>
            <sz val="9"/>
            <color indexed="81"/>
            <rFont val="Tahoma"/>
            <family val="2"/>
          </rPr>
          <t xml:space="preserve">
Cook 2012: 45 (visual obs), 68 (visual obs)</t>
        </r>
      </text>
    </comment>
    <comment ref="AB79" authorId="0">
      <text>
        <r>
          <rPr>
            <b/>
            <sz val="9"/>
            <color indexed="81"/>
            <rFont val="Calibri"/>
            <family val="2"/>
          </rPr>
          <t>Emma Kelsey:</t>
        </r>
        <r>
          <rPr>
            <sz val="9"/>
            <color indexed="81"/>
            <rFont val="Calibri"/>
            <family val="2"/>
          </rPr>
          <t xml:space="preserve">
Cook 2012: Little Auk = 0.03
Johnston 2014: Little Auk = 0.0</t>
        </r>
      </text>
    </comment>
    <comment ref="AI79" authorId="1">
      <text>
        <r>
          <rPr>
            <b/>
            <sz val="9"/>
            <color indexed="81"/>
            <rFont val="Tahoma"/>
            <family val="2"/>
          </rPr>
          <t>Emma Cashman Kelsey:</t>
        </r>
        <r>
          <rPr>
            <sz val="9"/>
            <color indexed="81"/>
            <rFont val="Tahoma"/>
            <family val="2"/>
          </rPr>
          <t xml:space="preserve">
Cook 2012: 45 (visual obs), 68 (visual obs)</t>
        </r>
      </text>
    </comment>
  </commentList>
</comments>
</file>

<file path=xl/comments3.xml><?xml version="1.0" encoding="utf-8"?>
<comments xmlns="http://schemas.openxmlformats.org/spreadsheetml/2006/main">
  <authors>
    <author>Emma Cashman Kelsey</author>
    <author>Emma Kelsey</author>
    <author>Adams, Josh</author>
  </authors>
  <commentList>
    <comment ref="L1" authorId="0">
      <text>
        <r>
          <rPr>
            <b/>
            <sz val="9"/>
            <color indexed="81"/>
            <rFont val="Tahoma"/>
            <family val="2"/>
          </rPr>
          <t>Emma Cashman Kelsey:</t>
        </r>
        <r>
          <rPr>
            <sz val="9"/>
            <color indexed="81"/>
            <rFont val="Tahoma"/>
            <family val="2"/>
          </rPr>
          <t xml:space="preserve">
for everything pre 2013, going to use data from Willmott 2013 (some of their sources are hard to access now)</t>
        </r>
      </text>
    </comment>
    <comment ref="M1" authorId="0">
      <text>
        <r>
          <rPr>
            <b/>
            <sz val="9"/>
            <color indexed="81"/>
            <rFont val="Tahoma"/>
            <family val="2"/>
          </rPr>
          <t>Emma Cashman Kelsey:</t>
        </r>
        <r>
          <rPr>
            <sz val="9"/>
            <color indexed="81"/>
            <rFont val="Tahoma"/>
            <family val="2"/>
          </rPr>
          <t xml:space="preserve">
for everything pre 2013, going to use data from Willmott 2013 (some of their sources are hard to access now)</t>
        </r>
      </text>
    </comment>
    <comment ref="L4" authorId="0">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
Peterson 2006: COSC showed general avoidance (macro and micro)</t>
        </r>
      </text>
    </comment>
    <comment ref="M4" authorId="0">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
Peterson 2006: COSC showed general avoidance (macro and micro)</t>
        </r>
      </text>
    </comment>
    <comment ref="T4" authorId="0">
      <text>
        <r>
          <rPr>
            <b/>
            <sz val="9"/>
            <color indexed="81"/>
            <rFont val="Tahoma"/>
            <family val="2"/>
          </rPr>
          <t>Emma Cashman Kelsey:</t>
        </r>
        <r>
          <rPr>
            <sz val="9"/>
            <color indexed="81"/>
            <rFont val="Tahoma"/>
            <family val="2"/>
          </rPr>
          <t xml:space="preserve">
Borage and Savard: "Ninety percent animals (65% mollusks, 17% crustaceans), 10% plants (Cottam 1939). Diet in fresh water dominated by aquatic insects and invertebrates, in salt water by mollusks."</t>
        </r>
      </text>
    </comment>
    <comment ref="L5" authorId="0">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t>
        </r>
      </text>
    </comment>
    <comment ref="M5" authorId="0">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t>
        </r>
      </text>
    </comment>
    <comment ref="T5" authorId="0">
      <text>
        <r>
          <rPr>
            <b/>
            <sz val="9"/>
            <color indexed="81"/>
            <rFont val="Tahoma"/>
            <family val="2"/>
          </rPr>
          <t>Emma Cashman Kelsey:</t>
        </r>
        <r>
          <rPr>
            <sz val="9"/>
            <color indexed="81"/>
            <rFont val="Tahoma"/>
            <family val="2"/>
          </rPr>
          <t xml:space="preserve">
Savard et al. 1998: " Adults feed mostly on mollusks (mussels, clams) when staging, molting, or wintering in salt waters (Stott and Olson 1973, Vermeer 1981, Vermeer and Bourne 1984). Feed on herring eggs whenever available during spring migration, especially on West Coast (Vermeer 1981). No differences reported in diet of males and females. On breeding areas, feed on variety of freshwater invertebrates (Bergeron et al. 1996). Ducklings feed on variety of insect larvae (CGGG 1990b, 1993b), switching to mollusks upon reaching salt water."</t>
        </r>
      </text>
    </comment>
    <comment ref="L6" authorId="0">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t>
        </r>
      </text>
    </comment>
    <comment ref="M6" authorId="0">
      <text>
        <r>
          <rPr>
            <b/>
            <sz val="9"/>
            <color indexed="81"/>
            <rFont val="Tahoma"/>
            <family val="2"/>
          </rPr>
          <t>Emma Cashman Kelsey:</t>
        </r>
        <r>
          <rPr>
            <sz val="9"/>
            <color indexed="81"/>
            <rFont val="Tahoma"/>
            <family val="2"/>
          </rPr>
          <t xml:space="preserve">
Cook 2012: seaducks = 56(visual), 71 (visual), 90(radar), 95.5 (radar, day), 86.2 (radar, night)
COSC = 90(radar)
Willmott 2013: COSC = 88.6, 90</t>
        </r>
      </text>
    </comment>
    <comment ref="T6" authorId="0">
      <text>
        <r>
          <rPr>
            <b/>
            <sz val="9"/>
            <color indexed="81"/>
            <rFont val="Tahoma"/>
            <family val="2"/>
          </rPr>
          <t>Emma Cashman Kelsey:</t>
        </r>
        <r>
          <rPr>
            <sz val="9"/>
            <color indexed="81"/>
            <rFont val="Tahoma"/>
            <family val="2"/>
          </rPr>
          <t xml:space="preserve">
Brown: "Chiefly a bottom feeder. Aquatic and marine mollusks (especially bivalves), crustaceans, and insects. Occasionally, aquatic plants and fish."</t>
        </r>
      </text>
    </comment>
    <comment ref="L7" authorId="0">
      <text>
        <r>
          <rPr>
            <b/>
            <sz val="9"/>
            <color indexed="81"/>
            <rFont val="Tahoma"/>
            <family val="2"/>
          </rPr>
          <t>Emma Cashman Kelsey:</t>
        </r>
        <r>
          <rPr>
            <sz val="9"/>
            <color indexed="81"/>
            <rFont val="Tahoma"/>
            <family val="2"/>
          </rPr>
          <t xml:space="preserve">
Cook 2012: geese and swans = 41 (visual obs), 68 (visual + radar)
Willmott 2013: geese and swans = 41, 68</t>
        </r>
      </text>
    </comment>
    <comment ref="M7" authorId="0">
      <text>
        <r>
          <rPr>
            <b/>
            <sz val="9"/>
            <color indexed="81"/>
            <rFont val="Tahoma"/>
            <family val="2"/>
          </rPr>
          <t>Emma Cashman Kelsey:</t>
        </r>
        <r>
          <rPr>
            <sz val="9"/>
            <color indexed="81"/>
            <rFont val="Tahoma"/>
            <family val="2"/>
          </rPr>
          <t xml:space="preserve">
Cook 2012: geese and swans = 41 (visual obs), 68 (visual + radar)
Willmott 2013: geese and swans = 41, 68</t>
        </r>
      </text>
    </comment>
    <comment ref="T7" authorId="0">
      <text>
        <r>
          <rPr>
            <b/>
            <sz val="9"/>
            <color indexed="81"/>
            <rFont val="Tahoma"/>
            <family val="2"/>
          </rPr>
          <t>Emma Cashman Kelsey:</t>
        </r>
        <r>
          <rPr>
            <sz val="9"/>
            <color indexed="81"/>
            <rFont val="Tahoma"/>
            <family val="2"/>
          </rPr>
          <t xml:space="preserve">
Lewis: "Eelgrass is preferred food during the nonbreeding season, both in North America (Cottam et al. 1944, Henry 1980, Kirby and Obrecht 1980, Ward 1983) and in w. Europe (Madsen 1988, O’Briain 1991, Inger et al. 2008). No other goose species relies so heavily on a single native food plant."</t>
        </r>
      </text>
    </comment>
    <comment ref="L8" authorId="0">
      <text>
        <r>
          <rPr>
            <b/>
            <sz val="9"/>
            <color indexed="81"/>
            <rFont val="Tahoma"/>
            <family val="2"/>
          </rPr>
          <t>Emma Cashman Kelsey:</t>
        </r>
        <r>
          <rPr>
            <sz val="9"/>
            <color indexed="81"/>
            <rFont val="Tahoma"/>
            <family val="2"/>
          </rPr>
          <t xml:space="preserve">
Willmott 2013: 37 (Krijgsveld 2011)</t>
        </r>
      </text>
    </comment>
    <comment ref="M8" authorId="0">
      <text>
        <r>
          <rPr>
            <b/>
            <sz val="9"/>
            <color indexed="81"/>
            <rFont val="Tahoma"/>
            <family val="2"/>
          </rPr>
          <t>Emma Cashman Kelsey:</t>
        </r>
        <r>
          <rPr>
            <sz val="9"/>
            <color indexed="81"/>
            <rFont val="Tahoma"/>
            <family val="2"/>
          </rPr>
          <t xml:space="preserve">
Willmott 2013: 37 (Krijgsveld 2011)</t>
        </r>
      </text>
    </comment>
    <comment ref="T8" authorId="0">
      <text>
        <r>
          <rPr>
            <b/>
            <sz val="9"/>
            <color indexed="81"/>
            <rFont val="Tahoma"/>
            <family val="2"/>
          </rPr>
          <t>Emma Cashman Kelsey:</t>
        </r>
        <r>
          <rPr>
            <sz val="9"/>
            <color indexed="81"/>
            <rFont val="Tahoma"/>
            <family val="2"/>
          </rPr>
          <t xml:space="preserve">
Mallory and Metz: "Primarily small fish, but also aquatic invertebrates (insects, mollusks, crustaceans, worms), frogs, small mammals, birds, and plants"</t>
        </r>
      </text>
    </comment>
    <comment ref="L9" authorId="0">
      <text>
        <r>
          <rPr>
            <b/>
            <sz val="9"/>
            <color indexed="81"/>
            <rFont val="Tahoma"/>
            <family val="2"/>
          </rPr>
          <t>Emma Cashman Kelsey:</t>
        </r>
        <r>
          <rPr>
            <sz val="9"/>
            <color indexed="81"/>
            <rFont val="Tahoma"/>
            <family val="2"/>
          </rPr>
          <t xml:space="preserve">
Willmott 2013: 37 (Krijgsveld 2011)
Peterson 2006: attraction (possibly due to fish availability)</t>
        </r>
      </text>
    </comment>
    <comment ref="M9" authorId="0">
      <text>
        <r>
          <rPr>
            <b/>
            <sz val="9"/>
            <color indexed="81"/>
            <rFont val="Tahoma"/>
            <family val="2"/>
          </rPr>
          <t>Emma Cashman Kelsey:</t>
        </r>
        <r>
          <rPr>
            <sz val="9"/>
            <color indexed="81"/>
            <rFont val="Tahoma"/>
            <family val="2"/>
          </rPr>
          <t xml:space="preserve">
Willmott 2013: 37 (Krijgsveld 2011)
Peterson 2006: attraction (possibly due to fish availability)</t>
        </r>
      </text>
    </comment>
    <comment ref="N9" authorId="0">
      <text>
        <r>
          <rPr>
            <b/>
            <sz val="9"/>
            <color indexed="81"/>
            <rFont val="Tahoma"/>
            <family val="2"/>
          </rPr>
          <t>Emma Cashman Kelsey:</t>
        </r>
        <r>
          <rPr>
            <sz val="9"/>
            <color indexed="81"/>
            <rFont val="Tahoma"/>
            <family val="2"/>
          </rPr>
          <t xml:space="preserve">
Bradbury 2014 = 3</t>
        </r>
      </text>
    </comment>
    <comment ref="T9" authorId="0">
      <text>
        <r>
          <rPr>
            <b/>
            <sz val="9"/>
            <color indexed="81"/>
            <rFont val="Tahoma"/>
            <family val="2"/>
          </rPr>
          <t>Emma Cashman Kelsey:</t>
        </r>
        <r>
          <rPr>
            <sz val="9"/>
            <color indexed="81"/>
            <rFont val="Tahoma"/>
            <family val="2"/>
          </rPr>
          <t xml:space="preserve">
Titman: "Small fish (10–15 cm) and crustaceans; also worms, insects, and amphibians."</t>
        </r>
      </text>
    </comment>
    <comment ref="C10" authorId="0">
      <text>
        <r>
          <rPr>
            <b/>
            <sz val="9"/>
            <color indexed="81"/>
            <rFont val="Tahoma"/>
            <family val="2"/>
          </rPr>
          <t>Emma Cashman Kelsey:</t>
        </r>
        <r>
          <rPr>
            <sz val="9"/>
            <color indexed="81"/>
            <rFont val="Tahoma"/>
            <family val="2"/>
          </rPr>
          <t xml:space="preserve">
aka great northern diver</t>
        </r>
      </text>
    </comment>
    <comment ref="L10" authorId="0">
      <text>
        <r>
          <rPr>
            <b/>
            <sz val="9"/>
            <color indexed="81"/>
            <rFont val="Tahoma"/>
            <family val="2"/>
          </rPr>
          <t>Emma Cashman Kelsey:</t>
        </r>
        <r>
          <rPr>
            <sz val="9"/>
            <color indexed="81"/>
            <rFont val="Tahoma"/>
            <family val="2"/>
          </rPr>
          <t xml:space="preserve">
Cook 2012: divers = 52 (visual obs), 68 (visual/radar)</t>
        </r>
      </text>
    </comment>
    <comment ref="M10" authorId="0">
      <text>
        <r>
          <rPr>
            <b/>
            <sz val="9"/>
            <color indexed="81"/>
            <rFont val="Tahoma"/>
            <family val="2"/>
          </rPr>
          <t>Emma Cashman Kelsey:</t>
        </r>
        <r>
          <rPr>
            <sz val="9"/>
            <color indexed="81"/>
            <rFont val="Tahoma"/>
            <family val="2"/>
          </rPr>
          <t xml:space="preserve">
Cook 2012: divers = 52 (visual obs), 68 (visual/radar)</t>
        </r>
      </text>
    </comment>
    <comment ref="T10" authorId="0">
      <text>
        <r>
          <rPr>
            <b/>
            <sz val="9"/>
            <color indexed="81"/>
            <rFont val="Tahoma"/>
            <family val="2"/>
          </rPr>
          <t>Emma Cashman Kelsey:</t>
        </r>
        <r>
          <rPr>
            <sz val="9"/>
            <color indexed="81"/>
            <rFont val="Tahoma"/>
            <family val="2"/>
          </rPr>
          <t xml:space="preserve">
Evers et al: "Primarily live fish, opportunistically taken (see McIntyre and Barr 1997 for list of known species), although preferences are known. Also some crustaceans during the breeding and winter periods."
Furness et al., Willmott et al., = 3</t>
        </r>
      </text>
    </comment>
    <comment ref="C11" authorId="0">
      <text>
        <r>
          <rPr>
            <b/>
            <sz val="9"/>
            <color indexed="81"/>
            <rFont val="Tahoma"/>
            <family val="2"/>
          </rPr>
          <t>Emma Cashman Kelsey:</t>
        </r>
        <r>
          <rPr>
            <sz val="9"/>
            <color indexed="81"/>
            <rFont val="Tahoma"/>
            <family val="2"/>
          </rPr>
          <t xml:space="preserve">
sub spp of artic/black-throated loon</t>
        </r>
      </text>
    </comment>
    <comment ref="L11" authorId="0">
      <text>
        <r>
          <rPr>
            <b/>
            <sz val="9"/>
            <color indexed="81"/>
            <rFont val="Tahoma"/>
            <family val="2"/>
          </rPr>
          <t>Emma Cashman Kelsey:</t>
        </r>
        <r>
          <rPr>
            <sz val="9"/>
            <color indexed="81"/>
            <rFont val="Tahoma"/>
            <family val="2"/>
          </rPr>
          <t xml:space="preserve">
Cook 2012: divers = 52 (visual obs), 68 (visual/radar)</t>
        </r>
      </text>
    </comment>
    <comment ref="M11" authorId="0">
      <text>
        <r>
          <rPr>
            <b/>
            <sz val="9"/>
            <color indexed="81"/>
            <rFont val="Tahoma"/>
            <family val="2"/>
          </rPr>
          <t>Emma Cashman Kelsey:</t>
        </r>
        <r>
          <rPr>
            <sz val="9"/>
            <color indexed="81"/>
            <rFont val="Tahoma"/>
            <family val="2"/>
          </rPr>
          <t xml:space="preserve">
Cook 2012: divers = 52 (visual obs), 68 (visual/radar)</t>
        </r>
      </text>
    </comment>
    <comment ref="T11" authorId="0">
      <text>
        <r>
          <rPr>
            <b/>
            <sz val="9"/>
            <color indexed="81"/>
            <rFont val="Tahoma"/>
            <family val="2"/>
          </rPr>
          <t>Emma Cashman Kelsey:</t>
        </r>
        <r>
          <rPr>
            <sz val="9"/>
            <color indexed="81"/>
            <rFont val="Tahoma"/>
            <family val="2"/>
          </rPr>
          <t xml:space="preserve">
Russell: "Fish and aquatic invertebrates."</t>
        </r>
      </text>
    </comment>
    <comment ref="L12" authorId="0">
      <text>
        <r>
          <rPr>
            <b/>
            <sz val="9"/>
            <color indexed="81"/>
            <rFont val="Tahoma"/>
            <family val="2"/>
          </rPr>
          <t>Emma Cashman Kelsey:</t>
        </r>
        <r>
          <rPr>
            <sz val="9"/>
            <color indexed="81"/>
            <rFont val="Tahoma"/>
            <family val="2"/>
          </rPr>
          <t xml:space="preserve">
Cook 2012: divers = 52 (visual obs), 68 (visual/radar)
Peterson 2009: significant avoidance behavior</t>
        </r>
      </text>
    </comment>
    <comment ref="M12" authorId="0">
      <text>
        <r>
          <rPr>
            <b/>
            <sz val="9"/>
            <color indexed="81"/>
            <rFont val="Tahoma"/>
            <family val="2"/>
          </rPr>
          <t>Emma Cashman Kelsey:</t>
        </r>
        <r>
          <rPr>
            <sz val="9"/>
            <color indexed="81"/>
            <rFont val="Tahoma"/>
            <family val="2"/>
          </rPr>
          <t xml:space="preserve">
Cook 2012: divers = 52 (visual obs), 68 (visual/radar)
Peterson 2009: significant avoidance behavior</t>
        </r>
      </text>
    </comment>
    <comment ref="T12" authorId="1">
      <text>
        <r>
          <rPr>
            <b/>
            <sz val="9"/>
            <color indexed="81"/>
            <rFont val="Calibri"/>
            <family val="2"/>
          </rPr>
          <t>Emma Kelsey:</t>
        </r>
        <r>
          <rPr>
            <sz val="9"/>
            <color indexed="81"/>
            <rFont val="Calibri"/>
            <family val="2"/>
          </rPr>
          <t xml:space="preserve">
Garthe and Huppop 2004; Furness and Wade 2012; Furness et al. 2013; Willmott et al. 2013 = 4</t>
        </r>
      </text>
    </comment>
    <comment ref="C13" authorId="0">
      <text>
        <r>
          <rPr>
            <b/>
            <sz val="9"/>
            <color indexed="81"/>
            <rFont val="Tahoma"/>
            <family val="2"/>
          </rPr>
          <t>Emma Cashman Kelsey:</t>
        </r>
        <r>
          <rPr>
            <sz val="9"/>
            <color indexed="81"/>
            <rFont val="Tahoma"/>
            <family val="2"/>
          </rPr>
          <t xml:space="preserve">
aka white-billed diver</t>
        </r>
      </text>
    </comment>
    <comment ref="L13" authorId="0">
      <text>
        <r>
          <rPr>
            <b/>
            <sz val="9"/>
            <color indexed="81"/>
            <rFont val="Tahoma"/>
            <family val="2"/>
          </rPr>
          <t>Emma Cashman Kelsey:</t>
        </r>
        <r>
          <rPr>
            <sz val="9"/>
            <color indexed="81"/>
            <rFont val="Tahoma"/>
            <family val="2"/>
          </rPr>
          <t xml:space="preserve">
Cook 2012: divers = 52 (visual obs), 68 (visual/radar)</t>
        </r>
      </text>
    </comment>
    <comment ref="M13" authorId="0">
      <text>
        <r>
          <rPr>
            <b/>
            <sz val="9"/>
            <color indexed="81"/>
            <rFont val="Tahoma"/>
            <family val="2"/>
          </rPr>
          <t>Emma Cashman Kelsey:</t>
        </r>
        <r>
          <rPr>
            <sz val="9"/>
            <color indexed="81"/>
            <rFont val="Tahoma"/>
            <family val="2"/>
          </rPr>
          <t xml:space="preserve">
Cook 2012: divers = 52 (visual obs), 68 (visual/radar)</t>
        </r>
      </text>
    </comment>
    <comment ref="T13" authorId="0">
      <text>
        <r>
          <rPr>
            <b/>
            <sz val="9"/>
            <color indexed="81"/>
            <rFont val="Tahoma"/>
            <family val="2"/>
          </rPr>
          <t>Emma Cashman Kelsey:</t>
        </r>
        <r>
          <rPr>
            <sz val="9"/>
            <color indexed="81"/>
            <rFont val="Tahoma"/>
            <family val="2"/>
          </rPr>
          <t xml:space="preserve">
North: "Primarily fish, some invertebrates and vegetation."</t>
        </r>
      </text>
    </comment>
    <comment ref="L14" authorId="0">
      <text>
        <r>
          <rPr>
            <b/>
            <sz val="9"/>
            <color indexed="81"/>
            <rFont val="Tahoma"/>
            <family val="2"/>
          </rPr>
          <t>Emma Cashman Kelsey:</t>
        </r>
        <r>
          <rPr>
            <sz val="9"/>
            <color indexed="81"/>
            <rFont val="Tahoma"/>
            <family val="2"/>
          </rPr>
          <t xml:space="preserve">
Cook 2012: 50 (visual obs)</t>
        </r>
      </text>
    </comment>
    <comment ref="M14" authorId="0">
      <text>
        <r>
          <rPr>
            <b/>
            <sz val="9"/>
            <color indexed="81"/>
            <rFont val="Tahoma"/>
            <family val="2"/>
          </rPr>
          <t>Emma Cashman Kelsey:</t>
        </r>
        <r>
          <rPr>
            <sz val="9"/>
            <color indexed="81"/>
            <rFont val="Tahoma"/>
            <family val="2"/>
          </rPr>
          <t xml:space="preserve">
Cook 2012: 50 (visual obs)</t>
        </r>
      </text>
    </comment>
    <comment ref="N14" authorId="0">
      <text>
        <r>
          <rPr>
            <b/>
            <sz val="9"/>
            <color indexed="81"/>
            <rFont val="Tahoma"/>
            <family val="2"/>
          </rPr>
          <t>Emma Cashman Kelsey:</t>
        </r>
        <r>
          <rPr>
            <sz val="9"/>
            <color indexed="81"/>
            <rFont val="Tahoma"/>
            <family val="2"/>
          </rPr>
          <t xml:space="preserve">
Bradbury 2014: grebes = 3
</t>
        </r>
      </text>
    </comment>
    <comment ref="T14" authorId="0">
      <text>
        <r>
          <rPr>
            <b/>
            <sz val="9"/>
            <color indexed="81"/>
            <rFont val="Tahoma"/>
            <family val="2"/>
          </rPr>
          <t>Emma Cashman Kelsey:</t>
        </r>
        <r>
          <rPr>
            <sz val="9"/>
            <color indexed="81"/>
            <rFont val="Tahoma"/>
            <family val="2"/>
          </rPr>
          <t xml:space="preserve">
LaPorte et al.: "Wide variety of fishes taken (e.g., Palmer 1962) suggests that although Western Grebes are fish specialists, they are opportunists when it comes to species of fish taken"</t>
        </r>
      </text>
    </comment>
    <comment ref="Z14" authorId="0">
      <text>
        <r>
          <rPr>
            <b/>
            <sz val="9"/>
            <color indexed="81"/>
            <rFont val="Tahoma"/>
            <family val="2"/>
          </rPr>
          <t>Emma Cashman Kelsey:</t>
        </r>
        <r>
          <rPr>
            <sz val="9"/>
            <color indexed="81"/>
            <rFont val="Tahoma"/>
            <family val="2"/>
          </rPr>
          <t xml:space="preserve">
Henkel 2004</t>
        </r>
      </text>
    </comment>
    <comment ref="L15" authorId="0">
      <text>
        <r>
          <rPr>
            <b/>
            <sz val="9"/>
            <color indexed="81"/>
            <rFont val="Tahoma"/>
            <family val="2"/>
          </rPr>
          <t>Emma Cashman Kelsey:</t>
        </r>
        <r>
          <rPr>
            <sz val="9"/>
            <color indexed="81"/>
            <rFont val="Tahoma"/>
            <family val="2"/>
          </rPr>
          <t xml:space="preserve">
Cook 2012: 50 (visual obs)</t>
        </r>
      </text>
    </comment>
    <comment ref="M15" authorId="0">
      <text>
        <r>
          <rPr>
            <b/>
            <sz val="9"/>
            <color indexed="81"/>
            <rFont val="Tahoma"/>
            <family val="2"/>
          </rPr>
          <t>Emma Cashman Kelsey:</t>
        </r>
        <r>
          <rPr>
            <sz val="9"/>
            <color indexed="81"/>
            <rFont val="Tahoma"/>
            <family val="2"/>
          </rPr>
          <t xml:space="preserve">
Cook 2012: 50 (visual obs)</t>
        </r>
      </text>
    </comment>
    <comment ref="N15" authorId="0">
      <text>
        <r>
          <rPr>
            <b/>
            <sz val="9"/>
            <color indexed="81"/>
            <rFont val="Tahoma"/>
            <family val="2"/>
          </rPr>
          <t>Emma Cashman Kelsey:</t>
        </r>
        <r>
          <rPr>
            <sz val="9"/>
            <color indexed="81"/>
            <rFont val="Tahoma"/>
            <family val="2"/>
          </rPr>
          <t xml:space="preserve">
Bradbury 2014: grebes = 3</t>
        </r>
      </text>
    </comment>
    <comment ref="T15" authorId="0">
      <text>
        <r>
          <rPr>
            <b/>
            <sz val="9"/>
            <color indexed="81"/>
            <rFont val="Tahoma"/>
            <family val="2"/>
          </rPr>
          <t>Emma Cashman Kelsey:</t>
        </r>
        <r>
          <rPr>
            <sz val="9"/>
            <color indexed="81"/>
            <rFont val="Tahoma"/>
            <family val="2"/>
          </rPr>
          <t xml:space="preserve">
LaPorte et al.: "Wide variety of fishes taken (e.g., Palmer 1962) suggests that although Western Grebes are fish specialists, they are opportunists when it comes to species of fish taken"</t>
        </r>
      </text>
    </comment>
    <comment ref="C16" authorId="0">
      <text>
        <r>
          <rPr>
            <b/>
            <sz val="9"/>
            <color indexed="81"/>
            <rFont val="Tahoma"/>
            <family val="2"/>
          </rPr>
          <t>Emma Cashman Kelsey:</t>
        </r>
        <r>
          <rPr>
            <sz val="9"/>
            <color indexed="81"/>
            <rFont val="Tahoma"/>
            <family val="2"/>
          </rPr>
          <t xml:space="preserve">
aka- black-necked grebe</t>
        </r>
      </text>
    </comment>
    <comment ref="L16" authorId="0">
      <text>
        <r>
          <rPr>
            <b/>
            <sz val="9"/>
            <color indexed="81"/>
            <rFont val="Tahoma"/>
            <family val="2"/>
          </rPr>
          <t>Emma Cashman Kelsey:</t>
        </r>
        <r>
          <rPr>
            <sz val="9"/>
            <color indexed="81"/>
            <rFont val="Tahoma"/>
            <family val="2"/>
          </rPr>
          <t xml:space="preserve">
Cook 2012: 50 (visual obs)</t>
        </r>
      </text>
    </comment>
    <comment ref="M16" authorId="0">
      <text>
        <r>
          <rPr>
            <b/>
            <sz val="9"/>
            <color indexed="81"/>
            <rFont val="Tahoma"/>
            <family val="2"/>
          </rPr>
          <t>Emma Cashman Kelsey:</t>
        </r>
        <r>
          <rPr>
            <sz val="9"/>
            <color indexed="81"/>
            <rFont val="Tahoma"/>
            <family val="2"/>
          </rPr>
          <t xml:space="preserve">
Cook 2012: 50 (visual obs)</t>
        </r>
      </text>
    </comment>
    <comment ref="N16" authorId="0">
      <text>
        <r>
          <rPr>
            <b/>
            <sz val="9"/>
            <color indexed="81"/>
            <rFont val="Tahoma"/>
            <family val="2"/>
          </rPr>
          <t>Emma Cashman Kelsey:</t>
        </r>
        <r>
          <rPr>
            <sz val="9"/>
            <color indexed="81"/>
            <rFont val="Tahoma"/>
            <family val="2"/>
          </rPr>
          <t xml:space="preserve">
Bradbury 2014: grebes = 3</t>
        </r>
      </text>
    </comment>
    <comment ref="T16" authorId="0">
      <text>
        <r>
          <rPr>
            <b/>
            <sz val="9"/>
            <color indexed="81"/>
            <rFont val="Tahoma"/>
            <family val="2"/>
          </rPr>
          <t>Emma Cashman Kelsey:</t>
        </r>
        <r>
          <rPr>
            <sz val="9"/>
            <color indexed="81"/>
            <rFont val="Tahoma"/>
            <family val="2"/>
          </rPr>
          <t xml:space="preserve">
Cullen et al.: "Wide variety of aquatic prey, principally invertebrates including small crustaceans (especially brine shrimp [Artemia sp.]), insects also less frequently takes small fish, mollusks, amphibians."</t>
        </r>
      </text>
    </comment>
    <comment ref="C17" authorId="0">
      <text>
        <r>
          <rPr>
            <b/>
            <sz val="9"/>
            <color indexed="81"/>
            <rFont val="Tahoma"/>
            <family val="2"/>
          </rPr>
          <t>Emma Cashman Kelsey:</t>
        </r>
        <r>
          <rPr>
            <sz val="9"/>
            <color indexed="81"/>
            <rFont val="Tahoma"/>
            <family val="2"/>
          </rPr>
          <t xml:space="preserve">
aka- Slavonian grebe</t>
        </r>
      </text>
    </comment>
    <comment ref="L17" authorId="0">
      <text>
        <r>
          <rPr>
            <b/>
            <sz val="9"/>
            <color indexed="81"/>
            <rFont val="Tahoma"/>
            <family val="2"/>
          </rPr>
          <t>Emma Cashman Kelsey:</t>
        </r>
        <r>
          <rPr>
            <sz val="9"/>
            <color indexed="81"/>
            <rFont val="Tahoma"/>
            <family val="2"/>
          </rPr>
          <t xml:space="preserve">
Cook 2012: 50 (visual obs)</t>
        </r>
      </text>
    </comment>
    <comment ref="M17" authorId="0">
      <text>
        <r>
          <rPr>
            <b/>
            <sz val="9"/>
            <color indexed="81"/>
            <rFont val="Tahoma"/>
            <family val="2"/>
          </rPr>
          <t>Emma Cashman Kelsey:</t>
        </r>
        <r>
          <rPr>
            <sz val="9"/>
            <color indexed="81"/>
            <rFont val="Tahoma"/>
            <family val="2"/>
          </rPr>
          <t xml:space="preserve">
Cook 2012: 50 (visual obs)</t>
        </r>
      </text>
    </comment>
    <comment ref="N17" authorId="0">
      <text>
        <r>
          <rPr>
            <b/>
            <sz val="9"/>
            <color indexed="81"/>
            <rFont val="Tahoma"/>
            <family val="2"/>
          </rPr>
          <t>Emma Cashman Kelsey:</t>
        </r>
        <r>
          <rPr>
            <sz val="9"/>
            <color indexed="81"/>
            <rFont val="Tahoma"/>
            <family val="2"/>
          </rPr>
          <t xml:space="preserve">
Bradbury 2014: grebes = 3</t>
        </r>
      </text>
    </comment>
    <comment ref="T17" authorId="0">
      <text>
        <r>
          <rPr>
            <b/>
            <sz val="9"/>
            <color indexed="81"/>
            <rFont val="Tahoma"/>
            <family val="2"/>
          </rPr>
          <t>Emma Cashman Kelsey:</t>
        </r>
        <r>
          <rPr>
            <sz val="9"/>
            <color indexed="81"/>
            <rFont val="Tahoma"/>
            <family val="2"/>
          </rPr>
          <t xml:space="preserve">
Stedman:  "Aquatic arthropods in summer, fish and crustaceans in winter… Opportunistically exploits locally and temporally abundant or superabundant prey (Fjeldså 1973c). During winter, tends to prey on benthic, rather than midwater, species (Madsen 1957, Ainley and Sanger 1979)."
Furness and Wade, Willmott = 4</t>
        </r>
      </text>
    </comment>
    <comment ref="L18" authorId="0">
      <text>
        <r>
          <rPr>
            <b/>
            <sz val="9"/>
            <color indexed="81"/>
            <rFont val="Tahoma"/>
            <family val="2"/>
          </rPr>
          <t>Emma Cashman Kelsey:</t>
        </r>
        <r>
          <rPr>
            <sz val="9"/>
            <color indexed="81"/>
            <rFont val="Tahoma"/>
            <family val="2"/>
          </rPr>
          <t xml:space="preserve">
Cook 2012: 50 (visual obs)</t>
        </r>
      </text>
    </comment>
    <comment ref="M18" authorId="0">
      <text>
        <r>
          <rPr>
            <b/>
            <sz val="9"/>
            <color indexed="81"/>
            <rFont val="Tahoma"/>
            <family val="2"/>
          </rPr>
          <t>Emma Cashman Kelsey:</t>
        </r>
        <r>
          <rPr>
            <sz val="9"/>
            <color indexed="81"/>
            <rFont val="Tahoma"/>
            <family val="2"/>
          </rPr>
          <t xml:space="preserve">
Cook 2012: 50 (visual obs)</t>
        </r>
      </text>
    </comment>
    <comment ref="N18" authorId="0">
      <text>
        <r>
          <rPr>
            <b/>
            <sz val="9"/>
            <color indexed="81"/>
            <rFont val="Tahoma"/>
            <family val="2"/>
          </rPr>
          <t>Emma Cashman Kelsey:</t>
        </r>
        <r>
          <rPr>
            <sz val="9"/>
            <color indexed="81"/>
            <rFont val="Tahoma"/>
            <family val="2"/>
          </rPr>
          <t xml:space="preserve">
Bradbury 2014: grebes = 3</t>
        </r>
      </text>
    </comment>
    <comment ref="T18" authorId="0">
      <text>
        <r>
          <rPr>
            <b/>
            <sz val="9"/>
            <color indexed="81"/>
            <rFont val="Tahoma"/>
            <family val="2"/>
          </rPr>
          <t>Emma Cashman Kelsey:</t>
        </r>
        <r>
          <rPr>
            <sz val="9"/>
            <color indexed="81"/>
            <rFont val="Tahoma"/>
            <family val="2"/>
          </rPr>
          <t xml:space="preserve">
Stout and Nuechterlein: "Fish, crustaceans, and aquatic insects."
Garthe and Huppop, Willmott = 3</t>
        </r>
      </text>
    </comment>
    <comment ref="L19" authorId="0">
      <text>
        <r>
          <rPr>
            <b/>
            <sz val="9"/>
            <color indexed="81"/>
            <rFont val="Tahoma"/>
            <family val="2"/>
          </rPr>
          <t>Emma Cashman Kelsey:</t>
        </r>
        <r>
          <rPr>
            <sz val="9"/>
            <color indexed="81"/>
            <rFont val="Tahoma"/>
            <family val="2"/>
          </rPr>
          <t xml:space="preserve">
Cook 2012: 50 (visual obs)</t>
        </r>
      </text>
    </comment>
    <comment ref="M19" authorId="0">
      <text>
        <r>
          <rPr>
            <b/>
            <sz val="9"/>
            <color indexed="81"/>
            <rFont val="Tahoma"/>
            <family val="2"/>
          </rPr>
          <t>Emma Cashman Kelsey:</t>
        </r>
        <r>
          <rPr>
            <sz val="9"/>
            <color indexed="81"/>
            <rFont val="Tahoma"/>
            <family val="2"/>
          </rPr>
          <t xml:space="preserve">
Cook 2012: 50 (visual obs)</t>
        </r>
      </text>
    </comment>
    <comment ref="T19" authorId="0">
      <text>
        <r>
          <rPr>
            <b/>
            <sz val="9"/>
            <color indexed="81"/>
            <rFont val="Tahoma"/>
            <family val="2"/>
          </rPr>
          <t>Emma Cashman Kelsey:</t>
        </r>
        <r>
          <rPr>
            <sz val="9"/>
            <color indexed="81"/>
            <rFont val="Tahoma"/>
            <family val="2"/>
          </rPr>
          <t xml:space="preserve">
Awkerman: "primarily flying fish eggs, followed by squid and crustacea... One study found differences in 15N that suggest Black-foots forage at a higher trophic level than Laysan, perhaps reflecting the tendency of Black-foots to scavenge prey items…"</t>
        </r>
      </text>
    </comment>
    <comment ref="L20" authorId="0">
      <text>
        <r>
          <rPr>
            <b/>
            <sz val="9"/>
            <color indexed="81"/>
            <rFont val="Tahoma"/>
            <family val="2"/>
          </rPr>
          <t>Emma Cashman Kelsey:</t>
        </r>
        <r>
          <rPr>
            <sz val="9"/>
            <color indexed="81"/>
            <rFont val="Tahoma"/>
            <family val="2"/>
          </rPr>
          <t xml:space="preserve">
Cook 2012: 50 (visual obs)</t>
        </r>
      </text>
    </comment>
    <comment ref="M20" authorId="0">
      <text>
        <r>
          <rPr>
            <b/>
            <sz val="9"/>
            <color indexed="81"/>
            <rFont val="Tahoma"/>
            <family val="2"/>
          </rPr>
          <t>Emma Cashman Kelsey:</t>
        </r>
        <r>
          <rPr>
            <sz val="9"/>
            <color indexed="81"/>
            <rFont val="Tahoma"/>
            <family val="2"/>
          </rPr>
          <t xml:space="preserve">
Cook 2012: 50 (visual obs)</t>
        </r>
      </text>
    </comment>
    <comment ref="T20" authorId="0">
      <text>
        <r>
          <rPr>
            <b/>
            <sz val="9"/>
            <color indexed="81"/>
            <rFont val="Tahoma"/>
            <family val="2"/>
          </rPr>
          <t>Emma Cashman Kelsey:</t>
        </r>
        <r>
          <rPr>
            <sz val="9"/>
            <color indexed="81"/>
            <rFont val="Tahoma"/>
            <family val="2"/>
          </rPr>
          <t xml:space="preserve">
Awkerman: "Squid, flying fish eggs, crustaceans, fish (Harrison et al. 1983)."</t>
        </r>
      </text>
    </comment>
    <comment ref="L21" authorId="0">
      <text>
        <r>
          <rPr>
            <b/>
            <sz val="9"/>
            <color indexed="81"/>
            <rFont val="Tahoma"/>
            <family val="2"/>
          </rPr>
          <t>Emma Cashman Kelsey:</t>
        </r>
        <r>
          <rPr>
            <sz val="9"/>
            <color indexed="81"/>
            <rFont val="Tahoma"/>
            <family val="2"/>
          </rPr>
          <t xml:space="preserve">
Cook 2012: 50 (visual obs)</t>
        </r>
      </text>
    </comment>
    <comment ref="M21" authorId="0">
      <text>
        <r>
          <rPr>
            <b/>
            <sz val="9"/>
            <color indexed="81"/>
            <rFont val="Tahoma"/>
            <family val="2"/>
          </rPr>
          <t>Emma Cashman Kelsey:</t>
        </r>
        <r>
          <rPr>
            <sz val="9"/>
            <color indexed="81"/>
            <rFont val="Tahoma"/>
            <family val="2"/>
          </rPr>
          <t xml:space="preserve">
Cook 2012: 50 (visual obs)</t>
        </r>
      </text>
    </comment>
    <comment ref="L22" authorId="0">
      <text>
        <r>
          <rPr>
            <b/>
            <sz val="9"/>
            <color indexed="81"/>
            <rFont val="Tahoma"/>
            <family val="2"/>
          </rPr>
          <t>Emma Cashman Kelsey:</t>
        </r>
        <r>
          <rPr>
            <sz val="9"/>
            <color indexed="81"/>
            <rFont val="Tahoma"/>
            <family val="2"/>
          </rPr>
          <t xml:space="preserve">
Cook 2012: 50 (visual obs)</t>
        </r>
      </text>
    </comment>
    <comment ref="M22" authorId="0">
      <text>
        <r>
          <rPr>
            <b/>
            <sz val="9"/>
            <color indexed="81"/>
            <rFont val="Tahoma"/>
            <family val="2"/>
          </rPr>
          <t>Emma Cashman Kelsey:</t>
        </r>
        <r>
          <rPr>
            <sz val="9"/>
            <color indexed="81"/>
            <rFont val="Tahoma"/>
            <family val="2"/>
          </rPr>
          <t xml:space="preserve">
Cook 2012: 50 (visual obs)</t>
        </r>
      </text>
    </comment>
    <comment ref="L23" authorId="0">
      <text>
        <r>
          <rPr>
            <b/>
            <sz val="9"/>
            <color indexed="81"/>
            <rFont val="Tahoma"/>
            <family val="2"/>
          </rPr>
          <t>Emma Cashman Kelsey:</t>
        </r>
        <r>
          <rPr>
            <sz val="9"/>
            <color indexed="81"/>
            <rFont val="Tahoma"/>
            <family val="2"/>
          </rPr>
          <t xml:space="preserve">
Cook 2012: 50 (visual obs)</t>
        </r>
      </text>
    </comment>
    <comment ref="M23" authorId="0">
      <text>
        <r>
          <rPr>
            <b/>
            <sz val="9"/>
            <color indexed="81"/>
            <rFont val="Tahoma"/>
            <family val="2"/>
          </rPr>
          <t>Emma Cashman Kelsey:</t>
        </r>
        <r>
          <rPr>
            <sz val="9"/>
            <color indexed="81"/>
            <rFont val="Tahoma"/>
            <family val="2"/>
          </rPr>
          <t xml:space="preserve">
Cook 2012: 50 (visual obs)</t>
        </r>
      </text>
    </comment>
    <comment ref="N23" authorId="0">
      <text>
        <r>
          <rPr>
            <b/>
            <sz val="9"/>
            <color indexed="81"/>
            <rFont val="Tahoma"/>
            <family val="2"/>
          </rPr>
          <t>Emma Cashman Kelsey:</t>
        </r>
        <r>
          <rPr>
            <sz val="9"/>
            <color indexed="81"/>
            <rFont val="Tahoma"/>
            <family val="2"/>
          </rPr>
          <t xml:space="preserve">
Bradbury 2014= 1 (scale inverted, 1=lowest level of disturbance)</t>
        </r>
      </text>
    </comment>
    <comment ref="T23" authorId="0">
      <text>
        <r>
          <rPr>
            <b/>
            <sz val="9"/>
            <color indexed="81"/>
            <rFont val="Tahoma"/>
            <family val="2"/>
          </rPr>
          <t>Emma Cashman Kelsey:</t>
        </r>
        <r>
          <rPr>
            <sz val="9"/>
            <color indexed="81"/>
            <rFont val="Tahoma"/>
            <family val="2"/>
          </rPr>
          <t xml:space="preserve">
Lee and Haney 1996: "Mostly small, schooling bait fish, especially Clupeiformes (herring, sardines, anchovies, etc). Also cephalopods, small crustaceans, and offal."</t>
        </r>
      </text>
    </comment>
    <comment ref="L24" authorId="0">
      <text>
        <r>
          <rPr>
            <b/>
            <sz val="9"/>
            <color indexed="81"/>
            <rFont val="Tahoma"/>
            <family val="2"/>
          </rPr>
          <t>Emma Cashman Kelsey:</t>
        </r>
        <r>
          <rPr>
            <sz val="9"/>
            <color indexed="81"/>
            <rFont val="Tahoma"/>
            <family val="2"/>
          </rPr>
          <t xml:space="preserve">
Cook 2012: 50 (visual obs)</t>
        </r>
      </text>
    </comment>
    <comment ref="M24" authorId="0">
      <text>
        <r>
          <rPr>
            <b/>
            <sz val="9"/>
            <color indexed="81"/>
            <rFont val="Tahoma"/>
            <family val="2"/>
          </rPr>
          <t>Emma Cashman Kelsey:</t>
        </r>
        <r>
          <rPr>
            <sz val="9"/>
            <color indexed="81"/>
            <rFont val="Tahoma"/>
            <family val="2"/>
          </rPr>
          <t xml:space="preserve">
Cook 2012: 50 (visual obs)</t>
        </r>
      </text>
    </comment>
    <comment ref="L25" authorId="0">
      <text>
        <r>
          <rPr>
            <b/>
            <sz val="9"/>
            <color indexed="81"/>
            <rFont val="Tahoma"/>
            <family val="2"/>
          </rPr>
          <t>Emma Cashman Kelsey:</t>
        </r>
        <r>
          <rPr>
            <sz val="9"/>
            <color indexed="81"/>
            <rFont val="Tahoma"/>
            <family val="2"/>
          </rPr>
          <t xml:space="preserve">
Cook 2012: 50 (visual obs)</t>
        </r>
      </text>
    </comment>
    <comment ref="M25" authorId="0">
      <text>
        <r>
          <rPr>
            <b/>
            <sz val="9"/>
            <color indexed="81"/>
            <rFont val="Tahoma"/>
            <family val="2"/>
          </rPr>
          <t>Emma Cashman Kelsey:</t>
        </r>
        <r>
          <rPr>
            <sz val="9"/>
            <color indexed="81"/>
            <rFont val="Tahoma"/>
            <family val="2"/>
          </rPr>
          <t xml:space="preserve">
Cook 2012: 50 (visual obs)</t>
        </r>
      </text>
    </comment>
    <comment ref="L26" authorId="0">
      <text>
        <r>
          <rPr>
            <b/>
            <sz val="9"/>
            <color indexed="81"/>
            <rFont val="Tahoma"/>
            <family val="2"/>
          </rPr>
          <t>Emma Cashman Kelsey:</t>
        </r>
        <r>
          <rPr>
            <sz val="9"/>
            <color indexed="81"/>
            <rFont val="Tahoma"/>
            <family val="2"/>
          </rPr>
          <t xml:space="preserve">
Cook 2012: 50 (visual obs)</t>
        </r>
      </text>
    </comment>
    <comment ref="M26" authorId="0">
      <text>
        <r>
          <rPr>
            <b/>
            <sz val="9"/>
            <color indexed="81"/>
            <rFont val="Tahoma"/>
            <family val="2"/>
          </rPr>
          <t>Emma Cashman Kelsey:</t>
        </r>
        <r>
          <rPr>
            <sz val="9"/>
            <color indexed="81"/>
            <rFont val="Tahoma"/>
            <family val="2"/>
          </rPr>
          <t xml:space="preserve">
Cook 2012: 50 (visual obs)</t>
        </r>
      </text>
    </comment>
    <comment ref="L27" authorId="0">
      <text>
        <r>
          <rPr>
            <b/>
            <sz val="9"/>
            <color indexed="81"/>
            <rFont val="Tahoma"/>
            <family val="2"/>
          </rPr>
          <t>Emma Cashman Kelsey:</t>
        </r>
        <r>
          <rPr>
            <sz val="9"/>
            <color indexed="81"/>
            <rFont val="Tahoma"/>
            <family val="2"/>
          </rPr>
          <t xml:space="preserve">
Cook 2012: 50 (visual obs)</t>
        </r>
      </text>
    </comment>
    <comment ref="M27" authorId="0">
      <text>
        <r>
          <rPr>
            <b/>
            <sz val="9"/>
            <color indexed="81"/>
            <rFont val="Tahoma"/>
            <family val="2"/>
          </rPr>
          <t>Emma Cashman Kelsey:</t>
        </r>
        <r>
          <rPr>
            <sz val="9"/>
            <color indexed="81"/>
            <rFont val="Tahoma"/>
            <family val="2"/>
          </rPr>
          <t xml:space="preserve">
Cook 2012: 50 (visual obs)</t>
        </r>
      </text>
    </comment>
    <comment ref="L28" authorId="0">
      <text>
        <r>
          <rPr>
            <b/>
            <sz val="9"/>
            <color indexed="81"/>
            <rFont val="Tahoma"/>
            <family val="2"/>
          </rPr>
          <t>Emma Cashman Kelsey:</t>
        </r>
        <r>
          <rPr>
            <sz val="9"/>
            <color indexed="81"/>
            <rFont val="Tahoma"/>
            <family val="2"/>
          </rPr>
          <t xml:space="preserve">
Cook 2012: 50 (visual obs)</t>
        </r>
      </text>
    </comment>
    <comment ref="M28" authorId="0">
      <text>
        <r>
          <rPr>
            <b/>
            <sz val="9"/>
            <color indexed="81"/>
            <rFont val="Tahoma"/>
            <family val="2"/>
          </rPr>
          <t>Emma Cashman Kelsey:</t>
        </r>
        <r>
          <rPr>
            <sz val="9"/>
            <color indexed="81"/>
            <rFont val="Tahoma"/>
            <family val="2"/>
          </rPr>
          <t xml:space="preserve">
Cook 2012: 50 (visual obs)</t>
        </r>
      </text>
    </comment>
    <comment ref="E29" authorId="2">
      <text>
        <r>
          <rPr>
            <b/>
            <sz val="9"/>
            <color indexed="81"/>
            <rFont val="Tahoma"/>
            <family val="2"/>
          </rPr>
          <t>Adams, Josh:</t>
        </r>
        <r>
          <rPr>
            <sz val="9"/>
            <color indexed="81"/>
            <rFont val="Tahoma"/>
            <family val="2"/>
          </rPr>
          <t xml:space="preserve">
Split from Northern Fulmar</t>
        </r>
      </text>
    </comment>
    <comment ref="L29" authorId="0">
      <text>
        <r>
          <rPr>
            <b/>
            <sz val="9"/>
            <color indexed="81"/>
            <rFont val="Tahoma"/>
            <family val="2"/>
          </rPr>
          <t>Emma Cashman Kelsey:</t>
        </r>
        <r>
          <rPr>
            <sz val="9"/>
            <color indexed="81"/>
            <rFont val="Tahoma"/>
            <family val="2"/>
          </rPr>
          <t xml:space="preserve">
Cook 2012: 50 (visual obs)</t>
        </r>
      </text>
    </comment>
    <comment ref="M29" authorId="0">
      <text>
        <r>
          <rPr>
            <b/>
            <sz val="9"/>
            <color indexed="81"/>
            <rFont val="Tahoma"/>
            <family val="2"/>
          </rPr>
          <t>Emma Cashman Kelsey:</t>
        </r>
        <r>
          <rPr>
            <sz val="9"/>
            <color indexed="81"/>
            <rFont val="Tahoma"/>
            <family val="2"/>
          </rPr>
          <t xml:space="preserve">
Cook 2012: 50 (visual obs)</t>
        </r>
      </text>
    </comment>
    <comment ref="L30" authorId="0">
      <text>
        <r>
          <rPr>
            <b/>
            <sz val="9"/>
            <color indexed="81"/>
            <rFont val="Tahoma"/>
            <family val="2"/>
          </rPr>
          <t>Emma Cashman Kelsey:</t>
        </r>
        <r>
          <rPr>
            <sz val="9"/>
            <color indexed="81"/>
            <rFont val="Tahoma"/>
            <family val="2"/>
          </rPr>
          <t xml:space="preserve">
Cook 2012: 50 (visual obs)</t>
        </r>
      </text>
    </comment>
    <comment ref="M30" authorId="0">
      <text>
        <r>
          <rPr>
            <b/>
            <sz val="9"/>
            <color indexed="81"/>
            <rFont val="Tahoma"/>
            <family val="2"/>
          </rPr>
          <t>Emma Cashman Kelsey:</t>
        </r>
        <r>
          <rPr>
            <sz val="9"/>
            <color indexed="81"/>
            <rFont val="Tahoma"/>
            <family val="2"/>
          </rPr>
          <t xml:space="preserve">
Cook 2012: 50 (visual obs)</t>
        </r>
      </text>
    </comment>
    <comment ref="L31" authorId="0">
      <text>
        <r>
          <rPr>
            <b/>
            <sz val="9"/>
            <color indexed="81"/>
            <rFont val="Tahoma"/>
            <family val="2"/>
          </rPr>
          <t>Emma Cashman Kelsey:</t>
        </r>
        <r>
          <rPr>
            <sz val="9"/>
            <color indexed="81"/>
            <rFont val="Tahoma"/>
            <family val="2"/>
          </rPr>
          <t xml:space="preserve">
Cook 2012: 50 (visual obs)</t>
        </r>
      </text>
    </comment>
    <comment ref="M31" authorId="0">
      <text>
        <r>
          <rPr>
            <b/>
            <sz val="9"/>
            <color indexed="81"/>
            <rFont val="Tahoma"/>
            <family val="2"/>
          </rPr>
          <t>Emma Cashman Kelsey:</t>
        </r>
        <r>
          <rPr>
            <sz val="9"/>
            <color indexed="81"/>
            <rFont val="Tahoma"/>
            <family val="2"/>
          </rPr>
          <t xml:space="preserve">
Cook 2012: 50 (visual obs)</t>
        </r>
      </text>
    </comment>
    <comment ref="L32" authorId="0">
      <text>
        <r>
          <rPr>
            <b/>
            <sz val="9"/>
            <color indexed="81"/>
            <rFont val="Tahoma"/>
            <family val="2"/>
          </rPr>
          <t>Emma Cashman Kelsey:</t>
        </r>
        <r>
          <rPr>
            <sz val="9"/>
            <color indexed="81"/>
            <rFont val="Tahoma"/>
            <family val="2"/>
          </rPr>
          <t xml:space="preserve">
Cook 2012: 50 (visual obs)</t>
        </r>
      </text>
    </comment>
    <comment ref="M32" authorId="0">
      <text>
        <r>
          <rPr>
            <b/>
            <sz val="9"/>
            <color indexed="81"/>
            <rFont val="Tahoma"/>
            <family val="2"/>
          </rPr>
          <t>Emma Cashman Kelsey:</t>
        </r>
        <r>
          <rPr>
            <sz val="9"/>
            <color indexed="81"/>
            <rFont val="Tahoma"/>
            <family val="2"/>
          </rPr>
          <t xml:space="preserve">
Cook 2012: 50 (visual obs)</t>
        </r>
      </text>
    </comment>
    <comment ref="L33" authorId="0">
      <text>
        <r>
          <rPr>
            <b/>
            <sz val="9"/>
            <color indexed="81"/>
            <rFont val="Tahoma"/>
            <family val="2"/>
          </rPr>
          <t>Emma Cashman Kelsey:</t>
        </r>
        <r>
          <rPr>
            <sz val="9"/>
            <color indexed="81"/>
            <rFont val="Tahoma"/>
            <family val="2"/>
          </rPr>
          <t xml:space="preserve">
Cook 2012: 50 (visual obs)</t>
        </r>
      </text>
    </comment>
    <comment ref="M33" authorId="0">
      <text>
        <r>
          <rPr>
            <b/>
            <sz val="9"/>
            <color indexed="81"/>
            <rFont val="Tahoma"/>
            <family val="2"/>
          </rPr>
          <t>Emma Cashman Kelsey:</t>
        </r>
        <r>
          <rPr>
            <sz val="9"/>
            <color indexed="81"/>
            <rFont val="Tahoma"/>
            <family val="2"/>
          </rPr>
          <t xml:space="preserve">
Cook 2012: 50 (visual obs)</t>
        </r>
      </text>
    </comment>
    <comment ref="T33" authorId="1">
      <text>
        <r>
          <rPr>
            <b/>
            <sz val="9"/>
            <color indexed="81"/>
            <rFont val="Calibri"/>
            <family val="2"/>
          </rPr>
          <t>Emma Kelsey:</t>
        </r>
        <r>
          <rPr>
            <sz val="9"/>
            <color indexed="81"/>
            <rFont val="Calibri"/>
            <family val="2"/>
          </rPr>
          <t xml:space="preserve">
del Hoyo: limited distribution suggests food specialist</t>
        </r>
      </text>
    </comment>
    <comment ref="L34" authorId="0">
      <text>
        <r>
          <rPr>
            <b/>
            <sz val="9"/>
            <color indexed="81"/>
            <rFont val="Tahoma"/>
            <family val="2"/>
          </rPr>
          <t>Emma Cashman Kelsey:</t>
        </r>
        <r>
          <rPr>
            <sz val="9"/>
            <color indexed="81"/>
            <rFont val="Tahoma"/>
            <family val="2"/>
          </rPr>
          <t xml:space="preserve">
Cook 2012: 50 (visual obs)</t>
        </r>
      </text>
    </comment>
    <comment ref="M34" authorId="0">
      <text>
        <r>
          <rPr>
            <b/>
            <sz val="9"/>
            <color indexed="81"/>
            <rFont val="Tahoma"/>
            <family val="2"/>
          </rPr>
          <t>Emma Cashman Kelsey:</t>
        </r>
        <r>
          <rPr>
            <sz val="9"/>
            <color indexed="81"/>
            <rFont val="Tahoma"/>
            <family val="2"/>
          </rPr>
          <t xml:space="preserve">
Cook 2012: 50 (visual obs)</t>
        </r>
      </text>
    </comment>
    <comment ref="L35" authorId="0">
      <text>
        <r>
          <rPr>
            <b/>
            <sz val="9"/>
            <color indexed="81"/>
            <rFont val="Tahoma"/>
            <family val="2"/>
          </rPr>
          <t>Emma Cashman Kelsey:</t>
        </r>
        <r>
          <rPr>
            <sz val="9"/>
            <color indexed="81"/>
            <rFont val="Tahoma"/>
            <family val="2"/>
          </rPr>
          <t xml:space="preserve">
Cook 2012: 50 (visual obs)</t>
        </r>
      </text>
    </comment>
    <comment ref="M35" authorId="0">
      <text>
        <r>
          <rPr>
            <b/>
            <sz val="9"/>
            <color indexed="81"/>
            <rFont val="Tahoma"/>
            <family val="2"/>
          </rPr>
          <t>Emma Cashman Kelsey:</t>
        </r>
        <r>
          <rPr>
            <sz val="9"/>
            <color indexed="81"/>
            <rFont val="Tahoma"/>
            <family val="2"/>
          </rPr>
          <t xml:space="preserve">
Cook 2012: 50 (visual obs)</t>
        </r>
      </text>
    </comment>
    <comment ref="T35" authorId="0">
      <text>
        <r>
          <rPr>
            <b/>
            <sz val="9"/>
            <color indexed="81"/>
            <rFont val="Tahoma"/>
            <family val="2"/>
          </rPr>
          <t>Emma Cashman Kelsey:</t>
        </r>
        <r>
          <rPr>
            <sz val="9"/>
            <color indexed="81"/>
            <rFont val="Tahoma"/>
            <family val="2"/>
          </rPr>
          <t xml:space="preserve">
Boersma: "Primarily nektonic crustaceans and fish from top layer of sea (Palmer 1962). Opportunistic, seen scavenging on remains of dead marine mammals (Gill 1977). Also follows boats and feeds on their discharges"</t>
        </r>
      </text>
    </comment>
    <comment ref="L36" authorId="0">
      <text>
        <r>
          <rPr>
            <b/>
            <sz val="9"/>
            <color indexed="81"/>
            <rFont val="Tahoma"/>
            <family val="2"/>
          </rPr>
          <t>Emma Cashman Kelsey:</t>
        </r>
        <r>
          <rPr>
            <sz val="9"/>
            <color indexed="81"/>
            <rFont val="Tahoma"/>
            <family val="2"/>
          </rPr>
          <t xml:space="preserve">
Cook 2012: 50 (visual obs)</t>
        </r>
      </text>
    </comment>
    <comment ref="M36" authorId="0">
      <text>
        <r>
          <rPr>
            <b/>
            <sz val="9"/>
            <color indexed="81"/>
            <rFont val="Tahoma"/>
            <family val="2"/>
          </rPr>
          <t>Emma Cashman Kelsey:</t>
        </r>
        <r>
          <rPr>
            <sz val="9"/>
            <color indexed="81"/>
            <rFont val="Tahoma"/>
            <family val="2"/>
          </rPr>
          <t xml:space="preserve">
Cook 2012: 50 (visual obs)</t>
        </r>
      </text>
    </comment>
    <comment ref="T36" authorId="0">
      <text>
        <r>
          <rPr>
            <b/>
            <sz val="9"/>
            <color indexed="81"/>
            <rFont val="Tahoma"/>
            <family val="2"/>
          </rPr>
          <t>Emma Cashman Kelsey:</t>
        </r>
        <r>
          <rPr>
            <sz val="9"/>
            <color indexed="81"/>
            <rFont val="Tahoma"/>
            <family val="2"/>
          </rPr>
          <t xml:space="preserve">
Huntington: "Vary geographically and seasonally, depending on available prey species, which include fishes (myctophids, cod, rockfish), cephalopods (squids, octopuses), crustaceans (euphausiids, decapods, amphipods, isopods, mysids, copepods), and jellyfish (Scyphozoa)"
Willmott et al. = 1</t>
        </r>
      </text>
    </comment>
    <comment ref="L37" authorId="0">
      <text>
        <r>
          <rPr>
            <b/>
            <sz val="9"/>
            <color indexed="81"/>
            <rFont val="Tahoma"/>
            <family val="2"/>
          </rPr>
          <t>Emma Cashman Kelsey:</t>
        </r>
        <r>
          <rPr>
            <sz val="9"/>
            <color indexed="81"/>
            <rFont val="Tahoma"/>
            <family val="2"/>
          </rPr>
          <t xml:space="preserve">
Cook 2012: 50 (visual obs)</t>
        </r>
      </text>
    </comment>
    <comment ref="M37" authorId="0">
      <text>
        <r>
          <rPr>
            <b/>
            <sz val="9"/>
            <color indexed="81"/>
            <rFont val="Tahoma"/>
            <family val="2"/>
          </rPr>
          <t>Emma Cashman Kelsey:</t>
        </r>
        <r>
          <rPr>
            <sz val="9"/>
            <color indexed="81"/>
            <rFont val="Tahoma"/>
            <family val="2"/>
          </rPr>
          <t xml:space="preserve">
Cook 2012: 50 (visual obs)</t>
        </r>
      </text>
    </comment>
    <comment ref="T38" authorId="0">
      <text>
        <r>
          <rPr>
            <b/>
            <sz val="9"/>
            <color indexed="81"/>
            <rFont val="Tahoma"/>
            <family val="2"/>
          </rPr>
          <t>Emma Cashman Kelsey:</t>
        </r>
        <r>
          <rPr>
            <sz val="9"/>
            <color indexed="81"/>
            <rFont val="Tahoma"/>
            <family val="2"/>
          </rPr>
          <t xml:space="preserve">
Shields 2014: "Highly dependent upon northern anchovy (Engraulis mordax) in California and along Pacific coast of Mexico (Anderson et al. 1980, 1982). Pacific sardines (Sardinops sagax) have been equally important to anchovies in S. California Bight since 1993 (F. Gress pers. comm.)."
Willmott = 1</t>
        </r>
      </text>
    </comment>
    <comment ref="T39" authorId="0">
      <text>
        <r>
          <rPr>
            <b/>
            <sz val="9"/>
            <color indexed="81"/>
            <rFont val="Tahoma"/>
            <family val="2"/>
          </rPr>
          <t>Emma Cashman Kelsey:</t>
        </r>
        <r>
          <rPr>
            <sz val="9"/>
            <color indexed="81"/>
            <rFont val="Tahoma"/>
            <family val="2"/>
          </rPr>
          <t xml:space="preserve">
Knopf and Evans: "In contrast to other Pelecaniforms that dive and actively pursue prey of specific species or size, white pelican is highly opportunistic in foraging (Knopf and Kennedy 1981).  Comparisons of diet regionally show a predominance in numbers of smaller food items as crayfish, native minnows, and salamanders but the significant biomass usually being represented by carp and minnows."</t>
        </r>
      </text>
    </comment>
    <comment ref="L40" authorId="0">
      <text>
        <r>
          <rPr>
            <b/>
            <sz val="9"/>
            <color indexed="81"/>
            <rFont val="Tahoma"/>
            <family val="2"/>
          </rPr>
          <t>Emma Cashman Kelsey:</t>
        </r>
        <r>
          <rPr>
            <sz val="9"/>
            <color indexed="81"/>
            <rFont val="Tahoma"/>
            <family val="2"/>
          </rPr>
          <t xml:space="preserve">
Cook 2012: 18 (visual obs), 23 (radar)</t>
        </r>
      </text>
    </comment>
    <comment ref="M40" authorId="0">
      <text>
        <r>
          <rPr>
            <b/>
            <sz val="9"/>
            <color indexed="81"/>
            <rFont val="Tahoma"/>
            <family val="2"/>
          </rPr>
          <t>Emma Cashman Kelsey:</t>
        </r>
        <r>
          <rPr>
            <sz val="9"/>
            <color indexed="81"/>
            <rFont val="Tahoma"/>
            <family val="2"/>
          </rPr>
          <t xml:space="preserve">
Cook 2012: 18 (visual obs), 23 (radar)</t>
        </r>
      </text>
    </comment>
    <comment ref="T40" authorId="0">
      <text>
        <r>
          <rPr>
            <b/>
            <sz val="9"/>
            <color indexed="81"/>
            <rFont val="Tahoma"/>
            <family val="2"/>
          </rPr>
          <t>Emma Cashman Kelsey:</t>
        </r>
        <r>
          <rPr>
            <sz val="9"/>
            <color indexed="81"/>
            <rFont val="Tahoma"/>
            <family val="2"/>
          </rPr>
          <t xml:space="preserve">
Ainley et al. 1981, Ainley and Boekelheide 1990</t>
        </r>
      </text>
    </comment>
    <comment ref="L41" authorId="0">
      <text>
        <r>
          <rPr>
            <b/>
            <sz val="9"/>
            <color indexed="81"/>
            <rFont val="Tahoma"/>
            <family val="2"/>
          </rPr>
          <t>Emma Cashman Kelsey:</t>
        </r>
        <r>
          <rPr>
            <sz val="9"/>
            <color indexed="81"/>
            <rFont val="Tahoma"/>
            <family val="2"/>
          </rPr>
          <t xml:space="preserve">
Cook 2012: 18 (visual obs), 23 (radar)</t>
        </r>
      </text>
    </comment>
    <comment ref="M41" authorId="0">
      <text>
        <r>
          <rPr>
            <b/>
            <sz val="9"/>
            <color indexed="81"/>
            <rFont val="Tahoma"/>
            <family val="2"/>
          </rPr>
          <t>Emma Cashman Kelsey:</t>
        </r>
        <r>
          <rPr>
            <sz val="9"/>
            <color indexed="81"/>
            <rFont val="Tahoma"/>
            <family val="2"/>
          </rPr>
          <t xml:space="preserve">
Cook 2012: 18 (visual obs), 23 (radar)</t>
        </r>
      </text>
    </comment>
    <comment ref="T41" authorId="1">
      <text>
        <r>
          <rPr>
            <b/>
            <sz val="9"/>
            <color indexed="81"/>
            <rFont val="Calibri"/>
            <family val="2"/>
          </rPr>
          <t>Emma Kelsey:</t>
        </r>
        <r>
          <rPr>
            <sz val="9"/>
            <color indexed="81"/>
            <rFont val="Calibri"/>
            <family val="2"/>
          </rPr>
          <t xml:space="preserve">
Willmott = 1</t>
        </r>
      </text>
    </comment>
    <comment ref="L42" authorId="0">
      <text>
        <r>
          <rPr>
            <b/>
            <sz val="9"/>
            <color indexed="81"/>
            <rFont val="Tahoma"/>
            <family val="2"/>
          </rPr>
          <t>Emma Cashman Kelsey:</t>
        </r>
        <r>
          <rPr>
            <sz val="9"/>
            <color indexed="81"/>
            <rFont val="Tahoma"/>
            <family val="2"/>
          </rPr>
          <t xml:space="preserve">
Cook 2012: 18 (visual obs), 23 (radar)</t>
        </r>
      </text>
    </comment>
    <comment ref="M42" authorId="0">
      <text>
        <r>
          <rPr>
            <b/>
            <sz val="9"/>
            <color indexed="81"/>
            <rFont val="Tahoma"/>
            <family val="2"/>
          </rPr>
          <t>Emma Cashman Kelsey:</t>
        </r>
        <r>
          <rPr>
            <sz val="9"/>
            <color indexed="81"/>
            <rFont val="Tahoma"/>
            <family val="2"/>
          </rPr>
          <t xml:space="preserve">
Cook 2012: 18 (visual obs), 23 (radar)</t>
        </r>
      </text>
    </comment>
    <comment ref="T42" authorId="0">
      <text>
        <r>
          <rPr>
            <b/>
            <sz val="9"/>
            <color indexed="81"/>
            <rFont val="Tahoma"/>
            <family val="2"/>
          </rPr>
          <t>Emma Cashman Kelsey:</t>
        </r>
        <r>
          <rPr>
            <sz val="9"/>
            <color indexed="81"/>
            <rFont val="Tahoma"/>
            <family val="2"/>
          </rPr>
          <t xml:space="preserve">
Siegel-Cousey and Litvinenko 1993: "Select a specific habitat to feed in, rather than specializing in a small number of prey."</t>
        </r>
      </text>
    </comment>
    <comment ref="N43" authorId="0">
      <text>
        <r>
          <rPr>
            <b/>
            <sz val="9"/>
            <color indexed="81"/>
            <rFont val="Tahoma"/>
            <family val="2"/>
          </rPr>
          <t>Emma Cashman Kelsey:</t>
        </r>
        <r>
          <rPr>
            <sz val="9"/>
            <color indexed="81"/>
            <rFont val="Tahoma"/>
            <family val="2"/>
          </rPr>
          <t xml:space="preserve">
RNPH:
Willmott 2013 = 4
Bradbury 2014 = 1</t>
        </r>
      </text>
    </comment>
    <comment ref="N44" authorId="0">
      <text>
        <r>
          <rPr>
            <b/>
            <sz val="9"/>
            <color indexed="81"/>
            <rFont val="Tahoma"/>
            <family val="2"/>
          </rPr>
          <t>Emma Cashman Kelsey:</t>
        </r>
        <r>
          <rPr>
            <sz val="9"/>
            <color indexed="81"/>
            <rFont val="Tahoma"/>
            <family val="2"/>
          </rPr>
          <t xml:space="preserve">
Willmott 2013 = 4
Bradbury 2014 = 1</t>
        </r>
      </text>
    </comment>
    <comment ref="T44" authorId="0">
      <text>
        <r>
          <rPr>
            <b/>
            <sz val="9"/>
            <color indexed="81"/>
            <rFont val="Tahoma"/>
            <family val="2"/>
          </rPr>
          <t>Emma Cashman Kelsey:</t>
        </r>
        <r>
          <rPr>
            <sz val="9"/>
            <color indexed="81"/>
            <rFont val="Tahoma"/>
            <family val="2"/>
          </rPr>
          <t xml:space="preserve">
Rubega et al. 2000: "Small aquatic invertebrates in freshwater, marine, and hypersaline environments, and adult, flying lifestages of aquatic insects. Very rarely, small fish ."</t>
        </r>
      </text>
    </comment>
    <comment ref="L45"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45"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L46"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46"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T46" authorId="0">
      <text>
        <r>
          <rPr>
            <b/>
            <sz val="9"/>
            <color indexed="81"/>
            <rFont val="Tahoma"/>
            <family val="2"/>
          </rPr>
          <t>Emma Cashman Kelsey:</t>
        </r>
        <r>
          <rPr>
            <sz val="9"/>
            <color indexed="81"/>
            <rFont val="Tahoma"/>
            <family val="2"/>
          </rPr>
          <t xml:space="preserve">
Burger and Gochfeld 2002: " Large concentrations gather opportunistically where prey is abundant. In breeding season, feeds mainly on insects, often catching them on the wing; in bays, feeds on insects and other small invertebrates, and small fish (Tangren 1982); at sea, feeds on small fish, shrimp and other small invertebrates (Gabrielson and Lincoln 1959), including amphipods (Lauro 1980, MG)."</t>
        </r>
      </text>
    </comment>
    <comment ref="L47"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47"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L48"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48"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T48" authorId="0">
      <text>
        <r>
          <rPr>
            <b/>
            <sz val="9"/>
            <color indexed="81"/>
            <rFont val="Tahoma"/>
            <family val="2"/>
          </rPr>
          <t>Emma Cashman Kelsey:</t>
        </r>
        <r>
          <rPr>
            <sz val="9"/>
            <color indexed="81"/>
            <rFont val="Tahoma"/>
            <family val="2"/>
          </rPr>
          <t xml:space="preserve">
Winkler: "An opportunistic feeder. Main food types eaten depend on where colony is located.  Small mammals, fish, birds, garbage, and variety of invertebrates (grasshoppers [Orthoptera], mayflies [Ephemeroptera], and damselflies [Odonata; both adults and nymphs], earthworms, brine shrimp [Artemia spp.], and many others) can make up large portions of diet"</t>
        </r>
      </text>
    </comment>
    <comment ref="L49"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49"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T49" authorId="0">
      <text>
        <r>
          <rPr>
            <b/>
            <sz val="9"/>
            <color indexed="81"/>
            <rFont val="Tahoma"/>
            <family val="2"/>
          </rPr>
          <t>Emma Cashman Kelsey:</t>
        </r>
        <r>
          <rPr>
            <sz val="9"/>
            <color indexed="81"/>
            <rFont val="Tahoma"/>
            <family val="2"/>
          </rPr>
          <t xml:space="preserve">
Islam 2002: "A generalist predator feeding on a wide variety of small fish. Additionally, feeds on shrimp and other crustaceans, amphipods, small mollusks, squid (Ommastrephidae), lizards, and insects. At breeding colonies, preys on eggs. Also, scavenges with other gulls along shoreline and beaches for refuse and carrion (Bent 1921, Kaufman 1996)"</t>
        </r>
      </text>
    </comment>
    <comment ref="L50"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50"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L51"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51"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L52"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52"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showed attraction to OWF</t>
        </r>
      </text>
    </comment>
    <comment ref="T52" authorId="0">
      <text>
        <r>
          <rPr>
            <b/>
            <sz val="9"/>
            <color indexed="81"/>
            <rFont val="Tahoma"/>
            <family val="2"/>
          </rPr>
          <t>Emma Cashman Kelsey:</t>
        </r>
        <r>
          <rPr>
            <sz val="9"/>
            <color indexed="81"/>
            <rFont val="Tahoma"/>
            <family val="2"/>
          </rPr>
          <t xml:space="preserve">
Pierotti and Good: "An opportunistic feeder, mainly fish, especially capelin (Mallotus villosus), eulachon, and other surface fish (Salomonsen 1951; Goethe 1986; Tobish 1995, 1996). Also carrion, offal in harbors, marine invertebrates, and occasionally eggs and young of other birds. Takes some terrestrial plants, algae, berries in late summer (see Diet, below)."</t>
        </r>
      </text>
    </comment>
    <comment ref="L53"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53"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T53" authorId="0">
      <text>
        <r>
          <rPr>
            <b/>
            <sz val="9"/>
            <color indexed="81"/>
            <rFont val="Tahoma"/>
            <family val="2"/>
          </rPr>
          <t>Emma Cashman Kelsey:</t>
        </r>
        <r>
          <rPr>
            <sz val="9"/>
            <color indexed="81"/>
            <rFont val="Tahoma"/>
            <family val="2"/>
          </rPr>
          <t xml:space="preserve">
Snell: "An opportunistic feeder, mainly fish, especially capelin (Mallotus villosus), eulachon, and other surface fish (Salomonsen 1951; Goethe 1986; Tobish 1995, 1996). Also carrion, offal in harbors, marine invertebrates, and occasionally eggs and young of other birds. Takes some terrestrial plants, algae, berries in late summer (see Diet, below)."</t>
        </r>
      </text>
    </comment>
    <comment ref="L54"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54"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T54" authorId="0">
      <text>
        <r>
          <rPr>
            <b/>
            <sz val="9"/>
            <color indexed="81"/>
            <rFont val="Tahoma"/>
            <family val="2"/>
          </rPr>
          <t>Emma Cashman Kelsey:</t>
        </r>
        <r>
          <rPr>
            <sz val="9"/>
            <color indexed="81"/>
            <rFont val="Tahoma"/>
            <family val="2"/>
          </rPr>
          <t xml:space="preserve">
Hayward: "Omnivorous, a wide variety of fish, marine invertebrates, garbage, and carrion.</t>
        </r>
      </text>
    </comment>
    <comment ref="L55"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t>
        </r>
      </text>
    </comment>
    <comment ref="M55" authorId="0">
      <text>
        <r>
          <rPr>
            <b/>
            <sz val="9"/>
            <color indexed="81"/>
            <rFont val="Tahoma"/>
            <family val="2"/>
          </rPr>
          <t>Emma Cashman Kelsey:</t>
        </r>
        <r>
          <rPr>
            <sz val="9"/>
            <color indexed="81"/>
            <rFont val="Tahoma"/>
            <family val="2"/>
          </rPr>
          <t xml:space="preserve">
Cook 2012: Gulls: radar = 76.4 and 18, visual = 30
Peterson 2006: gulls did not show avoidance or attraction behavior
Vanermen et al. 2014: gulls were attracted to OWF</t>
        </r>
      </text>
    </comment>
    <comment ref="L56"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56"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L57"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57"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T57" authorId="0">
      <text>
        <r>
          <rPr>
            <b/>
            <sz val="9"/>
            <color indexed="81"/>
            <rFont val="Tahoma"/>
            <family val="2"/>
          </rPr>
          <t>Emma Cashman Kelsey:</t>
        </r>
        <r>
          <rPr>
            <sz val="9"/>
            <color indexed="81"/>
            <rFont val="Tahoma"/>
            <family val="2"/>
          </rPr>
          <t xml:space="preserve">
Hatch: "Opportunistic forager; diet may vary from place to place, from year to year, and rapidly in response to diurnal and tidal cycles and activities of under-water predators."</t>
        </r>
      </text>
    </comment>
    <comment ref="L58"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58"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T58" authorId="0">
      <text>
        <r>
          <rPr>
            <b/>
            <sz val="9"/>
            <color indexed="81"/>
            <rFont val="Tahoma"/>
            <family val="2"/>
          </rPr>
          <t>Emma Cashman Kelsey:</t>
        </r>
        <r>
          <rPr>
            <sz val="9"/>
            <color indexed="81"/>
            <rFont val="Tahoma"/>
            <family val="2"/>
          </rPr>
          <t xml:space="preserve">
Nisbet: "Generalist and opportunist; Adults feed on a wide variety of fish and invertebrates in all areas, but chicks are fed mainly fish at coastal colonies, and almost exclusively fish at freshwater sites. Diets vary spatially, annually, weekly, daily, and even hourly in relation to diurnal and tidal cycles, and activity of predatory fish."
Willmott: 3</t>
        </r>
      </text>
    </comment>
    <comment ref="L59"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59"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T59" authorId="0">
      <text>
        <r>
          <rPr>
            <b/>
            <sz val="9"/>
            <color indexed="81"/>
            <rFont val="Tahoma"/>
            <family val="2"/>
          </rPr>
          <t>Emma Cashman Kelsey:</t>
        </r>
        <r>
          <rPr>
            <sz val="9"/>
            <color indexed="81"/>
            <rFont val="Tahoma"/>
            <family val="2"/>
          </rPr>
          <t xml:space="preserve">
Burness et al. 1999: "Primary prey is northern anchovy."</t>
        </r>
      </text>
    </comment>
    <comment ref="L60"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60"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T60" authorId="0">
      <text>
        <r>
          <rPr>
            <b/>
            <sz val="9"/>
            <color indexed="81"/>
            <rFont val="Tahoma"/>
            <family val="2"/>
          </rPr>
          <t>Emma Cashman Kelsey:</t>
        </r>
        <r>
          <rPr>
            <sz val="9"/>
            <color indexed="81"/>
            <rFont val="Tahoma"/>
            <family val="2"/>
          </rPr>
          <t xml:space="preserve">
Buckley and Buckley: "Fish, augmented by crustaceans, particularly shrimp. Prey items eaten by adults presumed similar to those fed chicks in colonies. Great variability in relative proportions of taxa taken associated with seasonal, oceanographic, climatic, weather, stochastic, and zoogeographic factors, such that rarely do any 2 studies report same results of diet analysis."</t>
        </r>
      </text>
    </comment>
    <comment ref="L61"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61"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L62"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62"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L63"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M63" authorId="0">
      <text>
        <r>
          <rPr>
            <b/>
            <sz val="9"/>
            <color indexed="81"/>
            <rFont val="Tahoma"/>
            <family val="2"/>
          </rPr>
          <t>Emma Cashman Kelsey:</t>
        </r>
        <r>
          <rPr>
            <sz val="9"/>
            <color indexed="81"/>
            <rFont val="Tahoma"/>
            <family val="2"/>
          </rPr>
          <t xml:space="preserve">
Cook 2012: visual = 30, radar = 69.5
Peterson 2006: Terns did not show avoidance or attraction behavior</t>
        </r>
      </text>
    </comment>
    <comment ref="T63" authorId="0">
      <text>
        <r>
          <rPr>
            <b/>
            <sz val="9"/>
            <color indexed="81"/>
            <rFont val="Tahoma"/>
            <family val="2"/>
          </rPr>
          <t>Emma Cashman Kelsey:</t>
        </r>
        <r>
          <rPr>
            <sz val="9"/>
            <color indexed="81"/>
            <rFont val="Tahoma"/>
            <family val="2"/>
          </rPr>
          <t xml:space="preserve">
Parnell: "An opportunistic feeder on many kinds of terrestrial and aquatic animals."</t>
        </r>
      </text>
    </comment>
    <comment ref="L64" authorId="0">
      <text>
        <r>
          <rPr>
            <b/>
            <sz val="9"/>
            <color indexed="81"/>
            <rFont val="Tahoma"/>
            <family val="2"/>
          </rPr>
          <t>Emma Cashman Kelsey:</t>
        </r>
        <r>
          <rPr>
            <sz val="9"/>
            <color indexed="81"/>
            <rFont val="Tahoma"/>
            <family val="2"/>
          </rPr>
          <t xml:space="preserve">
Cook 2012: visual = 30, radar = 69.5</t>
        </r>
      </text>
    </comment>
    <comment ref="M64" authorId="0">
      <text>
        <r>
          <rPr>
            <b/>
            <sz val="9"/>
            <color indexed="81"/>
            <rFont val="Tahoma"/>
            <family val="2"/>
          </rPr>
          <t>Emma Cashman Kelsey:</t>
        </r>
        <r>
          <rPr>
            <sz val="9"/>
            <color indexed="81"/>
            <rFont val="Tahoma"/>
            <family val="2"/>
          </rPr>
          <t xml:space="preserve">
Cook 2012: visual = 30, radar = 69.5</t>
        </r>
      </text>
    </comment>
    <comment ref="L65" authorId="0">
      <text>
        <r>
          <rPr>
            <b/>
            <sz val="9"/>
            <color indexed="81"/>
            <rFont val="Tahoma"/>
            <family val="2"/>
          </rPr>
          <t>Emma Cashman Kelsey:</t>
        </r>
        <r>
          <rPr>
            <sz val="9"/>
            <color indexed="81"/>
            <rFont val="Tahoma"/>
            <family val="2"/>
          </rPr>
          <t xml:space="preserve">
Cook 2012: Skuas = 0 (visual obs)</t>
        </r>
      </text>
    </comment>
    <comment ref="M65" authorId="0">
      <text>
        <r>
          <rPr>
            <b/>
            <sz val="9"/>
            <color indexed="81"/>
            <rFont val="Tahoma"/>
            <family val="2"/>
          </rPr>
          <t>Emma Cashman Kelsey:</t>
        </r>
        <r>
          <rPr>
            <sz val="9"/>
            <color indexed="81"/>
            <rFont val="Tahoma"/>
            <family val="2"/>
          </rPr>
          <t xml:space="preserve">
Cook 2012: Skuas = 0 (visual obs)</t>
        </r>
      </text>
    </comment>
    <comment ref="L66" authorId="0">
      <text>
        <r>
          <rPr>
            <b/>
            <sz val="9"/>
            <color indexed="81"/>
            <rFont val="Tahoma"/>
            <family val="2"/>
          </rPr>
          <t>Emma Cashman Kelsey:</t>
        </r>
        <r>
          <rPr>
            <sz val="9"/>
            <color indexed="81"/>
            <rFont val="Tahoma"/>
            <family val="2"/>
          </rPr>
          <t xml:space="preserve">
Cook 2012: Skuas = 0 (visual obs)</t>
        </r>
      </text>
    </comment>
    <comment ref="M66" authorId="0">
      <text>
        <r>
          <rPr>
            <b/>
            <sz val="9"/>
            <color indexed="81"/>
            <rFont val="Tahoma"/>
            <family val="2"/>
          </rPr>
          <t>Emma Cashman Kelsey:</t>
        </r>
        <r>
          <rPr>
            <sz val="9"/>
            <color indexed="81"/>
            <rFont val="Tahoma"/>
            <family val="2"/>
          </rPr>
          <t xml:space="preserve">
Cook 2012: Skuas = 0 (visual obs)</t>
        </r>
      </text>
    </comment>
    <comment ref="L67" authorId="0">
      <text>
        <r>
          <rPr>
            <b/>
            <sz val="9"/>
            <color indexed="81"/>
            <rFont val="Tahoma"/>
            <family val="2"/>
          </rPr>
          <t>Emma Cashman Kelsey:</t>
        </r>
        <r>
          <rPr>
            <sz val="9"/>
            <color indexed="81"/>
            <rFont val="Tahoma"/>
            <family val="2"/>
          </rPr>
          <t xml:space="preserve">
Cook 2012: Skuas = 0 (visual obs)</t>
        </r>
      </text>
    </comment>
    <comment ref="M67" authorId="0">
      <text>
        <r>
          <rPr>
            <b/>
            <sz val="9"/>
            <color indexed="81"/>
            <rFont val="Tahoma"/>
            <family val="2"/>
          </rPr>
          <t>Emma Cashman Kelsey:</t>
        </r>
        <r>
          <rPr>
            <sz val="9"/>
            <color indexed="81"/>
            <rFont val="Tahoma"/>
            <family val="2"/>
          </rPr>
          <t xml:space="preserve">
Cook 2012: Skuas = 0 (visual obs)</t>
        </r>
      </text>
    </comment>
    <comment ref="L68" authorId="0">
      <text>
        <r>
          <rPr>
            <b/>
            <sz val="9"/>
            <color indexed="81"/>
            <rFont val="Tahoma"/>
            <family val="2"/>
          </rPr>
          <t>Emma Cashman Kelsey:</t>
        </r>
        <r>
          <rPr>
            <sz val="9"/>
            <color indexed="81"/>
            <rFont val="Tahoma"/>
            <family val="2"/>
          </rPr>
          <t xml:space="preserve">
Cook 2012: Skuas = 0 (visual obs)</t>
        </r>
      </text>
    </comment>
    <comment ref="M68" authorId="0">
      <text>
        <r>
          <rPr>
            <b/>
            <sz val="9"/>
            <color indexed="81"/>
            <rFont val="Tahoma"/>
            <family val="2"/>
          </rPr>
          <t>Emma Cashman Kelsey:</t>
        </r>
        <r>
          <rPr>
            <sz val="9"/>
            <color indexed="81"/>
            <rFont val="Tahoma"/>
            <family val="2"/>
          </rPr>
          <t xml:space="preserve">
Cook 2012: Skuas = 0 (visual obs)</t>
        </r>
      </text>
    </comment>
    <comment ref="L69" authorId="0">
      <text>
        <r>
          <rPr>
            <b/>
            <sz val="9"/>
            <color indexed="81"/>
            <rFont val="Tahoma"/>
            <family val="2"/>
          </rPr>
          <t>Emma Cashman Kelsey:</t>
        </r>
        <r>
          <rPr>
            <sz val="9"/>
            <color indexed="81"/>
            <rFont val="Tahoma"/>
            <family val="2"/>
          </rPr>
          <t xml:space="preserve">
Cook 2012: 45 (visual obs), 68 (visual obs)</t>
        </r>
      </text>
    </comment>
    <comment ref="M69" authorId="0">
      <text>
        <r>
          <rPr>
            <b/>
            <sz val="9"/>
            <color indexed="81"/>
            <rFont val="Tahoma"/>
            <family val="2"/>
          </rPr>
          <t>Emma Cashman Kelsey:</t>
        </r>
        <r>
          <rPr>
            <sz val="9"/>
            <color indexed="81"/>
            <rFont val="Tahoma"/>
            <family val="2"/>
          </rPr>
          <t xml:space="preserve">
Cook 2012: 45 (visual obs), 68 (visual obs)</t>
        </r>
      </text>
    </comment>
    <comment ref="L70" authorId="0">
      <text>
        <r>
          <rPr>
            <b/>
            <sz val="9"/>
            <color indexed="81"/>
            <rFont val="Tahoma"/>
            <family val="2"/>
          </rPr>
          <t>Emma Cashman Kelsey:</t>
        </r>
        <r>
          <rPr>
            <sz val="9"/>
            <color indexed="81"/>
            <rFont val="Tahoma"/>
            <family val="2"/>
          </rPr>
          <t xml:space="preserve">
Cook 2012: 45 (visual obs), 68 (visual obs)</t>
        </r>
      </text>
    </comment>
    <comment ref="M70" authorId="0">
      <text>
        <r>
          <rPr>
            <b/>
            <sz val="9"/>
            <color indexed="81"/>
            <rFont val="Tahoma"/>
            <family val="2"/>
          </rPr>
          <t>Emma Cashman Kelsey:</t>
        </r>
        <r>
          <rPr>
            <sz val="9"/>
            <color indexed="81"/>
            <rFont val="Tahoma"/>
            <family val="2"/>
          </rPr>
          <t xml:space="preserve">
Cook 2012: 45 (visual obs), 68 (visual obs)</t>
        </r>
      </text>
    </comment>
    <comment ref="T70" authorId="0">
      <text>
        <r>
          <rPr>
            <b/>
            <sz val="9"/>
            <color indexed="81"/>
            <rFont val="Tahoma"/>
            <family val="2"/>
          </rPr>
          <t>Emma Cashman Kelsey:</t>
        </r>
        <r>
          <rPr>
            <sz val="9"/>
            <color indexed="81"/>
            <rFont val="Tahoma"/>
            <family val="2"/>
          </rPr>
          <t xml:space="preserve">
Ewins 1993: feed throughout the water collumn in shallow areas
Nelson 1997: generalist</t>
        </r>
      </text>
    </comment>
    <comment ref="E71" authorId="2">
      <text>
        <r>
          <rPr>
            <b/>
            <sz val="9"/>
            <color indexed="81"/>
            <rFont val="Tahoma"/>
            <family val="2"/>
          </rPr>
          <t>Adams, Josh:</t>
        </r>
        <r>
          <rPr>
            <sz val="9"/>
            <color indexed="81"/>
            <rFont val="Tahoma"/>
            <family val="2"/>
          </rPr>
          <t xml:space="preserve">
Guadalupe and Scripps's Murrelet</t>
        </r>
      </text>
    </comment>
    <comment ref="L71" authorId="0">
      <text>
        <r>
          <rPr>
            <b/>
            <sz val="9"/>
            <color indexed="81"/>
            <rFont val="Tahoma"/>
            <family val="2"/>
          </rPr>
          <t>Emma Cashman Kelsey:</t>
        </r>
        <r>
          <rPr>
            <sz val="9"/>
            <color indexed="81"/>
            <rFont val="Tahoma"/>
            <family val="2"/>
          </rPr>
          <t xml:space="preserve">
Cook 2012: 45 (visual obs), 68 (visual obs)</t>
        </r>
      </text>
    </comment>
    <comment ref="M71" authorId="0">
      <text>
        <r>
          <rPr>
            <b/>
            <sz val="9"/>
            <color indexed="81"/>
            <rFont val="Tahoma"/>
            <family val="2"/>
          </rPr>
          <t>Emma Cashman Kelsey:</t>
        </r>
        <r>
          <rPr>
            <sz val="9"/>
            <color indexed="81"/>
            <rFont val="Tahoma"/>
            <family val="2"/>
          </rPr>
          <t xml:space="preserve">
Cook 2012: 45 (visual obs), 68 (visual obs)</t>
        </r>
      </text>
    </comment>
    <comment ref="T71" authorId="0">
      <text>
        <r>
          <rPr>
            <b/>
            <sz val="9"/>
            <color indexed="81"/>
            <rFont val="Tahoma"/>
            <family val="2"/>
          </rPr>
          <t>Emma Cashman Kelsey:</t>
        </r>
        <r>
          <rPr>
            <sz val="9"/>
            <color indexed="81"/>
            <rFont val="Tahoma"/>
            <family val="2"/>
          </rPr>
          <t xml:space="preserve">
Drost and Lewis: "Off Santa Barbara I., larval anchovies comprised nearly half of total volume of samples analyzed (Hunt et al. 1981; also see Table 2). When anchovy abundance is low (e.g., 1978), breeding is delayed by &gt;1 mo and overall reproductive effort is lower (Hunt et al. 1981)"</t>
        </r>
      </text>
    </comment>
    <comment ref="L72" authorId="0">
      <text>
        <r>
          <rPr>
            <b/>
            <sz val="9"/>
            <color indexed="81"/>
            <rFont val="Tahoma"/>
            <family val="2"/>
          </rPr>
          <t>Emma Cashman Kelsey:</t>
        </r>
        <r>
          <rPr>
            <sz val="9"/>
            <color indexed="81"/>
            <rFont val="Tahoma"/>
            <family val="2"/>
          </rPr>
          <t xml:space="preserve">
Cook 2012: 45 (visual obs), 68 (visual obs)</t>
        </r>
      </text>
    </comment>
    <comment ref="M72" authorId="0">
      <text>
        <r>
          <rPr>
            <b/>
            <sz val="9"/>
            <color indexed="81"/>
            <rFont val="Tahoma"/>
            <family val="2"/>
          </rPr>
          <t>Emma Cashman Kelsey:</t>
        </r>
        <r>
          <rPr>
            <sz val="9"/>
            <color indexed="81"/>
            <rFont val="Tahoma"/>
            <family val="2"/>
          </rPr>
          <t xml:space="preserve">
Cook 2012: 45 (visual obs), 68 (visual obs)</t>
        </r>
      </text>
    </comment>
    <comment ref="L73" authorId="0">
      <text>
        <r>
          <rPr>
            <b/>
            <sz val="9"/>
            <color indexed="81"/>
            <rFont val="Tahoma"/>
            <family val="2"/>
          </rPr>
          <t>Emma Cashman Kelsey:</t>
        </r>
        <r>
          <rPr>
            <sz val="9"/>
            <color indexed="81"/>
            <rFont val="Tahoma"/>
            <family val="2"/>
          </rPr>
          <t xml:space="preserve">
Cook 2012: 45 (visual obs), 68 (visual obs)
Peterson 2006: avoidance</t>
        </r>
      </text>
    </comment>
    <comment ref="M73" authorId="0">
      <text>
        <r>
          <rPr>
            <b/>
            <sz val="9"/>
            <color indexed="81"/>
            <rFont val="Tahoma"/>
            <family val="2"/>
          </rPr>
          <t>Emma Cashman Kelsey:</t>
        </r>
        <r>
          <rPr>
            <sz val="9"/>
            <color indexed="81"/>
            <rFont val="Tahoma"/>
            <family val="2"/>
          </rPr>
          <t xml:space="preserve">
Cook 2012: 45 (visual obs), 68 (visual obs)
Peterson 2006: avoidance</t>
        </r>
      </text>
    </comment>
    <comment ref="L74" authorId="0">
      <text>
        <r>
          <rPr>
            <b/>
            <sz val="9"/>
            <color indexed="81"/>
            <rFont val="Tahoma"/>
            <family val="2"/>
          </rPr>
          <t>Emma Cashman Kelsey:</t>
        </r>
        <r>
          <rPr>
            <sz val="9"/>
            <color indexed="81"/>
            <rFont val="Tahoma"/>
            <family val="2"/>
          </rPr>
          <t xml:space="preserve">
Cook 2012: 45 (visual obs), 68 (visual obs)</t>
        </r>
      </text>
    </comment>
    <comment ref="M74" authorId="0">
      <text>
        <r>
          <rPr>
            <b/>
            <sz val="9"/>
            <color indexed="81"/>
            <rFont val="Tahoma"/>
            <family val="2"/>
          </rPr>
          <t>Emma Cashman Kelsey:</t>
        </r>
        <r>
          <rPr>
            <sz val="9"/>
            <color indexed="81"/>
            <rFont val="Tahoma"/>
            <family val="2"/>
          </rPr>
          <t xml:space="preserve">
Cook 2012: 45 (visual obs), 68 (visual obs)</t>
        </r>
      </text>
    </comment>
    <comment ref="T74" authorId="0">
      <text>
        <r>
          <rPr>
            <b/>
            <sz val="9"/>
            <color indexed="81"/>
            <rFont val="Tahoma"/>
            <family val="2"/>
          </rPr>
          <t>Emma Cashman Kelsey:</t>
        </r>
        <r>
          <rPr>
            <sz val="9"/>
            <color indexed="81"/>
            <rFont val="Tahoma"/>
            <family val="2"/>
          </rPr>
          <t xml:space="preserve">
Ewins 1993: "Considerable variation in diet within range and among years"</t>
        </r>
      </text>
    </comment>
    <comment ref="L75" authorId="0">
      <text>
        <r>
          <rPr>
            <b/>
            <sz val="9"/>
            <color indexed="81"/>
            <rFont val="Tahoma"/>
            <family val="2"/>
          </rPr>
          <t>Emma Cashman Kelsey:</t>
        </r>
        <r>
          <rPr>
            <sz val="9"/>
            <color indexed="81"/>
            <rFont val="Tahoma"/>
            <family val="2"/>
          </rPr>
          <t xml:space="preserve">
Cook 2012: 45 (visual obs), 68 (visual obs)</t>
        </r>
      </text>
    </comment>
    <comment ref="M75" authorId="0">
      <text>
        <r>
          <rPr>
            <b/>
            <sz val="9"/>
            <color indexed="81"/>
            <rFont val="Tahoma"/>
            <family val="2"/>
          </rPr>
          <t>Emma Cashman Kelsey:</t>
        </r>
        <r>
          <rPr>
            <sz val="9"/>
            <color indexed="81"/>
            <rFont val="Tahoma"/>
            <family val="2"/>
          </rPr>
          <t xml:space="preserve">
Cook 2012: 45 (visual obs), 68 (visual obs)</t>
        </r>
      </text>
    </comment>
    <comment ref="T75" authorId="0">
      <text>
        <r>
          <rPr>
            <b/>
            <sz val="9"/>
            <color indexed="81"/>
            <rFont val="Tahoma"/>
            <family val="2"/>
          </rPr>
          <t>Emma Cashman Kelsey:</t>
        </r>
        <r>
          <rPr>
            <sz val="9"/>
            <color indexed="81"/>
            <rFont val="Tahoma"/>
            <family val="2"/>
          </rPr>
          <t xml:space="preserve">
Piatt and Kitaysky: "Tufted Puffins select a smorgasbord of prey for their young, apparently taking whatever pelagic fish are most abundant or available to them in the vicinity of each breeding colony."</t>
        </r>
      </text>
    </comment>
    <comment ref="L76" authorId="0">
      <text>
        <r>
          <rPr>
            <b/>
            <sz val="9"/>
            <color indexed="81"/>
            <rFont val="Tahoma"/>
            <family val="2"/>
          </rPr>
          <t>Emma Cashman Kelsey:</t>
        </r>
        <r>
          <rPr>
            <sz val="9"/>
            <color indexed="81"/>
            <rFont val="Tahoma"/>
            <family val="2"/>
          </rPr>
          <t xml:space="preserve">
Cook 2012: 45 (visual obs), 68 (visual obs)</t>
        </r>
      </text>
    </comment>
    <comment ref="M76" authorId="0">
      <text>
        <r>
          <rPr>
            <b/>
            <sz val="9"/>
            <color indexed="81"/>
            <rFont val="Tahoma"/>
            <family val="2"/>
          </rPr>
          <t>Emma Cashman Kelsey:</t>
        </r>
        <r>
          <rPr>
            <sz val="9"/>
            <color indexed="81"/>
            <rFont val="Tahoma"/>
            <family val="2"/>
          </rPr>
          <t xml:space="preserve">
Cook 2012: 45 (visual obs), 68 (visual obs)</t>
        </r>
      </text>
    </comment>
    <comment ref="T76" authorId="0">
      <text>
        <r>
          <rPr>
            <b/>
            <sz val="9"/>
            <color indexed="81"/>
            <rFont val="Tahoma"/>
            <family val="2"/>
          </rPr>
          <t>Emma Cashman Kelsey:</t>
        </r>
        <r>
          <rPr>
            <sz val="9"/>
            <color indexed="81"/>
            <rFont val="Tahoma"/>
            <family val="2"/>
          </rPr>
          <t xml:space="preserve">
Piatt and Kitaysky: "Besides common prey, Horned Puffins feed chicks few other species, especially in comparison to Tufted Puffins"</t>
        </r>
      </text>
    </comment>
    <comment ref="L77" authorId="0">
      <text>
        <r>
          <rPr>
            <b/>
            <sz val="9"/>
            <color indexed="81"/>
            <rFont val="Tahoma"/>
            <family val="2"/>
          </rPr>
          <t>Emma Cashman Kelsey:</t>
        </r>
        <r>
          <rPr>
            <sz val="9"/>
            <color indexed="81"/>
            <rFont val="Tahoma"/>
            <family val="2"/>
          </rPr>
          <t xml:space="preserve">
Cook 2012: 45 (visual obs), 68 (visual obs)</t>
        </r>
      </text>
    </comment>
    <comment ref="M77" authorId="0">
      <text>
        <r>
          <rPr>
            <b/>
            <sz val="9"/>
            <color indexed="81"/>
            <rFont val="Tahoma"/>
            <family val="2"/>
          </rPr>
          <t>Emma Cashman Kelsey:</t>
        </r>
        <r>
          <rPr>
            <sz val="9"/>
            <color indexed="81"/>
            <rFont val="Tahoma"/>
            <family val="2"/>
          </rPr>
          <t xml:space="preserve">
Cook 2012: 45 (visual obs), 68 (visual obs)</t>
        </r>
      </text>
    </comment>
    <comment ref="L78" authorId="0">
      <text>
        <r>
          <rPr>
            <b/>
            <sz val="9"/>
            <color indexed="81"/>
            <rFont val="Tahoma"/>
            <family val="2"/>
          </rPr>
          <t>Emma Cashman Kelsey:</t>
        </r>
        <r>
          <rPr>
            <sz val="9"/>
            <color indexed="81"/>
            <rFont val="Tahoma"/>
            <family val="2"/>
          </rPr>
          <t xml:space="preserve">
Cook 2012: 45 (visual obs), 68 (visual obs)</t>
        </r>
      </text>
    </comment>
    <comment ref="M78" authorId="0">
      <text>
        <r>
          <rPr>
            <b/>
            <sz val="9"/>
            <color indexed="81"/>
            <rFont val="Tahoma"/>
            <family val="2"/>
          </rPr>
          <t>Emma Cashman Kelsey:</t>
        </r>
        <r>
          <rPr>
            <sz val="9"/>
            <color indexed="81"/>
            <rFont val="Tahoma"/>
            <family val="2"/>
          </rPr>
          <t xml:space="preserve">
Cook 2012: 45 (visual obs), 68 (visual obs)</t>
        </r>
      </text>
    </comment>
    <comment ref="L79" authorId="0">
      <text>
        <r>
          <rPr>
            <b/>
            <sz val="9"/>
            <color indexed="81"/>
            <rFont val="Tahoma"/>
            <family val="2"/>
          </rPr>
          <t>Emma Cashman Kelsey:</t>
        </r>
        <r>
          <rPr>
            <sz val="9"/>
            <color indexed="81"/>
            <rFont val="Tahoma"/>
            <family val="2"/>
          </rPr>
          <t xml:space="preserve">
Cook 2012: 45 (visual obs), 68 (visual obs)</t>
        </r>
      </text>
    </comment>
    <comment ref="M79" authorId="0">
      <text>
        <r>
          <rPr>
            <b/>
            <sz val="9"/>
            <color indexed="81"/>
            <rFont val="Tahoma"/>
            <family val="2"/>
          </rPr>
          <t>Emma Cashman Kelsey:</t>
        </r>
        <r>
          <rPr>
            <sz val="9"/>
            <color indexed="81"/>
            <rFont val="Tahoma"/>
            <family val="2"/>
          </rPr>
          <t xml:space="preserve">
Cook 2012: 45 (visual obs), 68 (visual obs)</t>
        </r>
      </text>
    </comment>
  </commentList>
</comments>
</file>

<file path=xl/comments4.xml><?xml version="1.0" encoding="utf-8"?>
<comments xmlns="http://schemas.openxmlformats.org/spreadsheetml/2006/main">
  <authors>
    <author>Emma Cashman Kelsey</author>
  </authors>
  <commentList>
    <comment ref="B8" authorId="0">
      <text>
        <r>
          <rPr>
            <b/>
            <sz val="9"/>
            <color indexed="81"/>
            <rFont val="Tahoma"/>
            <family val="2"/>
          </rPr>
          <t>Emma Cashman Kelsey:</t>
        </r>
        <r>
          <rPr>
            <sz val="9"/>
            <color indexed="81"/>
            <rFont val="Tahoma"/>
            <family val="2"/>
          </rPr>
          <t xml:space="preserve">
aka great northern diver</t>
        </r>
      </text>
    </comment>
    <comment ref="B9" authorId="0">
      <text>
        <r>
          <rPr>
            <b/>
            <sz val="9"/>
            <color indexed="81"/>
            <rFont val="Tahoma"/>
            <family val="2"/>
          </rPr>
          <t>Emma Cashman Kelsey:</t>
        </r>
        <r>
          <rPr>
            <sz val="9"/>
            <color indexed="81"/>
            <rFont val="Tahoma"/>
            <family val="2"/>
          </rPr>
          <t xml:space="preserve">
sub spp of arctic/black-throated loon</t>
        </r>
      </text>
    </comment>
    <comment ref="B11" authorId="0">
      <text>
        <r>
          <rPr>
            <b/>
            <sz val="9"/>
            <color indexed="81"/>
            <rFont val="Tahoma"/>
            <family val="2"/>
          </rPr>
          <t>Emma Cashman Kelsey:</t>
        </r>
        <r>
          <rPr>
            <sz val="9"/>
            <color indexed="81"/>
            <rFont val="Tahoma"/>
            <family val="2"/>
          </rPr>
          <t xml:space="preserve">
aka white-billed diver</t>
        </r>
      </text>
    </comment>
    <comment ref="B14" authorId="0">
      <text>
        <r>
          <rPr>
            <b/>
            <sz val="9"/>
            <color indexed="81"/>
            <rFont val="Tahoma"/>
            <family val="2"/>
          </rPr>
          <t>Emma Cashman Kelsey:</t>
        </r>
        <r>
          <rPr>
            <sz val="9"/>
            <color indexed="81"/>
            <rFont val="Tahoma"/>
            <family val="2"/>
          </rPr>
          <t xml:space="preserve">
aka- black-necked grebe</t>
        </r>
      </text>
    </comment>
    <comment ref="B15" authorId="0">
      <text>
        <r>
          <rPr>
            <b/>
            <sz val="9"/>
            <color indexed="81"/>
            <rFont val="Tahoma"/>
            <family val="2"/>
          </rPr>
          <t>Emma Cashman Kelsey:</t>
        </r>
        <r>
          <rPr>
            <sz val="9"/>
            <color indexed="81"/>
            <rFont val="Tahoma"/>
            <family val="2"/>
          </rPr>
          <t xml:space="preserve">
aka- Slavonian grebe</t>
        </r>
      </text>
    </comment>
  </commentList>
</comments>
</file>

<file path=xl/comments5.xml><?xml version="1.0" encoding="utf-8"?>
<comments xmlns="http://schemas.openxmlformats.org/spreadsheetml/2006/main">
  <authors>
    <author>Emma Cashman Kelsey</author>
    <author>Emma Kelsey</author>
  </authors>
  <commentList>
    <comment ref="I2" authorId="0">
      <text>
        <r>
          <rPr>
            <b/>
            <sz val="9"/>
            <color indexed="81"/>
            <rFont val="Tahoma"/>
            <family val="2"/>
          </rPr>
          <t>Emma Cashman Kelsey:</t>
        </r>
        <r>
          <rPr>
            <sz val="9"/>
            <color indexed="81"/>
            <rFont val="Tahoma"/>
            <family val="2"/>
          </rPr>
          <t xml:space="preserve">
Furness and Wade: Common scoter and Velvet scoter = 3</t>
        </r>
      </text>
    </comment>
    <comment ref="O2" authorId="0">
      <text>
        <r>
          <rPr>
            <b/>
            <sz val="9"/>
            <color indexed="81"/>
            <rFont val="Tahoma"/>
            <family val="2"/>
          </rPr>
          <t>Emma Cashman Kelsey:</t>
        </r>
        <r>
          <rPr>
            <sz val="9"/>
            <color indexed="81"/>
            <rFont val="Tahoma"/>
            <family val="2"/>
          </rPr>
          <t xml:space="preserve">
Borage and Savard: "Ninety percent animals (65% mollusks, 17% crustaceans), 10% plants (Cottam 1939). Diet in fresh water dominated by aquatic insects and invertebrates, in salt water by mollusks."</t>
        </r>
      </text>
    </comment>
    <comment ref="C3" authorId="0">
      <text>
        <r>
          <rPr>
            <b/>
            <sz val="9"/>
            <color indexed="81"/>
            <rFont val="Tahoma"/>
            <family val="2"/>
          </rPr>
          <t>Emma Cashman Kelsey:</t>
        </r>
        <r>
          <rPr>
            <sz val="9"/>
            <color indexed="81"/>
            <rFont val="Tahoma"/>
            <family val="2"/>
          </rPr>
          <t xml:space="preserve">
Savard 1998: usually migrates over land at night</t>
        </r>
      </text>
    </comment>
    <comment ref="I3" authorId="0">
      <text>
        <r>
          <rPr>
            <b/>
            <sz val="9"/>
            <color indexed="81"/>
            <rFont val="Tahoma"/>
            <family val="2"/>
          </rPr>
          <t>Emma Cashman Kelsey:</t>
        </r>
        <r>
          <rPr>
            <sz val="9"/>
            <color indexed="81"/>
            <rFont val="Tahoma"/>
            <family val="2"/>
          </rPr>
          <t xml:space="preserve">
Furness and Wade: Common scoter and Velvet scoter = 3</t>
        </r>
      </text>
    </comment>
    <comment ref="O3" authorId="0">
      <text>
        <r>
          <rPr>
            <b/>
            <sz val="9"/>
            <color indexed="81"/>
            <rFont val="Tahoma"/>
            <family val="2"/>
          </rPr>
          <t>Emma Cashman Kelsey:</t>
        </r>
        <r>
          <rPr>
            <sz val="9"/>
            <color indexed="81"/>
            <rFont val="Tahoma"/>
            <family val="2"/>
          </rPr>
          <t xml:space="preserve">
Savard et al. 1998: " Adults feed mostly on mollusks (mussels, clams) when staging, molting, or wintering in salt waters (Stott and Olson 1973, Vermeer 1981, Vermeer and Bourne 1984). Feed on herring eggs whenever available during spring migration, especially on West Coast (Vermeer 1981). No differences reported in diet of males and females. On breeding areas, feed on variety of freshwater invertebrates (Bergeron et al. 1996). Ducklings feed on variety of insect larvae (CGGG 1990b, 1993b), switching to mollusks upon reaching salt water."</t>
        </r>
      </text>
    </comment>
    <comment ref="F4" authorId="0">
      <text>
        <r>
          <rPr>
            <b/>
            <sz val="9"/>
            <color indexed="81"/>
            <rFont val="Tahoma"/>
            <family val="2"/>
          </rPr>
          <t>Emma Cashman Kelsey:</t>
        </r>
        <r>
          <rPr>
            <sz val="9"/>
            <color indexed="81"/>
            <rFont val="Tahoma"/>
            <family val="2"/>
          </rPr>
          <t xml:space="preserve">
Brown 1997: "over water, usually travels by day and night"</t>
        </r>
      </text>
    </comment>
    <comment ref="I4" authorId="0">
      <text>
        <r>
          <rPr>
            <b/>
            <sz val="9"/>
            <color indexed="81"/>
            <rFont val="Tahoma"/>
            <family val="2"/>
          </rPr>
          <t>Emma Cashman Kelsey:</t>
        </r>
        <r>
          <rPr>
            <sz val="9"/>
            <color indexed="81"/>
            <rFont val="Tahoma"/>
            <family val="2"/>
          </rPr>
          <t xml:space="preserve">
Furness and Wade: Common scoter and Velvet scoter = 3</t>
        </r>
      </text>
    </comment>
    <comment ref="O4" authorId="0">
      <text>
        <r>
          <rPr>
            <b/>
            <sz val="9"/>
            <color indexed="81"/>
            <rFont val="Tahoma"/>
            <family val="2"/>
          </rPr>
          <t>Emma Cashman Kelsey:</t>
        </r>
        <r>
          <rPr>
            <sz val="9"/>
            <color indexed="81"/>
            <rFont val="Tahoma"/>
            <family val="2"/>
          </rPr>
          <t xml:space="preserve">
Brown: "Chiefly a bottom feeder. Aquatic and marine mollusks (especially bivalves), crustaceans, and insects. Occasionally, aquatic plants and fish."</t>
        </r>
      </text>
    </comment>
    <comment ref="O5" authorId="0">
      <text>
        <r>
          <rPr>
            <b/>
            <sz val="9"/>
            <color indexed="81"/>
            <rFont val="Tahoma"/>
            <family val="2"/>
          </rPr>
          <t>Emma Cashman Kelsey:</t>
        </r>
        <r>
          <rPr>
            <sz val="9"/>
            <color indexed="81"/>
            <rFont val="Tahoma"/>
            <family val="2"/>
          </rPr>
          <t xml:space="preserve">
Lewis: "Eelgrass is preferred food during the nonbreeding season, both in North America (Cottam et al. 1944, Henry 1980, Kirby and Obrecht 1980, Ward 1983) and in w. Europe (Madsen 1988, O’Briain 1991, Inger et al. 2008). No other goose species relies so heavily on a single native food plant."</t>
        </r>
      </text>
    </comment>
    <comment ref="O6" authorId="0">
      <text>
        <r>
          <rPr>
            <b/>
            <sz val="9"/>
            <color indexed="81"/>
            <rFont val="Tahoma"/>
            <family val="2"/>
          </rPr>
          <t>Emma Cashman Kelsey:</t>
        </r>
        <r>
          <rPr>
            <sz val="9"/>
            <color indexed="81"/>
            <rFont val="Tahoma"/>
            <family val="2"/>
          </rPr>
          <t xml:space="preserve">
Mallory and Metz: "Primarily small fish, but also aquatic invertebrates (insects, mollusks, crustaceans, worms), frogs, small mammals, birds, and plants"</t>
        </r>
      </text>
    </comment>
    <comment ref="L7" authorId="0">
      <text>
        <r>
          <rPr>
            <b/>
            <sz val="9"/>
            <color indexed="81"/>
            <rFont val="Tahoma"/>
            <family val="2"/>
          </rPr>
          <t>Emma Cashman Kelsey:</t>
        </r>
        <r>
          <rPr>
            <sz val="9"/>
            <color indexed="81"/>
            <rFont val="Tahoma"/>
            <family val="2"/>
          </rPr>
          <t xml:space="preserve">
Bradbury 2014 = 3</t>
        </r>
      </text>
    </comment>
    <comment ref="O7" authorId="0">
      <text>
        <r>
          <rPr>
            <b/>
            <sz val="9"/>
            <color indexed="81"/>
            <rFont val="Tahoma"/>
            <family val="2"/>
          </rPr>
          <t>Emma Cashman Kelsey:</t>
        </r>
        <r>
          <rPr>
            <sz val="9"/>
            <color indexed="81"/>
            <rFont val="Tahoma"/>
            <family val="2"/>
          </rPr>
          <t xml:space="preserve">
Titman: "Small fish (10–15 cm) and crustaceans; also worms, insects, and amphibians."</t>
        </r>
      </text>
    </comment>
    <comment ref="B8" authorId="0">
      <text>
        <r>
          <rPr>
            <b/>
            <sz val="9"/>
            <color indexed="81"/>
            <rFont val="Tahoma"/>
            <family val="2"/>
          </rPr>
          <t>Emma Cashman Kelsey:</t>
        </r>
        <r>
          <rPr>
            <sz val="9"/>
            <color indexed="81"/>
            <rFont val="Tahoma"/>
            <family val="2"/>
          </rPr>
          <t xml:space="preserve">
aka great northern diver</t>
        </r>
      </text>
    </comment>
    <comment ref="O8" authorId="0">
      <text>
        <r>
          <rPr>
            <b/>
            <sz val="9"/>
            <color indexed="81"/>
            <rFont val="Tahoma"/>
            <family val="2"/>
          </rPr>
          <t>Emma Cashman Kelsey:</t>
        </r>
        <r>
          <rPr>
            <sz val="9"/>
            <color indexed="81"/>
            <rFont val="Tahoma"/>
            <family val="2"/>
          </rPr>
          <t xml:space="preserve">
Evers et al: "Primarily live fish, opportunistically taken (see McIntyre and Barr 1997 for list of known species), although preferences are known. Also some crustaceans during the breeding and winter periods."
Furness et al., Willmott et al., = 3</t>
        </r>
      </text>
    </comment>
    <comment ref="B9" authorId="0">
      <text>
        <r>
          <rPr>
            <b/>
            <sz val="9"/>
            <color indexed="81"/>
            <rFont val="Tahoma"/>
            <family val="2"/>
          </rPr>
          <t>Emma Cashman Kelsey:</t>
        </r>
        <r>
          <rPr>
            <sz val="9"/>
            <color indexed="81"/>
            <rFont val="Tahoma"/>
            <family val="2"/>
          </rPr>
          <t xml:space="preserve">
sub spp of arctic/black-throated loon</t>
        </r>
      </text>
    </comment>
    <comment ref="O9" authorId="0">
      <text>
        <r>
          <rPr>
            <b/>
            <sz val="9"/>
            <color indexed="81"/>
            <rFont val="Tahoma"/>
            <family val="2"/>
          </rPr>
          <t>Emma Cashman Kelsey:</t>
        </r>
        <r>
          <rPr>
            <sz val="9"/>
            <color indexed="81"/>
            <rFont val="Tahoma"/>
            <family val="2"/>
          </rPr>
          <t xml:space="preserve">
Russell: "Fish and aquatic invertebrates."</t>
        </r>
      </text>
    </comment>
    <comment ref="O10" authorId="1">
      <text>
        <r>
          <rPr>
            <b/>
            <sz val="9"/>
            <color indexed="81"/>
            <rFont val="Calibri"/>
            <family val="2"/>
          </rPr>
          <t>Emma Kelsey:</t>
        </r>
        <r>
          <rPr>
            <sz val="9"/>
            <color indexed="81"/>
            <rFont val="Calibri"/>
            <family val="2"/>
          </rPr>
          <t xml:space="preserve">
Garthe and Huppop 2004; Furness and Wade 2012; Furness et al. 2013; Willmott et al. 2013 = 4</t>
        </r>
      </text>
    </comment>
    <comment ref="B11" authorId="0">
      <text>
        <r>
          <rPr>
            <b/>
            <sz val="9"/>
            <color indexed="81"/>
            <rFont val="Tahoma"/>
            <family val="2"/>
          </rPr>
          <t>Emma Cashman Kelsey:</t>
        </r>
        <r>
          <rPr>
            <sz val="9"/>
            <color indexed="81"/>
            <rFont val="Tahoma"/>
            <family val="2"/>
          </rPr>
          <t xml:space="preserve">
aka white-billed diver</t>
        </r>
      </text>
    </comment>
    <comment ref="O11" authorId="0">
      <text>
        <r>
          <rPr>
            <b/>
            <sz val="9"/>
            <color indexed="81"/>
            <rFont val="Tahoma"/>
            <family val="2"/>
          </rPr>
          <t>Emma Cashman Kelsey:</t>
        </r>
        <r>
          <rPr>
            <sz val="9"/>
            <color indexed="81"/>
            <rFont val="Tahoma"/>
            <family val="2"/>
          </rPr>
          <t xml:space="preserve">
North: "Primarily fish, some invertebrates and vegetation."</t>
        </r>
      </text>
    </comment>
    <comment ref="L12" authorId="0">
      <text>
        <r>
          <rPr>
            <b/>
            <sz val="9"/>
            <color indexed="81"/>
            <rFont val="Tahoma"/>
            <family val="2"/>
          </rPr>
          <t>Emma Cashman Kelsey:</t>
        </r>
        <r>
          <rPr>
            <sz val="9"/>
            <color indexed="81"/>
            <rFont val="Tahoma"/>
            <family val="2"/>
          </rPr>
          <t xml:space="preserve">
Bradbury 2014: grebes = 3
</t>
        </r>
      </text>
    </comment>
    <comment ref="O12" authorId="0">
      <text>
        <r>
          <rPr>
            <b/>
            <sz val="9"/>
            <color indexed="81"/>
            <rFont val="Tahoma"/>
            <family val="2"/>
          </rPr>
          <t>Emma Cashman Kelsey:</t>
        </r>
        <r>
          <rPr>
            <sz val="9"/>
            <color indexed="81"/>
            <rFont val="Tahoma"/>
            <family val="2"/>
          </rPr>
          <t xml:space="preserve">
LaPorte et al.: "Wide variety of fishes taken (e.g., Palmer 1962) suggests that although Western Grebes are fish specialists, they are opportunists when it comes to species of fish taken"</t>
        </r>
      </text>
    </comment>
    <comment ref="L13" authorId="0">
      <text>
        <r>
          <rPr>
            <b/>
            <sz val="9"/>
            <color indexed="81"/>
            <rFont val="Tahoma"/>
            <family val="2"/>
          </rPr>
          <t>Emma Cashman Kelsey:</t>
        </r>
        <r>
          <rPr>
            <sz val="9"/>
            <color indexed="81"/>
            <rFont val="Tahoma"/>
            <family val="2"/>
          </rPr>
          <t xml:space="preserve">
Bradbury 2014: grebes = 3</t>
        </r>
      </text>
    </comment>
    <comment ref="O13" authorId="0">
      <text>
        <r>
          <rPr>
            <b/>
            <sz val="9"/>
            <color indexed="81"/>
            <rFont val="Tahoma"/>
            <family val="2"/>
          </rPr>
          <t>Emma Cashman Kelsey:</t>
        </r>
        <r>
          <rPr>
            <sz val="9"/>
            <color indexed="81"/>
            <rFont val="Tahoma"/>
            <family val="2"/>
          </rPr>
          <t xml:space="preserve">
LaPorte et al.: "Wide variety of fishes taken (e.g., Palmer 1962) suggests that although Western Grebes are fish specialists, they are opportunists when it comes to species of fish taken"</t>
        </r>
      </text>
    </comment>
    <comment ref="B14" authorId="0">
      <text>
        <r>
          <rPr>
            <b/>
            <sz val="9"/>
            <color indexed="81"/>
            <rFont val="Tahoma"/>
            <family val="2"/>
          </rPr>
          <t>Emma Cashman Kelsey:</t>
        </r>
        <r>
          <rPr>
            <sz val="9"/>
            <color indexed="81"/>
            <rFont val="Tahoma"/>
            <family val="2"/>
          </rPr>
          <t xml:space="preserve">
aka- black-necked grebe</t>
        </r>
      </text>
    </comment>
    <comment ref="C14" authorId="0">
      <text>
        <r>
          <rPr>
            <b/>
            <sz val="9"/>
            <color indexed="81"/>
            <rFont val="Tahoma"/>
            <family val="2"/>
          </rPr>
          <t>Emma Cashman Kelsey:</t>
        </r>
        <r>
          <rPr>
            <sz val="9"/>
            <color indexed="81"/>
            <rFont val="Tahoma"/>
            <family val="2"/>
          </rPr>
          <t xml:space="preserve">
Cullen 1999: migration is entirely nocternal</t>
        </r>
      </text>
    </comment>
    <comment ref="L14" authorId="0">
      <text>
        <r>
          <rPr>
            <b/>
            <sz val="9"/>
            <color indexed="81"/>
            <rFont val="Tahoma"/>
            <family val="2"/>
          </rPr>
          <t>Emma Cashman Kelsey:</t>
        </r>
        <r>
          <rPr>
            <sz val="9"/>
            <color indexed="81"/>
            <rFont val="Tahoma"/>
            <family val="2"/>
          </rPr>
          <t xml:space="preserve">
Bradbury 2014: grebes = 3</t>
        </r>
      </text>
    </comment>
    <comment ref="O14" authorId="0">
      <text>
        <r>
          <rPr>
            <b/>
            <sz val="9"/>
            <color indexed="81"/>
            <rFont val="Tahoma"/>
            <family val="2"/>
          </rPr>
          <t>Emma Cashman Kelsey:</t>
        </r>
        <r>
          <rPr>
            <sz val="9"/>
            <color indexed="81"/>
            <rFont val="Tahoma"/>
            <family val="2"/>
          </rPr>
          <t xml:space="preserve">
Cullen et al.: "Wide variety of aquatic prey, principally invertebrates including small crustaceans (especially brine shrimp [Artemia sp.]), insects also less frequently takes small fish, mollusks, amphibians."</t>
        </r>
      </text>
    </comment>
    <comment ref="B15" authorId="0">
      <text>
        <r>
          <rPr>
            <b/>
            <sz val="9"/>
            <color indexed="81"/>
            <rFont val="Tahoma"/>
            <family val="2"/>
          </rPr>
          <t>Emma Cashman Kelsey:</t>
        </r>
        <r>
          <rPr>
            <sz val="9"/>
            <color indexed="81"/>
            <rFont val="Tahoma"/>
            <family val="2"/>
          </rPr>
          <t xml:space="preserve">
aka- Slavonian grebe</t>
        </r>
      </text>
    </comment>
    <comment ref="L15" authorId="0">
      <text>
        <r>
          <rPr>
            <b/>
            <sz val="9"/>
            <color indexed="81"/>
            <rFont val="Tahoma"/>
            <family val="2"/>
          </rPr>
          <t>Emma Cashman Kelsey:</t>
        </r>
        <r>
          <rPr>
            <sz val="9"/>
            <color indexed="81"/>
            <rFont val="Tahoma"/>
            <family val="2"/>
          </rPr>
          <t xml:space="preserve">
Bradbury 2014: grebes = 3</t>
        </r>
      </text>
    </comment>
    <comment ref="O15" authorId="0">
      <text>
        <r>
          <rPr>
            <b/>
            <sz val="9"/>
            <color indexed="81"/>
            <rFont val="Tahoma"/>
            <family val="2"/>
          </rPr>
          <t>Emma Cashman Kelsey:</t>
        </r>
        <r>
          <rPr>
            <sz val="9"/>
            <color indexed="81"/>
            <rFont val="Tahoma"/>
            <family val="2"/>
          </rPr>
          <t xml:space="preserve">
Stedman:  "Aquatic arthropods in summer, fish and crustaceans in winter… Opportunistically exploits locally and temporally abundant or superabundant prey (Fjeldså 1973c). During winter, tends to prey on benthic, rather than midwater, species (Madsen 1957, Ainley and Sanger 1979)."
Furness and Wade, Willmott = 4</t>
        </r>
      </text>
    </comment>
    <comment ref="L16" authorId="0">
      <text>
        <r>
          <rPr>
            <b/>
            <sz val="9"/>
            <color indexed="81"/>
            <rFont val="Tahoma"/>
            <family val="2"/>
          </rPr>
          <t>Emma Cashman Kelsey:</t>
        </r>
        <r>
          <rPr>
            <sz val="9"/>
            <color indexed="81"/>
            <rFont val="Tahoma"/>
            <family val="2"/>
          </rPr>
          <t xml:space="preserve">
Bradbury 2014: grebes = 3</t>
        </r>
      </text>
    </comment>
    <comment ref="O16" authorId="0">
      <text>
        <r>
          <rPr>
            <b/>
            <sz val="9"/>
            <color indexed="81"/>
            <rFont val="Tahoma"/>
            <family val="2"/>
          </rPr>
          <t>Emma Cashman Kelsey:</t>
        </r>
        <r>
          <rPr>
            <sz val="9"/>
            <color indexed="81"/>
            <rFont val="Tahoma"/>
            <family val="2"/>
          </rPr>
          <t xml:space="preserve">
Stout and Nuechterlein: "Fish, crustaceans, and aquatic insects."
Garthe and Huppop, Willmott = 3</t>
        </r>
      </text>
    </comment>
    <comment ref="O17" authorId="0">
      <text>
        <r>
          <rPr>
            <b/>
            <sz val="9"/>
            <color indexed="81"/>
            <rFont val="Tahoma"/>
            <family val="2"/>
          </rPr>
          <t>Emma Cashman Kelsey:</t>
        </r>
        <r>
          <rPr>
            <sz val="9"/>
            <color indexed="81"/>
            <rFont val="Tahoma"/>
            <family val="2"/>
          </rPr>
          <t xml:space="preserve">
Awkerman: "primarily flying fish eggs, followed by squid and crustacea... One study found differences in 15N that suggest Black-foots forage at a higher trophic level than Laysan, perhaps reflecting the tendency of Black-foots to scavenge prey items…"</t>
        </r>
      </text>
    </comment>
    <comment ref="O18" authorId="0">
      <text>
        <r>
          <rPr>
            <b/>
            <sz val="9"/>
            <color indexed="81"/>
            <rFont val="Tahoma"/>
            <family val="2"/>
          </rPr>
          <t>Emma Cashman Kelsey:</t>
        </r>
        <r>
          <rPr>
            <sz val="9"/>
            <color indexed="81"/>
            <rFont val="Tahoma"/>
            <family val="2"/>
          </rPr>
          <t xml:space="preserve">
Awkerman: "Squid, flying fish eggs, crustaceans, fish (Harrison et al. 1983)."</t>
        </r>
      </text>
    </comment>
    <comment ref="C20" authorId="1">
      <text>
        <r>
          <rPr>
            <b/>
            <sz val="9"/>
            <color indexed="81"/>
            <rFont val="Calibri"/>
            <family val="2"/>
          </rPr>
          <t>Emma Kelsey:</t>
        </r>
        <r>
          <rPr>
            <sz val="9"/>
            <color indexed="81"/>
            <rFont val="Calibri"/>
            <family val="2"/>
          </rPr>
          <t xml:space="preserve">
del Hoyo: may feed more at night than other shearwaters (surface-seizing, dipping, rarely dives)</t>
        </r>
      </text>
    </comment>
    <comment ref="L21" authorId="0">
      <text>
        <r>
          <rPr>
            <b/>
            <sz val="9"/>
            <color indexed="81"/>
            <rFont val="Tahoma"/>
            <family val="2"/>
          </rPr>
          <t>Emma Cashman Kelsey:</t>
        </r>
        <r>
          <rPr>
            <sz val="9"/>
            <color indexed="81"/>
            <rFont val="Tahoma"/>
            <family val="2"/>
          </rPr>
          <t xml:space="preserve">
Bradbury 2014= 1 (scale inverted, 1=lowest level of disturbance)</t>
        </r>
      </text>
    </comment>
    <comment ref="O21" authorId="0">
      <text>
        <r>
          <rPr>
            <b/>
            <sz val="9"/>
            <color indexed="81"/>
            <rFont val="Tahoma"/>
            <family val="2"/>
          </rPr>
          <t>Emma Cashman Kelsey:</t>
        </r>
        <r>
          <rPr>
            <sz val="9"/>
            <color indexed="81"/>
            <rFont val="Tahoma"/>
            <family val="2"/>
          </rPr>
          <t xml:space="preserve">
Lee and Haney 1996: "Mostly small, schooling bait fish, especially Clupeiformes (herring, sardines, anchovies, etc). Also cephalopods, small crustaceans, and offal."</t>
        </r>
      </text>
    </comment>
    <comment ref="F23" authorId="1">
      <text>
        <r>
          <rPr>
            <b/>
            <sz val="9"/>
            <color indexed="81"/>
            <rFont val="Calibri"/>
            <family val="2"/>
          </rPr>
          <t>Emma Kelsey:</t>
        </r>
        <r>
          <rPr>
            <sz val="9"/>
            <color indexed="81"/>
            <rFont val="Calibri"/>
            <family val="2"/>
          </rPr>
          <t xml:space="preserve">
del Hoyo: mostly diurnal feeder
</t>
        </r>
      </text>
    </comment>
    <comment ref="C26" authorId="0">
      <text>
        <r>
          <rPr>
            <b/>
            <sz val="9"/>
            <color indexed="81"/>
            <rFont val="Tahoma"/>
            <family val="2"/>
          </rPr>
          <t>Emma Cashman Kelsey:</t>
        </r>
        <r>
          <rPr>
            <sz val="9"/>
            <color indexed="81"/>
            <rFont val="Tahoma"/>
            <family val="2"/>
          </rPr>
          <t xml:space="preserve">
Keitt 2000: "often in flight, may rest on water when wind is light"</t>
        </r>
      </text>
    </comment>
    <comment ref="F26" authorId="0">
      <text>
        <r>
          <rPr>
            <b/>
            <sz val="9"/>
            <color indexed="81"/>
            <rFont val="Tahoma"/>
            <family val="2"/>
          </rPr>
          <t>Emma Cashman Kelsey:</t>
        </r>
        <r>
          <rPr>
            <sz val="9"/>
            <color indexed="81"/>
            <rFont val="Tahoma"/>
            <family val="2"/>
          </rPr>
          <t xml:space="preserve">
Keitt 2000: "often in flight, may rest on water when wind is light"</t>
        </r>
      </text>
    </comment>
    <comment ref="C29" authorId="1">
      <text>
        <r>
          <rPr>
            <b/>
            <sz val="9"/>
            <color indexed="81"/>
            <rFont val="Calibri"/>
            <family val="2"/>
          </rPr>
          <t>Emma Kelsey:</t>
        </r>
        <r>
          <rPr>
            <sz val="9"/>
            <color indexed="81"/>
            <rFont val="Calibri"/>
            <family val="2"/>
          </rPr>
          <t xml:space="preserve">
del Hoyo: feeds at night</t>
        </r>
      </text>
    </comment>
    <comment ref="C31" authorId="0">
      <text>
        <r>
          <rPr>
            <b/>
            <sz val="9"/>
            <color indexed="81"/>
            <rFont val="Tahoma"/>
            <family val="2"/>
          </rPr>
          <t>Emma Cashman Kelsey:</t>
        </r>
        <r>
          <rPr>
            <sz val="9"/>
            <color indexed="81"/>
            <rFont val="Tahoma"/>
            <family val="2"/>
          </rPr>
          <t xml:space="preserve">
Ainley 1995: "During the autumn molt, and during daylight especially on days of highest winds in other parts of the year, Ashy Storm-Petrels frequently raft in small to vast numbers on the sea surface."</t>
        </r>
      </text>
    </comment>
    <comment ref="F31" authorId="0">
      <text>
        <r>
          <rPr>
            <b/>
            <sz val="9"/>
            <color indexed="81"/>
            <rFont val="Tahoma"/>
            <family val="2"/>
          </rPr>
          <t>Emma Cashman Kelsey:</t>
        </r>
        <r>
          <rPr>
            <sz val="9"/>
            <color indexed="81"/>
            <rFont val="Tahoma"/>
            <family val="2"/>
          </rPr>
          <t xml:space="preserve">
Ainley 1995: "During the autumn molt, and during daylight especially on days of highest winds in other parts of the year, Ashy Storm-Petrels frequently raft in small to vast numbers on the sea surface."
</t>
        </r>
      </text>
    </comment>
    <comment ref="O31" authorId="1">
      <text>
        <r>
          <rPr>
            <b/>
            <sz val="9"/>
            <color indexed="81"/>
            <rFont val="Calibri"/>
            <family val="2"/>
          </rPr>
          <t>Emma Kelsey:</t>
        </r>
        <r>
          <rPr>
            <sz val="9"/>
            <color indexed="81"/>
            <rFont val="Calibri"/>
            <family val="2"/>
          </rPr>
          <t xml:space="preserve">
del Hoyo: limited distribution suggests food specialist</t>
        </r>
      </text>
    </comment>
    <comment ref="O33" authorId="0">
      <text>
        <r>
          <rPr>
            <b/>
            <sz val="9"/>
            <color indexed="81"/>
            <rFont val="Tahoma"/>
            <family val="2"/>
          </rPr>
          <t>Emma Cashman Kelsey:</t>
        </r>
        <r>
          <rPr>
            <sz val="9"/>
            <color indexed="81"/>
            <rFont val="Tahoma"/>
            <family val="2"/>
          </rPr>
          <t xml:space="preserve">
Boersma: "Primarily nektonic crustaceans and fish from top layer of sea (Palmer 1962). Opportunistic, seen scavenging on remains of dead marine mammals (Gill 1977). Also follows boats and feeds on their discharges"</t>
        </r>
      </text>
    </comment>
    <comment ref="C34" authorId="1">
      <text>
        <r>
          <rPr>
            <b/>
            <sz val="9"/>
            <color indexed="81"/>
            <rFont val="Calibri"/>
            <family val="2"/>
          </rPr>
          <t>Emma Kelsey:</t>
        </r>
        <r>
          <rPr>
            <sz val="9"/>
            <color indexed="81"/>
            <rFont val="Calibri"/>
            <family val="2"/>
          </rPr>
          <t xml:space="preserve">
del Hoyo: may feed at both day and night</t>
        </r>
      </text>
    </comment>
    <comment ref="O34" authorId="0">
      <text>
        <r>
          <rPr>
            <b/>
            <sz val="9"/>
            <color indexed="81"/>
            <rFont val="Tahoma"/>
            <family val="2"/>
          </rPr>
          <t>Emma Cashman Kelsey:</t>
        </r>
        <r>
          <rPr>
            <sz val="9"/>
            <color indexed="81"/>
            <rFont val="Tahoma"/>
            <family val="2"/>
          </rPr>
          <t xml:space="preserve">
Huntington: "Vary geographically and seasonally, depending on available prey species, which include fishes (myctophids, cod, rockfish), cephalopods (squids, octopuses), crustaceans (euphausiids, decapods, amphipods, isopods, mysids, copepods), and jellyfish (Scyphozoa)"
Willmott et al. = 1</t>
        </r>
      </text>
    </comment>
    <comment ref="O36" authorId="0">
      <text>
        <r>
          <rPr>
            <b/>
            <sz val="9"/>
            <color indexed="81"/>
            <rFont val="Tahoma"/>
            <family val="2"/>
          </rPr>
          <t>Emma Cashman Kelsey:</t>
        </r>
        <r>
          <rPr>
            <sz val="9"/>
            <color indexed="81"/>
            <rFont val="Tahoma"/>
            <family val="2"/>
          </rPr>
          <t xml:space="preserve">
Shields 2014: "Highly dependent upon northern anchovy (Engraulis mordax) in California and along Pacific coast of Mexico (Anderson et al. 1980, 1982). Pacific sardines (Sardinops sagax) have been equally important to anchovies in S. California Bight since 1993 (F. Gress pers. comm.)."
Willmott = 1</t>
        </r>
      </text>
    </comment>
    <comment ref="O37" authorId="0">
      <text>
        <r>
          <rPr>
            <b/>
            <sz val="9"/>
            <color indexed="81"/>
            <rFont val="Tahoma"/>
            <family val="2"/>
          </rPr>
          <t>Emma Cashman Kelsey:</t>
        </r>
        <r>
          <rPr>
            <sz val="9"/>
            <color indexed="81"/>
            <rFont val="Tahoma"/>
            <family val="2"/>
          </rPr>
          <t xml:space="preserve">
Knopf and Evans: "In contrast to other Pelecaniforms that dive and actively pursue prey of specific species or size, white pelican is highly opportunistic in foraging (Knopf and Kennedy 1981).  Comparisons of diet regionally show a predominance in numbers of smaller food items as crayfish, native minnows, and salamanders but the significant biomass usually being represented by carp and minnows."</t>
        </r>
      </text>
    </comment>
    <comment ref="F38" authorId="0">
      <text>
        <r>
          <rPr>
            <b/>
            <sz val="9"/>
            <color indexed="81"/>
            <rFont val="Tahoma"/>
            <family val="2"/>
          </rPr>
          <t>Emma Cashman Kelsey:</t>
        </r>
        <r>
          <rPr>
            <sz val="9"/>
            <color indexed="81"/>
            <rFont val="Tahoma"/>
            <family val="2"/>
          </rPr>
          <t xml:space="preserve">
Wallace and Wallace 1998: does land on water</t>
        </r>
      </text>
    </comment>
    <comment ref="O38" authorId="0">
      <text>
        <r>
          <rPr>
            <b/>
            <sz val="9"/>
            <color indexed="81"/>
            <rFont val="Tahoma"/>
            <family val="2"/>
          </rPr>
          <t>Emma Cashman Kelsey:</t>
        </r>
        <r>
          <rPr>
            <sz val="9"/>
            <color indexed="81"/>
            <rFont val="Tahoma"/>
            <family val="2"/>
          </rPr>
          <t xml:space="preserve">
Ainley et al. 1981, Ainley and Boekelheide 1990</t>
        </r>
      </text>
    </comment>
    <comment ref="O39" authorId="1">
      <text>
        <r>
          <rPr>
            <b/>
            <sz val="9"/>
            <color indexed="81"/>
            <rFont val="Calibri"/>
            <family val="2"/>
          </rPr>
          <t>Emma Kelsey:</t>
        </r>
        <r>
          <rPr>
            <sz val="9"/>
            <color indexed="81"/>
            <rFont val="Calibri"/>
            <family val="2"/>
          </rPr>
          <t xml:space="preserve">
Willmott = 1</t>
        </r>
      </text>
    </comment>
    <comment ref="F40" authorId="0">
      <text>
        <r>
          <rPr>
            <b/>
            <sz val="9"/>
            <color indexed="81"/>
            <rFont val="Tahoma"/>
            <family val="2"/>
          </rPr>
          <t>Emma Cashman Kelsey:</t>
        </r>
        <r>
          <rPr>
            <sz val="9"/>
            <color indexed="81"/>
            <rFont val="Tahoma"/>
            <family val="2"/>
          </rPr>
          <t xml:space="preserve">
Hobson 2013: does land and take off from water</t>
        </r>
      </text>
    </comment>
    <comment ref="O40" authorId="0">
      <text>
        <r>
          <rPr>
            <b/>
            <sz val="9"/>
            <color indexed="81"/>
            <rFont val="Tahoma"/>
            <family val="2"/>
          </rPr>
          <t>Emma Cashman Kelsey:</t>
        </r>
        <r>
          <rPr>
            <sz val="9"/>
            <color indexed="81"/>
            <rFont val="Tahoma"/>
            <family val="2"/>
          </rPr>
          <t xml:space="preserve">
Siegel-Cousey and Litvinenko 1993: "Select a specific habitat to feed in, rather than specializing in a small number of prey."</t>
        </r>
      </text>
    </comment>
    <comment ref="L41" authorId="0">
      <text>
        <r>
          <rPr>
            <b/>
            <sz val="9"/>
            <color indexed="81"/>
            <rFont val="Tahoma"/>
            <family val="2"/>
          </rPr>
          <t>Emma Cashman Kelsey:</t>
        </r>
        <r>
          <rPr>
            <sz val="9"/>
            <color indexed="81"/>
            <rFont val="Tahoma"/>
            <family val="2"/>
          </rPr>
          <t xml:space="preserve">
RNPH:
Willmott 2013 = 4
Bradbury 2014 = 1</t>
        </r>
      </text>
    </comment>
    <comment ref="L42" authorId="0">
      <text>
        <r>
          <rPr>
            <b/>
            <sz val="9"/>
            <color indexed="81"/>
            <rFont val="Tahoma"/>
            <family val="2"/>
          </rPr>
          <t>Emma Cashman Kelsey:</t>
        </r>
        <r>
          <rPr>
            <sz val="9"/>
            <color indexed="81"/>
            <rFont val="Tahoma"/>
            <family val="2"/>
          </rPr>
          <t xml:space="preserve">
Willmott 2013 = 4
Bradbury 2014 = 1</t>
        </r>
      </text>
    </comment>
    <comment ref="O42" authorId="0">
      <text>
        <r>
          <rPr>
            <b/>
            <sz val="9"/>
            <color indexed="81"/>
            <rFont val="Tahoma"/>
            <family val="2"/>
          </rPr>
          <t>Emma Cashman Kelsey:</t>
        </r>
        <r>
          <rPr>
            <sz val="9"/>
            <color indexed="81"/>
            <rFont val="Tahoma"/>
            <family val="2"/>
          </rPr>
          <t xml:space="preserve">
Rubega et al. 2000: "Small aquatic invertebrates in freshwater, marine, and hypersaline environments, and adult, flying lifestages of aquatic insects. Very rarely, small fish ."</t>
        </r>
      </text>
    </comment>
    <comment ref="F44" authorId="0">
      <text>
        <r>
          <rPr>
            <b/>
            <sz val="9"/>
            <color indexed="81"/>
            <rFont val="Tahoma"/>
            <family val="2"/>
          </rPr>
          <t>Emma Cashman Kelsey:</t>
        </r>
        <r>
          <rPr>
            <sz val="9"/>
            <color indexed="81"/>
            <rFont val="Tahoma"/>
            <family val="2"/>
          </rPr>
          <t xml:space="preserve">
Willmott 2013 = 1
Burger and Gochfeld 2002: "mostly diurnal, but occasionally flies at night"</t>
        </r>
      </text>
    </comment>
    <comment ref="O44" authorId="0">
      <text>
        <r>
          <rPr>
            <b/>
            <sz val="9"/>
            <color indexed="81"/>
            <rFont val="Tahoma"/>
            <family val="2"/>
          </rPr>
          <t>Emma Cashman Kelsey:</t>
        </r>
        <r>
          <rPr>
            <sz val="9"/>
            <color indexed="81"/>
            <rFont val="Tahoma"/>
            <family val="2"/>
          </rPr>
          <t xml:space="preserve">
Burger and Gochfeld 2002: " Large concentrations gather opportunistically where prey is abundant. In breeding season, feeds mainly on insects, often catching them on the wing; in bays, feeds on insects and other small invertebrates, and small fish (Tangren 1982); at sea, feeds on small fish, shrimp and other small invertebrates (Gabrielson and Lincoln 1959), including amphipods (Lauro 1980, MG)."</t>
        </r>
      </text>
    </comment>
    <comment ref="F46" authorId="0">
      <text>
        <r>
          <rPr>
            <b/>
            <sz val="9"/>
            <color indexed="81"/>
            <rFont val="Tahoma"/>
            <family val="2"/>
          </rPr>
          <t>Emma Cashman Kelsey:</t>
        </r>
        <r>
          <rPr>
            <sz val="9"/>
            <color indexed="81"/>
            <rFont val="Tahoma"/>
            <family val="2"/>
          </rPr>
          <t xml:space="preserve">
Winkler 1996: "migratory movements observed during day… but extent of nocturnal migration not known."</t>
        </r>
      </text>
    </comment>
    <comment ref="O46" authorId="0">
      <text>
        <r>
          <rPr>
            <b/>
            <sz val="9"/>
            <color indexed="81"/>
            <rFont val="Tahoma"/>
            <family val="2"/>
          </rPr>
          <t>Emma Cashman Kelsey:</t>
        </r>
        <r>
          <rPr>
            <sz val="9"/>
            <color indexed="81"/>
            <rFont val="Tahoma"/>
            <family val="2"/>
          </rPr>
          <t xml:space="preserve">
Winkler: "An opportunistic feeder. Main food types eaten depend on where colony is located.  Small mammals, fish, birds, garbage, and variety of invertebrates (grasshoppers [Orthoptera], mayflies [Ephemeroptera], and damselflies [Odonata; both adults and nymphs], earthworms, brine shrimp [Artemia spp.], and many others) can make up large portions of diet"</t>
        </r>
      </text>
    </comment>
    <comment ref="O47" authorId="0">
      <text>
        <r>
          <rPr>
            <b/>
            <sz val="9"/>
            <color indexed="81"/>
            <rFont val="Tahoma"/>
            <family val="2"/>
          </rPr>
          <t>Emma Cashman Kelsey:</t>
        </r>
        <r>
          <rPr>
            <sz val="9"/>
            <color indexed="81"/>
            <rFont val="Tahoma"/>
            <family val="2"/>
          </rPr>
          <t xml:space="preserve">
Islam 2002: "A generalist predator feeding on a wide variety of small fish. Additionally, feeds on shrimp and other crustaceans, amphipods, small mollusks, squid (Ommastrephidae), lizards, and insects. At breeding colonies, preys on eggs. Also, scavenges with other gulls along shoreline and beaches for refuse and carrion (Bent 1921, Kaufman 1996)"</t>
        </r>
      </text>
    </comment>
    <comment ref="O50" authorId="0">
      <text>
        <r>
          <rPr>
            <b/>
            <sz val="9"/>
            <color indexed="81"/>
            <rFont val="Tahoma"/>
            <family val="2"/>
          </rPr>
          <t>Emma Cashman Kelsey:</t>
        </r>
        <r>
          <rPr>
            <sz val="9"/>
            <color indexed="81"/>
            <rFont val="Tahoma"/>
            <family val="2"/>
          </rPr>
          <t xml:space="preserve">
Pierotti and Good: "An opportunistic feeder, mainly fish, especially capelin (Mallotus villosus), eulachon, and other surface fish (Salomonsen 1951; Goethe 1986; Tobish 1995, 1996). Also carrion, offal in harbors, marine invertebrates, and occasionally eggs and young of other birds. Takes some terrestrial plants, algae, berries in late summer (see Diet, below)."</t>
        </r>
      </text>
    </comment>
    <comment ref="O51" authorId="0">
      <text>
        <r>
          <rPr>
            <b/>
            <sz val="9"/>
            <color indexed="81"/>
            <rFont val="Tahoma"/>
            <family val="2"/>
          </rPr>
          <t>Emma Cashman Kelsey:</t>
        </r>
        <r>
          <rPr>
            <sz val="9"/>
            <color indexed="81"/>
            <rFont val="Tahoma"/>
            <family val="2"/>
          </rPr>
          <t xml:space="preserve">
Snell: "An opportunistic feeder, mainly fish, especially capelin (Mallotus villosus), eulachon, and other surface fish (Salomonsen 1951; Goethe 1986; Tobish 1995, 1996). Also carrion, offal in harbors, marine invertebrates, and occasionally eggs and young of other birds. Takes some terrestrial plants, algae, berries in late summer (see Diet, below)."</t>
        </r>
      </text>
    </comment>
    <comment ref="F52" authorId="0">
      <text>
        <r>
          <rPr>
            <b/>
            <sz val="9"/>
            <color indexed="81"/>
            <rFont val="Tahoma"/>
            <family val="2"/>
          </rPr>
          <t>Emma Cashman Kelsey:</t>
        </r>
        <r>
          <rPr>
            <sz val="9"/>
            <color indexed="81"/>
            <rFont val="Tahoma"/>
            <family val="2"/>
          </rPr>
          <t xml:space="preserve">
Hayward and Verbeek 2008: Presumably migrates during daylight hours only. Needs more study."</t>
        </r>
      </text>
    </comment>
    <comment ref="O52" authorId="0">
      <text>
        <r>
          <rPr>
            <b/>
            <sz val="9"/>
            <color indexed="81"/>
            <rFont val="Tahoma"/>
            <family val="2"/>
          </rPr>
          <t>Emma Cashman Kelsey:</t>
        </r>
        <r>
          <rPr>
            <sz val="9"/>
            <color indexed="81"/>
            <rFont val="Tahoma"/>
            <family val="2"/>
          </rPr>
          <t xml:space="preserve">
Hayward: "Omnivorous, a wide variety of fish, marine invertebrates, garbage, and carrion.</t>
        </r>
      </text>
    </comment>
    <comment ref="C54" authorId="0">
      <text>
        <r>
          <rPr>
            <b/>
            <sz val="9"/>
            <color indexed="81"/>
            <rFont val="Tahoma"/>
            <family val="2"/>
          </rPr>
          <t>Emma Cashman Kelsey:</t>
        </r>
        <r>
          <rPr>
            <sz val="9"/>
            <color indexed="81"/>
            <rFont val="Tahoma"/>
            <family val="2"/>
          </rPr>
          <t xml:space="preserve">
Cuthbert and Wires 1999: "Migration flight usually observed twice a day: late morning and late afternoon–early evening; nocturnal migration not uncommon."</t>
        </r>
      </text>
    </comment>
    <comment ref="C55" authorId="0">
      <text>
        <r>
          <rPr>
            <b/>
            <sz val="9"/>
            <color indexed="81"/>
            <rFont val="Tahoma"/>
            <family val="2"/>
          </rPr>
          <t>Emma Cashman Kelsey:</t>
        </r>
        <r>
          <rPr>
            <sz val="9"/>
            <color indexed="81"/>
            <rFont val="Tahoma"/>
            <family val="2"/>
          </rPr>
          <t xml:space="preserve">
Willmott 2013 = 1
Hatch 2002: "migrating terns make long flights at night with favorable winds at high altitudes… very little activity recorded at night (in Antarctica)"</t>
        </r>
      </text>
    </comment>
    <comment ref="F55" authorId="0">
      <text>
        <r>
          <rPr>
            <b/>
            <sz val="9"/>
            <color indexed="81"/>
            <rFont val="Tahoma"/>
            <family val="2"/>
          </rPr>
          <t>Emma Cashman Kelsey:</t>
        </r>
        <r>
          <rPr>
            <sz val="9"/>
            <color indexed="81"/>
            <rFont val="Tahoma"/>
            <family val="2"/>
          </rPr>
          <t xml:space="preserve">
Hatch 2002: "Rarely settles on water, except occasionally to bathe in groups; frequently stands on floating objects and readily joins feeding flocks of terns and other seabirds."</t>
        </r>
      </text>
    </comment>
    <comment ref="O55" authorId="0">
      <text>
        <r>
          <rPr>
            <b/>
            <sz val="9"/>
            <color indexed="81"/>
            <rFont val="Tahoma"/>
            <family val="2"/>
          </rPr>
          <t>Emma Cashman Kelsey:</t>
        </r>
        <r>
          <rPr>
            <sz val="9"/>
            <color indexed="81"/>
            <rFont val="Tahoma"/>
            <family val="2"/>
          </rPr>
          <t xml:space="preserve">
Hatch: "Opportunistic forager; diet may vary from place to place, from year to year, and rapidly in response to diurnal and tidal cycles and activities of under-water predators."</t>
        </r>
      </text>
    </comment>
    <comment ref="C56" authorId="0">
      <text>
        <r>
          <rPr>
            <b/>
            <sz val="9"/>
            <color indexed="81"/>
            <rFont val="Tahoma"/>
            <family val="2"/>
          </rPr>
          <t>Emma Cashman Kelsey:</t>
        </r>
        <r>
          <rPr>
            <sz val="9"/>
            <color indexed="81"/>
            <rFont val="Tahoma"/>
            <family val="2"/>
          </rPr>
          <t xml:space="preserve">
Willmott 2013 = 1
Nisbet 2002: "terns start migratory flights in evening and fly at high altitudes during night, consistent with paucity of records of terns traveling by day."</t>
        </r>
      </text>
    </comment>
    <comment ref="O56" authorId="0">
      <text>
        <r>
          <rPr>
            <b/>
            <sz val="9"/>
            <color indexed="81"/>
            <rFont val="Tahoma"/>
            <family val="2"/>
          </rPr>
          <t>Emma Cashman Kelsey:</t>
        </r>
        <r>
          <rPr>
            <sz val="9"/>
            <color indexed="81"/>
            <rFont val="Tahoma"/>
            <family val="2"/>
          </rPr>
          <t xml:space="preserve">
Nisbet: "Generalist and opportunist; Adults feed on a wide variety of fish and invertebrates in all areas, but chicks are fed mainly fish at coastal colonies, and almost exclusively fish at freshwater sites. Diets vary spatially, annually, weekly, daily, and even hourly in relation to diurnal and tidal cycles, and activity of predatory fish."
Willmott: 3</t>
        </r>
      </text>
    </comment>
    <comment ref="O57" authorId="0">
      <text>
        <r>
          <rPr>
            <b/>
            <sz val="9"/>
            <color indexed="81"/>
            <rFont val="Tahoma"/>
            <family val="2"/>
          </rPr>
          <t>Emma Cashman Kelsey:</t>
        </r>
        <r>
          <rPr>
            <sz val="9"/>
            <color indexed="81"/>
            <rFont val="Tahoma"/>
            <family val="2"/>
          </rPr>
          <t xml:space="preserve">
Burness et al. 1999: "Primary prey is northern anchovy."</t>
        </r>
      </text>
    </comment>
    <comment ref="O58" authorId="0">
      <text>
        <r>
          <rPr>
            <b/>
            <sz val="9"/>
            <color indexed="81"/>
            <rFont val="Tahoma"/>
            <family val="2"/>
          </rPr>
          <t>Emma Cashman Kelsey:</t>
        </r>
        <r>
          <rPr>
            <sz val="9"/>
            <color indexed="81"/>
            <rFont val="Tahoma"/>
            <family val="2"/>
          </rPr>
          <t xml:space="preserve">
Buckley and Buckley: "Fish, augmented by crustaceans, particularly shrimp. Prey items eaten by adults presumed similar to those fed chicks in colonies. Great variability in relative proportions of taxa taken associated with seasonal, oceanographic, climatic, weather, stochastic, and zoogeographic factors, such that rarely do any 2 studies report same results of diet analysis."</t>
        </r>
      </text>
    </comment>
    <comment ref="O61" authorId="0">
      <text>
        <r>
          <rPr>
            <b/>
            <sz val="9"/>
            <color indexed="81"/>
            <rFont val="Tahoma"/>
            <family val="2"/>
          </rPr>
          <t>Emma Cashman Kelsey:</t>
        </r>
        <r>
          <rPr>
            <sz val="9"/>
            <color indexed="81"/>
            <rFont val="Tahoma"/>
            <family val="2"/>
          </rPr>
          <t xml:space="preserve">
Parnell: "An opportunistic feeder on many kinds of terrestrial and aquatic animals."</t>
        </r>
      </text>
    </comment>
    <comment ref="C67" authorId="0">
      <text>
        <r>
          <rPr>
            <b/>
            <sz val="9"/>
            <color indexed="81"/>
            <rFont val="Tahoma"/>
            <family val="2"/>
          </rPr>
          <t>Emma Cashman Kelsey:</t>
        </r>
        <r>
          <rPr>
            <sz val="9"/>
            <color indexed="81"/>
            <rFont val="Tahoma"/>
            <family val="2"/>
          </rPr>
          <t xml:space="preserve">
Gaston and Shoji: fly from offshore 'gathering grounds' to collony after dark</t>
        </r>
      </text>
    </comment>
    <comment ref="F67" authorId="0">
      <text>
        <r>
          <rPr>
            <b/>
            <sz val="9"/>
            <color indexed="81"/>
            <rFont val="Tahoma"/>
            <family val="2"/>
          </rPr>
          <t>Emma Cashman Kelsey:</t>
        </r>
        <r>
          <rPr>
            <sz val="9"/>
            <color indexed="81"/>
            <rFont val="Tahoma"/>
            <family val="2"/>
          </rPr>
          <t xml:space="preserve">
Gaston and Shoji 2010: does land on, and take off from, water
</t>
        </r>
      </text>
    </comment>
    <comment ref="O69" authorId="0">
      <text>
        <r>
          <rPr>
            <b/>
            <sz val="9"/>
            <color indexed="81"/>
            <rFont val="Tahoma"/>
            <family val="2"/>
          </rPr>
          <t>Emma Cashman Kelsey:</t>
        </r>
        <r>
          <rPr>
            <sz val="9"/>
            <color indexed="81"/>
            <rFont val="Tahoma"/>
            <family val="2"/>
          </rPr>
          <t xml:space="preserve">
Ewins 1993: feed throughout the water collumn in shallow areas
Nelson 1997: generalist</t>
        </r>
      </text>
    </comment>
    <comment ref="O70" authorId="0">
      <text>
        <r>
          <rPr>
            <b/>
            <sz val="9"/>
            <color indexed="81"/>
            <rFont val="Tahoma"/>
            <family val="2"/>
          </rPr>
          <t>Emma Cashman Kelsey:</t>
        </r>
        <r>
          <rPr>
            <sz val="9"/>
            <color indexed="81"/>
            <rFont val="Tahoma"/>
            <family val="2"/>
          </rPr>
          <t xml:space="preserve">
Drost and Lewis: "Off Santa Barbara I., larval anchovies comprised nearly half of total volume of samples analyzed (Hunt et al. 1981; also see Table 2). When anchovy abundance is low (e.g., 1978), breeding is delayed by &gt;1 mo and overall reproductive effort is lower (Hunt et al. 1981)"</t>
        </r>
      </text>
    </comment>
    <comment ref="O73" authorId="0">
      <text>
        <r>
          <rPr>
            <b/>
            <sz val="9"/>
            <color indexed="81"/>
            <rFont val="Tahoma"/>
            <family val="2"/>
          </rPr>
          <t>Emma Cashman Kelsey:</t>
        </r>
        <r>
          <rPr>
            <sz val="9"/>
            <color indexed="81"/>
            <rFont val="Tahoma"/>
            <family val="2"/>
          </rPr>
          <t xml:space="preserve">
Piatt and Kitaysky: "Tufted Puffins select a smorgasbord of prey for their young, apparently taking whatever pelagic fish are most abundant or available to them in the vicinity of each breeding colony."</t>
        </r>
      </text>
    </comment>
    <comment ref="O74" authorId="0">
      <text>
        <r>
          <rPr>
            <b/>
            <sz val="9"/>
            <color indexed="81"/>
            <rFont val="Tahoma"/>
            <family val="2"/>
          </rPr>
          <t>Emma Cashman Kelsey:</t>
        </r>
        <r>
          <rPr>
            <sz val="9"/>
            <color indexed="81"/>
            <rFont val="Tahoma"/>
            <family val="2"/>
          </rPr>
          <t xml:space="preserve">
Piatt and Kitaysky: "Besides common prey, Horned Puffins feed chicks few other species, especially in comparison to Tufted Puffins"</t>
        </r>
      </text>
    </comment>
    <comment ref="O75" authorId="0">
      <text>
        <r>
          <rPr>
            <b/>
            <sz val="9"/>
            <color indexed="81"/>
            <rFont val="Tahoma"/>
            <family val="2"/>
          </rPr>
          <t>Emma Cashman Kelsey:</t>
        </r>
        <r>
          <rPr>
            <sz val="9"/>
            <color indexed="81"/>
            <rFont val="Tahoma"/>
            <family val="2"/>
          </rPr>
          <t xml:space="preserve">
Ewins 1993: "Considerable variation in diet within range and among years"</t>
        </r>
      </text>
    </comment>
  </commentList>
</comments>
</file>

<file path=xl/comments6.xml><?xml version="1.0" encoding="utf-8"?>
<comments xmlns="http://schemas.openxmlformats.org/spreadsheetml/2006/main">
  <authors>
    <author>Emma Cashman Kelsey</author>
    <author>Emma Kelsey</author>
  </authors>
  <commentList>
    <comment ref="C3" authorId="0">
      <text>
        <r>
          <rPr>
            <b/>
            <sz val="9"/>
            <color indexed="81"/>
            <rFont val="Tahoma"/>
            <family val="2"/>
          </rPr>
          <t>Emma Cashman Kelsey:</t>
        </r>
        <r>
          <rPr>
            <sz val="9"/>
            <color indexed="81"/>
            <rFont val="Tahoma"/>
            <family val="2"/>
          </rPr>
          <t xml:space="preserve">
Savard 1998: usually migrates over land at night</t>
        </r>
      </text>
    </comment>
    <comment ref="F4" authorId="0">
      <text>
        <r>
          <rPr>
            <b/>
            <sz val="9"/>
            <color indexed="81"/>
            <rFont val="Tahoma"/>
            <family val="2"/>
          </rPr>
          <t>Emma Cashman Kelsey:</t>
        </r>
        <r>
          <rPr>
            <sz val="9"/>
            <color indexed="81"/>
            <rFont val="Tahoma"/>
            <family val="2"/>
          </rPr>
          <t xml:space="preserve">
Brown 1997: "over water, usually travels by day and night"</t>
        </r>
      </text>
    </comment>
    <comment ref="B8" authorId="0">
      <text>
        <r>
          <rPr>
            <b/>
            <sz val="9"/>
            <color indexed="81"/>
            <rFont val="Tahoma"/>
            <family val="2"/>
          </rPr>
          <t>Emma Cashman Kelsey:</t>
        </r>
        <r>
          <rPr>
            <sz val="9"/>
            <color indexed="81"/>
            <rFont val="Tahoma"/>
            <family val="2"/>
          </rPr>
          <t xml:space="preserve">
aka great northern diver</t>
        </r>
      </text>
    </comment>
    <comment ref="B9" authorId="0">
      <text>
        <r>
          <rPr>
            <b/>
            <sz val="9"/>
            <color indexed="81"/>
            <rFont val="Tahoma"/>
            <family val="2"/>
          </rPr>
          <t>Emma Cashman Kelsey:</t>
        </r>
        <r>
          <rPr>
            <sz val="9"/>
            <color indexed="81"/>
            <rFont val="Tahoma"/>
            <family val="2"/>
          </rPr>
          <t xml:space="preserve">
sub spp of arctic/black-throated loon</t>
        </r>
      </text>
    </comment>
    <comment ref="B11" authorId="0">
      <text>
        <r>
          <rPr>
            <b/>
            <sz val="9"/>
            <color indexed="81"/>
            <rFont val="Tahoma"/>
            <family val="2"/>
          </rPr>
          <t>Emma Cashman Kelsey:</t>
        </r>
        <r>
          <rPr>
            <sz val="9"/>
            <color indexed="81"/>
            <rFont val="Tahoma"/>
            <family val="2"/>
          </rPr>
          <t xml:space="preserve">
aka white-billed diver</t>
        </r>
      </text>
    </comment>
    <comment ref="B14" authorId="0">
      <text>
        <r>
          <rPr>
            <b/>
            <sz val="9"/>
            <color indexed="81"/>
            <rFont val="Tahoma"/>
            <family val="2"/>
          </rPr>
          <t>Emma Cashman Kelsey:</t>
        </r>
        <r>
          <rPr>
            <sz val="9"/>
            <color indexed="81"/>
            <rFont val="Tahoma"/>
            <family val="2"/>
          </rPr>
          <t xml:space="preserve">
aka- black-necked grebe</t>
        </r>
      </text>
    </comment>
    <comment ref="C14" authorId="0">
      <text>
        <r>
          <rPr>
            <b/>
            <sz val="9"/>
            <color indexed="81"/>
            <rFont val="Tahoma"/>
            <family val="2"/>
          </rPr>
          <t>Emma Cashman Kelsey:</t>
        </r>
        <r>
          <rPr>
            <sz val="9"/>
            <color indexed="81"/>
            <rFont val="Tahoma"/>
            <family val="2"/>
          </rPr>
          <t xml:space="preserve">
Cullen 1999: migration is entirely nocternal</t>
        </r>
      </text>
    </comment>
    <comment ref="B15" authorId="0">
      <text>
        <r>
          <rPr>
            <b/>
            <sz val="9"/>
            <color indexed="81"/>
            <rFont val="Tahoma"/>
            <family val="2"/>
          </rPr>
          <t>Emma Cashman Kelsey:</t>
        </r>
        <r>
          <rPr>
            <sz val="9"/>
            <color indexed="81"/>
            <rFont val="Tahoma"/>
            <family val="2"/>
          </rPr>
          <t xml:space="preserve">
aka- Slavonian grebe</t>
        </r>
      </text>
    </comment>
    <comment ref="C20" authorId="1">
      <text>
        <r>
          <rPr>
            <b/>
            <sz val="9"/>
            <color indexed="81"/>
            <rFont val="Calibri"/>
            <family val="2"/>
          </rPr>
          <t>Emma Kelsey:</t>
        </r>
        <r>
          <rPr>
            <sz val="9"/>
            <color indexed="81"/>
            <rFont val="Calibri"/>
            <family val="2"/>
          </rPr>
          <t xml:space="preserve">
del Hoyo: may feed more at night than other shearwaters (surface-seizing, dipping, rarely dives)</t>
        </r>
      </text>
    </comment>
    <comment ref="F23" authorId="1">
      <text>
        <r>
          <rPr>
            <b/>
            <sz val="9"/>
            <color indexed="81"/>
            <rFont val="Calibri"/>
            <family val="2"/>
          </rPr>
          <t>Emma Kelsey:</t>
        </r>
        <r>
          <rPr>
            <sz val="9"/>
            <color indexed="81"/>
            <rFont val="Calibri"/>
            <family val="2"/>
          </rPr>
          <t xml:space="preserve">
del Hoyo: mostly diurnal feeder
</t>
        </r>
      </text>
    </comment>
    <comment ref="C26" authorId="0">
      <text>
        <r>
          <rPr>
            <b/>
            <sz val="9"/>
            <color indexed="81"/>
            <rFont val="Tahoma"/>
            <family val="2"/>
          </rPr>
          <t>Emma Cashman Kelsey:</t>
        </r>
        <r>
          <rPr>
            <sz val="9"/>
            <color indexed="81"/>
            <rFont val="Tahoma"/>
            <family val="2"/>
          </rPr>
          <t xml:space="preserve">
Keitt 2000: "often in flight, may rest on water when wind is light"</t>
        </r>
      </text>
    </comment>
    <comment ref="F26" authorId="0">
      <text>
        <r>
          <rPr>
            <b/>
            <sz val="9"/>
            <color indexed="81"/>
            <rFont val="Tahoma"/>
            <family val="2"/>
          </rPr>
          <t>Emma Cashman Kelsey:</t>
        </r>
        <r>
          <rPr>
            <sz val="9"/>
            <color indexed="81"/>
            <rFont val="Tahoma"/>
            <family val="2"/>
          </rPr>
          <t xml:space="preserve">
Keitt 2000: "often in flight, may rest on water when wind is light"</t>
        </r>
      </text>
    </comment>
    <comment ref="C29" authorId="1">
      <text>
        <r>
          <rPr>
            <b/>
            <sz val="9"/>
            <color indexed="81"/>
            <rFont val="Calibri"/>
            <family val="2"/>
          </rPr>
          <t>Emma Kelsey:</t>
        </r>
        <r>
          <rPr>
            <sz val="9"/>
            <color indexed="81"/>
            <rFont val="Calibri"/>
            <family val="2"/>
          </rPr>
          <t xml:space="preserve">
del Hoyo: feeds at night</t>
        </r>
      </text>
    </comment>
    <comment ref="C31" authorId="0">
      <text>
        <r>
          <rPr>
            <b/>
            <sz val="9"/>
            <color indexed="81"/>
            <rFont val="Tahoma"/>
            <family val="2"/>
          </rPr>
          <t>Emma Cashman Kelsey:</t>
        </r>
        <r>
          <rPr>
            <sz val="9"/>
            <color indexed="81"/>
            <rFont val="Tahoma"/>
            <family val="2"/>
          </rPr>
          <t xml:space="preserve">
Ainley 1995: "During the autumn molt, and during daylight especially on days of highest winds in other parts of the year, Ashy Storm-Petrels frequently raft in small to vast numbers on the sea surface."</t>
        </r>
      </text>
    </comment>
    <comment ref="F31" authorId="0">
      <text>
        <r>
          <rPr>
            <b/>
            <sz val="9"/>
            <color indexed="81"/>
            <rFont val="Tahoma"/>
            <family val="2"/>
          </rPr>
          <t>Emma Cashman Kelsey:</t>
        </r>
        <r>
          <rPr>
            <sz val="9"/>
            <color indexed="81"/>
            <rFont val="Tahoma"/>
            <family val="2"/>
          </rPr>
          <t xml:space="preserve">
Ainley 1995: "During the autumn molt, and during daylight especially on days of highest winds in other parts of the year, Ashy Storm-Petrels frequently raft in small to vast numbers on the sea surface."
</t>
        </r>
      </text>
    </comment>
    <comment ref="C34" authorId="1">
      <text>
        <r>
          <rPr>
            <b/>
            <sz val="9"/>
            <color indexed="81"/>
            <rFont val="Calibri"/>
            <family val="2"/>
          </rPr>
          <t>Emma Kelsey:</t>
        </r>
        <r>
          <rPr>
            <sz val="9"/>
            <color indexed="81"/>
            <rFont val="Calibri"/>
            <family val="2"/>
          </rPr>
          <t xml:space="preserve">
del Hoyo: may feed at both day and night</t>
        </r>
      </text>
    </comment>
    <comment ref="F38" authorId="0">
      <text>
        <r>
          <rPr>
            <b/>
            <sz val="9"/>
            <color indexed="81"/>
            <rFont val="Tahoma"/>
            <family val="2"/>
          </rPr>
          <t>Emma Cashman Kelsey:</t>
        </r>
        <r>
          <rPr>
            <sz val="9"/>
            <color indexed="81"/>
            <rFont val="Tahoma"/>
            <family val="2"/>
          </rPr>
          <t xml:space="preserve">
Wallace and Wallace 1998: does land on water</t>
        </r>
      </text>
    </comment>
    <comment ref="F40" authorId="0">
      <text>
        <r>
          <rPr>
            <b/>
            <sz val="9"/>
            <color indexed="81"/>
            <rFont val="Tahoma"/>
            <family val="2"/>
          </rPr>
          <t>Emma Cashman Kelsey:</t>
        </r>
        <r>
          <rPr>
            <sz val="9"/>
            <color indexed="81"/>
            <rFont val="Tahoma"/>
            <family val="2"/>
          </rPr>
          <t xml:space="preserve">
Hobson 2013: does land and take off from water</t>
        </r>
      </text>
    </comment>
    <comment ref="F44" authorId="0">
      <text>
        <r>
          <rPr>
            <b/>
            <sz val="9"/>
            <color indexed="81"/>
            <rFont val="Tahoma"/>
            <family val="2"/>
          </rPr>
          <t>Emma Cashman Kelsey:</t>
        </r>
        <r>
          <rPr>
            <sz val="9"/>
            <color indexed="81"/>
            <rFont val="Tahoma"/>
            <family val="2"/>
          </rPr>
          <t xml:space="preserve">
Willmott 2013 = 1
Burger and Gochfeld 2002: "mostly diurnal, but occasionally flies at night"</t>
        </r>
      </text>
    </comment>
    <comment ref="F46" authorId="0">
      <text>
        <r>
          <rPr>
            <b/>
            <sz val="9"/>
            <color indexed="81"/>
            <rFont val="Tahoma"/>
            <family val="2"/>
          </rPr>
          <t>Emma Cashman Kelsey:</t>
        </r>
        <r>
          <rPr>
            <sz val="9"/>
            <color indexed="81"/>
            <rFont val="Tahoma"/>
            <family val="2"/>
          </rPr>
          <t xml:space="preserve">
Winkler 1996: "migratory movements observed during day… but extent of nocturnal migration not known."</t>
        </r>
      </text>
    </comment>
    <comment ref="F52" authorId="0">
      <text>
        <r>
          <rPr>
            <b/>
            <sz val="9"/>
            <color indexed="81"/>
            <rFont val="Tahoma"/>
            <family val="2"/>
          </rPr>
          <t>Emma Cashman Kelsey:</t>
        </r>
        <r>
          <rPr>
            <sz val="9"/>
            <color indexed="81"/>
            <rFont val="Tahoma"/>
            <family val="2"/>
          </rPr>
          <t xml:space="preserve">
Hayward and Verbeek 2008: Presumably migrates during daylight hours only. Needs more study."</t>
        </r>
      </text>
    </comment>
    <comment ref="C54" authorId="0">
      <text>
        <r>
          <rPr>
            <b/>
            <sz val="9"/>
            <color indexed="81"/>
            <rFont val="Tahoma"/>
            <family val="2"/>
          </rPr>
          <t>Emma Cashman Kelsey:</t>
        </r>
        <r>
          <rPr>
            <sz val="9"/>
            <color indexed="81"/>
            <rFont val="Tahoma"/>
            <family val="2"/>
          </rPr>
          <t xml:space="preserve">
Cuthbert and Wires 1999: "Migration flight usually observed twice a day: late morning and late afternoon–early evening; nocturnal migration not uncommon."</t>
        </r>
      </text>
    </comment>
    <comment ref="C55" authorId="0">
      <text>
        <r>
          <rPr>
            <b/>
            <sz val="9"/>
            <color indexed="81"/>
            <rFont val="Tahoma"/>
            <family val="2"/>
          </rPr>
          <t>Emma Cashman Kelsey:</t>
        </r>
        <r>
          <rPr>
            <sz val="9"/>
            <color indexed="81"/>
            <rFont val="Tahoma"/>
            <family val="2"/>
          </rPr>
          <t xml:space="preserve">
Willmott 2013 = 1
Hatch 2002: "migrating terns make long flights at night with favorable winds at high altitudes… very little activity recorded at night (in Antarctica)"</t>
        </r>
      </text>
    </comment>
    <comment ref="F55" authorId="0">
      <text>
        <r>
          <rPr>
            <b/>
            <sz val="9"/>
            <color indexed="81"/>
            <rFont val="Tahoma"/>
            <family val="2"/>
          </rPr>
          <t>Emma Cashman Kelsey:</t>
        </r>
        <r>
          <rPr>
            <sz val="9"/>
            <color indexed="81"/>
            <rFont val="Tahoma"/>
            <family val="2"/>
          </rPr>
          <t xml:space="preserve">
Hatch 2002: "Rarely settles on water, except occasionally to bathe in groups; frequently stands on floating objects and readily joins feeding flocks of terns and other seabirds."</t>
        </r>
      </text>
    </comment>
    <comment ref="C56" authorId="0">
      <text>
        <r>
          <rPr>
            <b/>
            <sz val="9"/>
            <color indexed="81"/>
            <rFont val="Tahoma"/>
            <family val="2"/>
          </rPr>
          <t>Emma Cashman Kelsey:</t>
        </r>
        <r>
          <rPr>
            <sz val="9"/>
            <color indexed="81"/>
            <rFont val="Tahoma"/>
            <family val="2"/>
          </rPr>
          <t xml:space="preserve">
Willmott 2013 = 1
Nisbet 2002: "terns start migratory flights in evening and fly at high altitudes during night, consistent with paucity of records of terns traveling by day."</t>
        </r>
      </text>
    </comment>
    <comment ref="C67" authorId="0">
      <text>
        <r>
          <rPr>
            <b/>
            <sz val="9"/>
            <color indexed="81"/>
            <rFont val="Tahoma"/>
            <family val="2"/>
          </rPr>
          <t>Emma Cashman Kelsey:</t>
        </r>
        <r>
          <rPr>
            <sz val="9"/>
            <color indexed="81"/>
            <rFont val="Tahoma"/>
            <family val="2"/>
          </rPr>
          <t xml:space="preserve">
Gaston and Shoji: fly from offshore 'gathering grounds' to collony after dark</t>
        </r>
      </text>
    </comment>
    <comment ref="F67" authorId="0">
      <text>
        <r>
          <rPr>
            <b/>
            <sz val="9"/>
            <color indexed="81"/>
            <rFont val="Tahoma"/>
            <family val="2"/>
          </rPr>
          <t>Emma Cashman Kelsey:</t>
        </r>
        <r>
          <rPr>
            <sz val="9"/>
            <color indexed="81"/>
            <rFont val="Tahoma"/>
            <family val="2"/>
          </rPr>
          <t xml:space="preserve">
Gaston and Shoji 2010: does land on, and take off from, water
</t>
        </r>
      </text>
    </comment>
  </commentList>
</comments>
</file>

<file path=xl/comments7.xml><?xml version="1.0" encoding="utf-8"?>
<comments xmlns="http://schemas.openxmlformats.org/spreadsheetml/2006/main">
  <authors>
    <author>Emma Cashman Kelsey</author>
    <author>Emma Kelsey</author>
  </authors>
  <commentList>
    <comment ref="C2" authorId="0">
      <text>
        <r>
          <rPr>
            <b/>
            <sz val="9"/>
            <color indexed="81"/>
            <rFont val="Tahoma"/>
            <family val="2"/>
          </rPr>
          <t>Emma Cashman Kelsey:</t>
        </r>
        <r>
          <rPr>
            <sz val="9"/>
            <color indexed="81"/>
            <rFont val="Tahoma"/>
            <family val="2"/>
          </rPr>
          <t xml:space="preserve">
Borage and Savard: "Ninety percent animals (65% mollusks, 17% crustaceans), 10% plants (Cottam 1939). Diet in fresh water dominated by aquatic insects and invertebrates, in salt water by mollusks."</t>
        </r>
      </text>
    </comment>
    <comment ref="C3" authorId="0">
      <text>
        <r>
          <rPr>
            <b/>
            <sz val="9"/>
            <color indexed="81"/>
            <rFont val="Tahoma"/>
            <family val="2"/>
          </rPr>
          <t>Emma Cashman Kelsey:</t>
        </r>
        <r>
          <rPr>
            <sz val="9"/>
            <color indexed="81"/>
            <rFont val="Tahoma"/>
            <family val="2"/>
          </rPr>
          <t xml:space="preserve">
Savard et al. 1998: " Adults feed mostly on mollusks (mussels, clams) when staging, molting, or wintering in salt waters (Stott and Olson 1973, Vermeer 1981, Vermeer and Bourne 1984). Feed on herring eggs whenever available during spring migration, especially on West Coast (Vermeer 1981). No differences reported in diet of males and females. On breeding areas, feed on variety of freshwater invertebrates (Bergeron et al. 1996). Ducklings feed on variety of insect larvae (CGGG 1990b, 1993b), switching to mollusks upon reaching salt water."</t>
        </r>
      </text>
    </comment>
    <comment ref="C4" authorId="0">
      <text>
        <r>
          <rPr>
            <b/>
            <sz val="9"/>
            <color indexed="81"/>
            <rFont val="Tahoma"/>
            <family val="2"/>
          </rPr>
          <t>Emma Cashman Kelsey:</t>
        </r>
        <r>
          <rPr>
            <sz val="9"/>
            <color indexed="81"/>
            <rFont val="Tahoma"/>
            <family val="2"/>
          </rPr>
          <t xml:space="preserve">
Brown: "Chiefly a bottom feeder. Aquatic and marine mollusks (especially bivalves), crustaceans, and insects. Occasionally, aquatic plants and fish."</t>
        </r>
      </text>
    </comment>
    <comment ref="C5" authorId="0">
      <text>
        <r>
          <rPr>
            <b/>
            <sz val="9"/>
            <color indexed="81"/>
            <rFont val="Tahoma"/>
            <family val="2"/>
          </rPr>
          <t>Emma Cashman Kelsey:</t>
        </r>
        <r>
          <rPr>
            <sz val="9"/>
            <color indexed="81"/>
            <rFont val="Tahoma"/>
            <family val="2"/>
          </rPr>
          <t xml:space="preserve">
Lewis: "Eelgrass is preferred food during the nonbreeding season, both in North America (Cottam et al. 1944, Henry 1980, Kirby and Obrecht 1980, Ward 1983) and in w. Europe (Madsen 1988, O’Briain 1991, Inger et al. 2008). No other goose species relies so heavily on a single native food plant."</t>
        </r>
      </text>
    </comment>
    <comment ref="C6" authorId="0">
      <text>
        <r>
          <rPr>
            <b/>
            <sz val="9"/>
            <color indexed="81"/>
            <rFont val="Tahoma"/>
            <family val="2"/>
          </rPr>
          <t>Emma Cashman Kelsey:</t>
        </r>
        <r>
          <rPr>
            <sz val="9"/>
            <color indexed="81"/>
            <rFont val="Tahoma"/>
            <family val="2"/>
          </rPr>
          <t xml:space="preserve">
Mallory and Metz: "Primarily small fish, but also aquatic invertebrates (insects, mollusks, crustaceans, worms), frogs, small mammals, birds, and plants"</t>
        </r>
      </text>
    </comment>
    <comment ref="C7" authorId="0">
      <text>
        <r>
          <rPr>
            <b/>
            <sz val="9"/>
            <color indexed="81"/>
            <rFont val="Tahoma"/>
            <family val="2"/>
          </rPr>
          <t>Emma Cashman Kelsey:</t>
        </r>
        <r>
          <rPr>
            <sz val="9"/>
            <color indexed="81"/>
            <rFont val="Tahoma"/>
            <family val="2"/>
          </rPr>
          <t xml:space="preserve">
Titman: "Small fish (10–15 cm) and crustaceans; also worms, insects, and amphibians."</t>
        </r>
      </text>
    </comment>
    <comment ref="B8" authorId="0">
      <text>
        <r>
          <rPr>
            <b/>
            <sz val="9"/>
            <color indexed="81"/>
            <rFont val="Tahoma"/>
            <family val="2"/>
          </rPr>
          <t>Emma Cashman Kelsey:</t>
        </r>
        <r>
          <rPr>
            <sz val="9"/>
            <color indexed="81"/>
            <rFont val="Tahoma"/>
            <family val="2"/>
          </rPr>
          <t xml:space="preserve">
aka great northern diver</t>
        </r>
      </text>
    </comment>
    <comment ref="C8" authorId="0">
      <text>
        <r>
          <rPr>
            <b/>
            <sz val="9"/>
            <color indexed="81"/>
            <rFont val="Tahoma"/>
            <family val="2"/>
          </rPr>
          <t>Emma Cashman Kelsey:</t>
        </r>
        <r>
          <rPr>
            <sz val="9"/>
            <color indexed="81"/>
            <rFont val="Tahoma"/>
            <family val="2"/>
          </rPr>
          <t xml:space="preserve">
Evers et al: "Primarily live fish, opportunistically taken (see McIntyre and Barr 1997 for list of known species), although preferences are known. Also some crustaceans during the breeding and winter periods."
Furness et al., Willmott et al., = 3</t>
        </r>
      </text>
    </comment>
    <comment ref="B9" authorId="0">
      <text>
        <r>
          <rPr>
            <b/>
            <sz val="9"/>
            <color indexed="81"/>
            <rFont val="Tahoma"/>
            <family val="2"/>
          </rPr>
          <t>Emma Cashman Kelsey:</t>
        </r>
        <r>
          <rPr>
            <sz val="9"/>
            <color indexed="81"/>
            <rFont val="Tahoma"/>
            <family val="2"/>
          </rPr>
          <t xml:space="preserve">
sub spp of arctic/black-throated loon</t>
        </r>
      </text>
    </comment>
    <comment ref="C9" authorId="0">
      <text>
        <r>
          <rPr>
            <b/>
            <sz val="9"/>
            <color indexed="81"/>
            <rFont val="Tahoma"/>
            <family val="2"/>
          </rPr>
          <t>Emma Cashman Kelsey:</t>
        </r>
        <r>
          <rPr>
            <sz val="9"/>
            <color indexed="81"/>
            <rFont val="Tahoma"/>
            <family val="2"/>
          </rPr>
          <t xml:space="preserve">
Russell: "Fish and aquatic invertebrates."</t>
        </r>
      </text>
    </comment>
    <comment ref="C10" authorId="1">
      <text>
        <r>
          <rPr>
            <b/>
            <sz val="9"/>
            <color indexed="81"/>
            <rFont val="Calibri"/>
            <family val="2"/>
          </rPr>
          <t>Emma Kelsey:</t>
        </r>
        <r>
          <rPr>
            <sz val="9"/>
            <color indexed="81"/>
            <rFont val="Calibri"/>
            <family val="2"/>
          </rPr>
          <t xml:space="preserve">
Garthe and Huppop 2004; Furness and Wade 2012; Furness et al. 2013; Willmott et al. 2013 = 4</t>
        </r>
      </text>
    </comment>
    <comment ref="B11" authorId="0">
      <text>
        <r>
          <rPr>
            <b/>
            <sz val="9"/>
            <color indexed="81"/>
            <rFont val="Tahoma"/>
            <family val="2"/>
          </rPr>
          <t>Emma Cashman Kelsey:</t>
        </r>
        <r>
          <rPr>
            <sz val="9"/>
            <color indexed="81"/>
            <rFont val="Tahoma"/>
            <family val="2"/>
          </rPr>
          <t xml:space="preserve">
aka white-billed diver</t>
        </r>
      </text>
    </comment>
    <comment ref="C11" authorId="0">
      <text>
        <r>
          <rPr>
            <b/>
            <sz val="9"/>
            <color indexed="81"/>
            <rFont val="Tahoma"/>
            <family val="2"/>
          </rPr>
          <t>Emma Cashman Kelsey:</t>
        </r>
        <r>
          <rPr>
            <sz val="9"/>
            <color indexed="81"/>
            <rFont val="Tahoma"/>
            <family val="2"/>
          </rPr>
          <t xml:space="preserve">
North: "Primarily fish, some invertebrates and vegetation."</t>
        </r>
      </text>
    </comment>
    <comment ref="C12" authorId="0">
      <text>
        <r>
          <rPr>
            <b/>
            <sz val="9"/>
            <color indexed="81"/>
            <rFont val="Tahoma"/>
            <family val="2"/>
          </rPr>
          <t>Emma Cashman Kelsey:</t>
        </r>
        <r>
          <rPr>
            <sz val="9"/>
            <color indexed="81"/>
            <rFont val="Tahoma"/>
            <family val="2"/>
          </rPr>
          <t xml:space="preserve">
LaPorte et al.: "Wide variety of fishes taken (e.g., Palmer 1962) suggests that although Western Grebes are fish specialists, they are opportunists when it comes to species of fish taken"</t>
        </r>
      </text>
    </comment>
    <comment ref="C13" authorId="0">
      <text>
        <r>
          <rPr>
            <b/>
            <sz val="9"/>
            <color indexed="81"/>
            <rFont val="Tahoma"/>
            <family val="2"/>
          </rPr>
          <t>Emma Cashman Kelsey:</t>
        </r>
        <r>
          <rPr>
            <sz val="9"/>
            <color indexed="81"/>
            <rFont val="Tahoma"/>
            <family val="2"/>
          </rPr>
          <t xml:space="preserve">
LaPorte et al.: "Wide variety of fishes taken (e.g., Palmer 1962) suggests that although Western Grebes are fish specialists, they are opportunists when it comes to species of fish taken"</t>
        </r>
      </text>
    </comment>
    <comment ref="B14" authorId="0">
      <text>
        <r>
          <rPr>
            <b/>
            <sz val="9"/>
            <color indexed="81"/>
            <rFont val="Tahoma"/>
            <family val="2"/>
          </rPr>
          <t>Emma Cashman Kelsey:</t>
        </r>
        <r>
          <rPr>
            <sz val="9"/>
            <color indexed="81"/>
            <rFont val="Tahoma"/>
            <family val="2"/>
          </rPr>
          <t xml:space="preserve">
aka- black-necked grebe</t>
        </r>
      </text>
    </comment>
    <comment ref="C14" authorId="0">
      <text>
        <r>
          <rPr>
            <b/>
            <sz val="9"/>
            <color indexed="81"/>
            <rFont val="Tahoma"/>
            <family val="2"/>
          </rPr>
          <t>Emma Cashman Kelsey:</t>
        </r>
        <r>
          <rPr>
            <sz val="9"/>
            <color indexed="81"/>
            <rFont val="Tahoma"/>
            <family val="2"/>
          </rPr>
          <t xml:space="preserve">
Cullen et al.: "Wide variety of aquatic prey, principally invertebrates including small crustaceans (especially brine shrimp [Artemia sp.]), insects also less frequently takes small fish, mollusks, amphibians."</t>
        </r>
      </text>
    </comment>
    <comment ref="B15" authorId="0">
      <text>
        <r>
          <rPr>
            <b/>
            <sz val="9"/>
            <color indexed="81"/>
            <rFont val="Tahoma"/>
            <family val="2"/>
          </rPr>
          <t>Emma Cashman Kelsey:</t>
        </r>
        <r>
          <rPr>
            <sz val="9"/>
            <color indexed="81"/>
            <rFont val="Tahoma"/>
            <family val="2"/>
          </rPr>
          <t xml:space="preserve">
aka- Slavonian grebe</t>
        </r>
      </text>
    </comment>
    <comment ref="C15" authorId="0">
      <text>
        <r>
          <rPr>
            <b/>
            <sz val="9"/>
            <color indexed="81"/>
            <rFont val="Tahoma"/>
            <family val="2"/>
          </rPr>
          <t>Emma Cashman Kelsey:</t>
        </r>
        <r>
          <rPr>
            <sz val="9"/>
            <color indexed="81"/>
            <rFont val="Tahoma"/>
            <family val="2"/>
          </rPr>
          <t xml:space="preserve">
Stedman:  "Aquatic arthropods in summer, fish and crustaceans in winter… Opportunistically exploits locally and temporally abundant or superabundant prey (Fjeldså 1973c). During winter, tends to prey on benthic, rather than midwater, species (Madsen 1957, Ainley and Sanger 1979)."
Furness and Wade, Willmott = 4</t>
        </r>
      </text>
    </comment>
    <comment ref="C16" authorId="0">
      <text>
        <r>
          <rPr>
            <b/>
            <sz val="9"/>
            <color indexed="81"/>
            <rFont val="Tahoma"/>
            <family val="2"/>
          </rPr>
          <t>Emma Cashman Kelsey:</t>
        </r>
        <r>
          <rPr>
            <sz val="9"/>
            <color indexed="81"/>
            <rFont val="Tahoma"/>
            <family val="2"/>
          </rPr>
          <t xml:space="preserve">
Stout and Nuechterlein: "Fish, crustaceans, and aquatic insects."
Garthe and Huppop, Willmott = 3</t>
        </r>
      </text>
    </comment>
    <comment ref="C17" authorId="0">
      <text>
        <r>
          <rPr>
            <b/>
            <sz val="9"/>
            <color indexed="81"/>
            <rFont val="Tahoma"/>
            <family val="2"/>
          </rPr>
          <t>Emma Cashman Kelsey:</t>
        </r>
        <r>
          <rPr>
            <sz val="9"/>
            <color indexed="81"/>
            <rFont val="Tahoma"/>
            <family val="2"/>
          </rPr>
          <t xml:space="preserve">
Awkerman: "primarily flying fish eggs, followed by squid and crustacea... One study found differences in 15N that suggest Black-foots forage at a higher trophic level than Laysan, perhaps reflecting the tendency of Black-foots to scavenge prey items…"</t>
        </r>
      </text>
    </comment>
    <comment ref="C18" authorId="0">
      <text>
        <r>
          <rPr>
            <b/>
            <sz val="9"/>
            <color indexed="81"/>
            <rFont val="Tahoma"/>
            <family val="2"/>
          </rPr>
          <t>Emma Cashman Kelsey:</t>
        </r>
        <r>
          <rPr>
            <sz val="9"/>
            <color indexed="81"/>
            <rFont val="Tahoma"/>
            <family val="2"/>
          </rPr>
          <t xml:space="preserve">
Awkerman: "Squid, flying fish eggs, crustaceans, fish (Harrison et al. 1983)."</t>
        </r>
      </text>
    </comment>
    <comment ref="C21" authorId="0">
      <text>
        <r>
          <rPr>
            <b/>
            <sz val="9"/>
            <color indexed="81"/>
            <rFont val="Tahoma"/>
            <family val="2"/>
          </rPr>
          <t>Emma Cashman Kelsey:</t>
        </r>
        <r>
          <rPr>
            <sz val="9"/>
            <color indexed="81"/>
            <rFont val="Tahoma"/>
            <family val="2"/>
          </rPr>
          <t xml:space="preserve">
Lee and Haney 1996: "Mostly small, schooling bait fish, especially Clupeiformes (herring, sardines, anchovies, etc). Also cephalopods, small crustaceans, and offal."</t>
        </r>
      </text>
    </comment>
    <comment ref="C31" authorId="1">
      <text>
        <r>
          <rPr>
            <b/>
            <sz val="9"/>
            <color indexed="81"/>
            <rFont val="Calibri"/>
            <family val="2"/>
          </rPr>
          <t>Emma Kelsey:</t>
        </r>
        <r>
          <rPr>
            <sz val="9"/>
            <color indexed="81"/>
            <rFont val="Calibri"/>
            <family val="2"/>
          </rPr>
          <t xml:space="preserve">
del Hoyo: limited distribution suggests food specialist</t>
        </r>
      </text>
    </comment>
    <comment ref="C33" authorId="0">
      <text>
        <r>
          <rPr>
            <b/>
            <sz val="9"/>
            <color indexed="81"/>
            <rFont val="Tahoma"/>
            <family val="2"/>
          </rPr>
          <t>Emma Cashman Kelsey:</t>
        </r>
        <r>
          <rPr>
            <sz val="9"/>
            <color indexed="81"/>
            <rFont val="Tahoma"/>
            <family val="2"/>
          </rPr>
          <t xml:space="preserve">
Boersma: "Primarily nektonic crustaceans and fish from top layer of sea (Palmer 1962). Opportunistic, seen scavenging on remains of dead marine mammals (Gill 1977). Also follows boats and feeds on their discharges"</t>
        </r>
      </text>
    </comment>
    <comment ref="C34" authorId="0">
      <text>
        <r>
          <rPr>
            <b/>
            <sz val="9"/>
            <color indexed="81"/>
            <rFont val="Tahoma"/>
            <family val="2"/>
          </rPr>
          <t>Emma Cashman Kelsey:</t>
        </r>
        <r>
          <rPr>
            <sz val="9"/>
            <color indexed="81"/>
            <rFont val="Tahoma"/>
            <family val="2"/>
          </rPr>
          <t xml:space="preserve">
Huntington: "Vary geographically and seasonally, depending on available prey species, which include fishes (myctophids, cod, rockfish), cephalopods (squids, octopuses), crustaceans (euphausiids, decapods, amphipods, isopods, mysids, copepods), and jellyfish (Scyphozoa)"
Willmott et al. = 1</t>
        </r>
      </text>
    </comment>
    <comment ref="C36" authorId="0">
      <text>
        <r>
          <rPr>
            <b/>
            <sz val="9"/>
            <color indexed="81"/>
            <rFont val="Tahoma"/>
            <family val="2"/>
          </rPr>
          <t>Emma Cashman Kelsey:</t>
        </r>
        <r>
          <rPr>
            <sz val="9"/>
            <color indexed="81"/>
            <rFont val="Tahoma"/>
            <family val="2"/>
          </rPr>
          <t xml:space="preserve">
Shields 2014: "Highly dependent upon northern anchovy (Engraulis mordax) in California and along Pacific coast of Mexico (Anderson et al. 1980, 1982). Pacific sardines (Sardinops sagax) have been equally important to anchovies in S. California Bight since 1993 (F. Gress pers. comm.)."
Willmott = 1</t>
        </r>
      </text>
    </comment>
    <comment ref="C37" authorId="0">
      <text>
        <r>
          <rPr>
            <b/>
            <sz val="9"/>
            <color indexed="81"/>
            <rFont val="Tahoma"/>
            <family val="2"/>
          </rPr>
          <t>Emma Cashman Kelsey:</t>
        </r>
        <r>
          <rPr>
            <sz val="9"/>
            <color indexed="81"/>
            <rFont val="Tahoma"/>
            <family val="2"/>
          </rPr>
          <t xml:space="preserve">
Knopf and Evans: "In contrast to other Pelecaniforms that dive and actively pursue prey of specific species or size, white pelican is highly opportunistic in foraging (Knopf and Kennedy 1981).  Comparisons of diet regionally show a predominance in numbers of smaller food items as crayfish, native minnows, and salamanders but the significant biomass usually being represented by carp and minnows."</t>
        </r>
      </text>
    </comment>
    <comment ref="C38" authorId="0">
      <text>
        <r>
          <rPr>
            <b/>
            <sz val="9"/>
            <color indexed="81"/>
            <rFont val="Tahoma"/>
            <family val="2"/>
          </rPr>
          <t>Emma Cashman Kelsey:</t>
        </r>
        <r>
          <rPr>
            <sz val="9"/>
            <color indexed="81"/>
            <rFont val="Tahoma"/>
            <family val="2"/>
          </rPr>
          <t xml:space="preserve">
Ainley et al. 1981, Ainley and Boekelheide 1990</t>
        </r>
      </text>
    </comment>
    <comment ref="C39" authorId="1">
      <text>
        <r>
          <rPr>
            <b/>
            <sz val="9"/>
            <color indexed="81"/>
            <rFont val="Calibri"/>
            <family val="2"/>
          </rPr>
          <t>Emma Kelsey:</t>
        </r>
        <r>
          <rPr>
            <sz val="9"/>
            <color indexed="81"/>
            <rFont val="Calibri"/>
            <family val="2"/>
          </rPr>
          <t xml:space="preserve">
Willmott = 1</t>
        </r>
      </text>
    </comment>
    <comment ref="C40" authorId="0">
      <text>
        <r>
          <rPr>
            <b/>
            <sz val="9"/>
            <color indexed="81"/>
            <rFont val="Tahoma"/>
            <family val="2"/>
          </rPr>
          <t>Emma Cashman Kelsey:</t>
        </r>
        <r>
          <rPr>
            <sz val="9"/>
            <color indexed="81"/>
            <rFont val="Tahoma"/>
            <family val="2"/>
          </rPr>
          <t xml:space="preserve">
Siegel-Cousey and Litvinenko 1993: "Select a specific habitat to feed in, rather than specializing in a small number of prey."</t>
        </r>
      </text>
    </comment>
    <comment ref="C42" authorId="0">
      <text>
        <r>
          <rPr>
            <b/>
            <sz val="9"/>
            <color indexed="81"/>
            <rFont val="Tahoma"/>
            <family val="2"/>
          </rPr>
          <t>Emma Cashman Kelsey:</t>
        </r>
        <r>
          <rPr>
            <sz val="9"/>
            <color indexed="81"/>
            <rFont val="Tahoma"/>
            <family val="2"/>
          </rPr>
          <t xml:space="preserve">
Rubega et al. 2000: "Small aquatic invertebrates in freshwater, marine, and hypersaline environments, and adult, flying lifestages of aquatic insects. Very rarely, small fish ."</t>
        </r>
      </text>
    </comment>
    <comment ref="C44" authorId="0">
      <text>
        <r>
          <rPr>
            <b/>
            <sz val="9"/>
            <color indexed="81"/>
            <rFont val="Tahoma"/>
            <family val="2"/>
          </rPr>
          <t>Emma Cashman Kelsey:</t>
        </r>
        <r>
          <rPr>
            <sz val="9"/>
            <color indexed="81"/>
            <rFont val="Tahoma"/>
            <family val="2"/>
          </rPr>
          <t xml:space="preserve">
Burger and Gochfeld 2002: " Large concentrations gather opportunistically where prey is abundant. In breeding season, feeds mainly on insects, often catching them on the wing; in bays, feeds on insects and other small invertebrates, and small fish (Tangren 1982); at sea, feeds on small fish, shrimp and other small invertebrates (Gabrielson and Lincoln 1959), including amphipods (Lauro 1980, MG)."</t>
        </r>
      </text>
    </comment>
    <comment ref="C46" authorId="0">
      <text>
        <r>
          <rPr>
            <b/>
            <sz val="9"/>
            <color indexed="81"/>
            <rFont val="Tahoma"/>
            <family val="2"/>
          </rPr>
          <t>Emma Cashman Kelsey:</t>
        </r>
        <r>
          <rPr>
            <sz val="9"/>
            <color indexed="81"/>
            <rFont val="Tahoma"/>
            <family val="2"/>
          </rPr>
          <t xml:space="preserve">
Winkler: "An opportunistic feeder. Main food types eaten depend on where colony is located.  Small mammals, fish, birds, garbage, and variety of invertebrates (grasshoppers [Orthoptera], mayflies [Ephemeroptera], and damselflies [Odonata; both adults and nymphs], earthworms, brine shrimp [Artemia spp.], and many others) can make up large portions of diet"</t>
        </r>
      </text>
    </comment>
    <comment ref="C47" authorId="0">
      <text>
        <r>
          <rPr>
            <b/>
            <sz val="9"/>
            <color indexed="81"/>
            <rFont val="Tahoma"/>
            <family val="2"/>
          </rPr>
          <t>Emma Cashman Kelsey:</t>
        </r>
        <r>
          <rPr>
            <sz val="9"/>
            <color indexed="81"/>
            <rFont val="Tahoma"/>
            <family val="2"/>
          </rPr>
          <t xml:space="preserve">
Islam 2002: "A generalist predator feeding on a wide variety of small fish. Additionally, feeds on shrimp and other crustaceans, amphipods, small mollusks, squid (Ommastrephidae), lizards, and insects. At breeding colonies, preys on eggs. Also, scavenges with other gulls along shoreline and beaches for refuse and carrion (Bent 1921, Kaufman 1996)"</t>
        </r>
      </text>
    </comment>
    <comment ref="C50" authorId="0">
      <text>
        <r>
          <rPr>
            <b/>
            <sz val="9"/>
            <color indexed="81"/>
            <rFont val="Tahoma"/>
            <family val="2"/>
          </rPr>
          <t>Emma Cashman Kelsey:</t>
        </r>
        <r>
          <rPr>
            <sz val="9"/>
            <color indexed="81"/>
            <rFont val="Tahoma"/>
            <family val="2"/>
          </rPr>
          <t xml:space="preserve">
Pierotti and Good: "An opportunistic feeder, mainly fish, especially capelin (Mallotus villosus), eulachon, and other surface fish (Salomonsen 1951; Goethe 1986; Tobish 1995, 1996). Also carrion, offal in harbors, marine invertebrates, and occasionally eggs and young of other birds. Takes some terrestrial plants, algae, berries in late summer (see Diet, below)."</t>
        </r>
      </text>
    </comment>
    <comment ref="C51" authorId="0">
      <text>
        <r>
          <rPr>
            <b/>
            <sz val="9"/>
            <color indexed="81"/>
            <rFont val="Tahoma"/>
            <family val="2"/>
          </rPr>
          <t>Emma Cashman Kelsey:</t>
        </r>
        <r>
          <rPr>
            <sz val="9"/>
            <color indexed="81"/>
            <rFont val="Tahoma"/>
            <family val="2"/>
          </rPr>
          <t xml:space="preserve">
Snell: "An opportunistic feeder, mainly fish, especially capelin (Mallotus villosus), eulachon, and other surface fish (Salomonsen 1951; Goethe 1986; Tobish 1995, 1996). Also carrion, offal in harbors, marine invertebrates, and occasionally eggs and young of other birds. Takes some terrestrial plants, algae, berries in late summer (see Diet, below)."</t>
        </r>
      </text>
    </comment>
    <comment ref="C52" authorId="0">
      <text>
        <r>
          <rPr>
            <b/>
            <sz val="9"/>
            <color indexed="81"/>
            <rFont val="Tahoma"/>
            <family val="2"/>
          </rPr>
          <t>Emma Cashman Kelsey:</t>
        </r>
        <r>
          <rPr>
            <sz val="9"/>
            <color indexed="81"/>
            <rFont val="Tahoma"/>
            <family val="2"/>
          </rPr>
          <t xml:space="preserve">
Hayward: "Omnivorous, a wide variety of fish, marine invertebrates, garbage, and carrion.</t>
        </r>
      </text>
    </comment>
    <comment ref="C55" authorId="0">
      <text>
        <r>
          <rPr>
            <b/>
            <sz val="9"/>
            <color indexed="81"/>
            <rFont val="Tahoma"/>
            <family val="2"/>
          </rPr>
          <t>Emma Cashman Kelsey:</t>
        </r>
        <r>
          <rPr>
            <sz val="9"/>
            <color indexed="81"/>
            <rFont val="Tahoma"/>
            <family val="2"/>
          </rPr>
          <t xml:space="preserve">
Hatch: "Opportunistic forager; diet may vary from place to place, from year to year, and rapidly in response to diurnal and tidal cycles and activities of under-water predators."</t>
        </r>
      </text>
    </comment>
    <comment ref="C56" authorId="0">
      <text>
        <r>
          <rPr>
            <b/>
            <sz val="9"/>
            <color indexed="81"/>
            <rFont val="Tahoma"/>
            <family val="2"/>
          </rPr>
          <t>Emma Cashman Kelsey:</t>
        </r>
        <r>
          <rPr>
            <sz val="9"/>
            <color indexed="81"/>
            <rFont val="Tahoma"/>
            <family val="2"/>
          </rPr>
          <t xml:space="preserve">
Nisbet: "Generalist and opportunist; Adults feed on a wide variety of fish and invertebrates in all areas, but chicks are fed mainly fish at coastal colonies, and almost exclusively fish at freshwater sites. Diets vary spatially, annually, weekly, daily, and even hourly in relation to diurnal and tidal cycles, and activity of predatory fish."
Willmott: 3</t>
        </r>
      </text>
    </comment>
    <comment ref="C57" authorId="0">
      <text>
        <r>
          <rPr>
            <b/>
            <sz val="9"/>
            <color indexed="81"/>
            <rFont val="Tahoma"/>
            <family val="2"/>
          </rPr>
          <t>Emma Cashman Kelsey:</t>
        </r>
        <r>
          <rPr>
            <sz val="9"/>
            <color indexed="81"/>
            <rFont val="Tahoma"/>
            <family val="2"/>
          </rPr>
          <t xml:space="preserve">
Burness et al. 1999: "Primary prey is northern anchovy."</t>
        </r>
      </text>
    </comment>
    <comment ref="C58" authorId="0">
      <text>
        <r>
          <rPr>
            <b/>
            <sz val="9"/>
            <color indexed="81"/>
            <rFont val="Tahoma"/>
            <family val="2"/>
          </rPr>
          <t>Emma Cashman Kelsey:</t>
        </r>
        <r>
          <rPr>
            <sz val="9"/>
            <color indexed="81"/>
            <rFont val="Tahoma"/>
            <family val="2"/>
          </rPr>
          <t xml:space="preserve">
Buckley and Buckley: "Fish, augmented by crustaceans, particularly shrimp. Prey items eaten by adults presumed similar to those fed chicks in colonies. Great variability in relative proportions of taxa taken associated with seasonal, oceanographic, climatic, weather, stochastic, and zoogeographic factors, such that rarely do any 2 studies report same results of diet analysis."</t>
        </r>
      </text>
    </comment>
    <comment ref="C61" authorId="0">
      <text>
        <r>
          <rPr>
            <b/>
            <sz val="9"/>
            <color indexed="81"/>
            <rFont val="Tahoma"/>
            <family val="2"/>
          </rPr>
          <t>Emma Cashman Kelsey:</t>
        </r>
        <r>
          <rPr>
            <sz val="9"/>
            <color indexed="81"/>
            <rFont val="Tahoma"/>
            <family val="2"/>
          </rPr>
          <t xml:space="preserve">
Parnell: "An opportunistic feeder on many kinds of terrestrial and aquatic animals."</t>
        </r>
      </text>
    </comment>
    <comment ref="C68" authorId="0">
      <text>
        <r>
          <rPr>
            <b/>
            <sz val="9"/>
            <color indexed="81"/>
            <rFont val="Tahoma"/>
            <family val="2"/>
          </rPr>
          <t>Emma Cashman Kelsey:</t>
        </r>
        <r>
          <rPr>
            <sz val="9"/>
            <color indexed="81"/>
            <rFont val="Tahoma"/>
            <family val="2"/>
          </rPr>
          <t xml:space="preserve">
Ewins 1993: feed throughout the water collumn in shallow areas
Nelson 1997: generalist</t>
        </r>
      </text>
    </comment>
    <comment ref="C69" authorId="0">
      <text>
        <r>
          <rPr>
            <b/>
            <sz val="9"/>
            <color indexed="81"/>
            <rFont val="Tahoma"/>
            <family val="2"/>
          </rPr>
          <t>Emma Cashman Kelsey:</t>
        </r>
        <r>
          <rPr>
            <sz val="9"/>
            <color indexed="81"/>
            <rFont val="Tahoma"/>
            <family val="2"/>
          </rPr>
          <t xml:space="preserve">
Drost and Lewis: "Off Santa Barbara I., larval anchovies comprised nearly half of total volume of samples analyzed (Hunt et al. 1981; also see Table 2). When anchovy abundance is low (e.g., 1978), breeding is delayed by &gt;1 mo and overall reproductive effort is lower (Hunt et al. 1981)"</t>
        </r>
      </text>
    </comment>
    <comment ref="C72" authorId="0">
      <text>
        <r>
          <rPr>
            <b/>
            <sz val="9"/>
            <color indexed="81"/>
            <rFont val="Tahoma"/>
            <family val="2"/>
          </rPr>
          <t>Emma Cashman Kelsey:</t>
        </r>
        <r>
          <rPr>
            <sz val="9"/>
            <color indexed="81"/>
            <rFont val="Tahoma"/>
            <family val="2"/>
          </rPr>
          <t xml:space="preserve">
Ewins 1993: "Considerable variation in diet within range and among years"</t>
        </r>
      </text>
    </comment>
    <comment ref="C73" authorId="0">
      <text>
        <r>
          <rPr>
            <b/>
            <sz val="9"/>
            <color indexed="81"/>
            <rFont val="Tahoma"/>
            <family val="2"/>
          </rPr>
          <t>Emma Cashman Kelsey:</t>
        </r>
        <r>
          <rPr>
            <sz val="9"/>
            <color indexed="81"/>
            <rFont val="Tahoma"/>
            <family val="2"/>
          </rPr>
          <t xml:space="preserve">
Piatt and Kitaysky: "Tufted Puffins select a smorgasbord of prey for their young, apparently taking whatever pelagic fish are most abundant or available to them in the vicinity of each breeding colony."</t>
        </r>
      </text>
    </comment>
    <comment ref="C74" authorId="0">
      <text>
        <r>
          <rPr>
            <b/>
            <sz val="9"/>
            <color indexed="81"/>
            <rFont val="Tahoma"/>
            <family val="2"/>
          </rPr>
          <t>Emma Cashman Kelsey:</t>
        </r>
        <r>
          <rPr>
            <sz val="9"/>
            <color indexed="81"/>
            <rFont val="Tahoma"/>
            <family val="2"/>
          </rPr>
          <t xml:space="preserve">
Piatt and Kitaysky: "Besides common prey, Horned Puffins feed chicks few other species, especially in comparison to Tufted Puffins"</t>
        </r>
      </text>
    </comment>
  </commentList>
</comments>
</file>

<file path=xl/comments8.xml><?xml version="1.0" encoding="utf-8"?>
<comments xmlns="http://schemas.openxmlformats.org/spreadsheetml/2006/main">
  <authors>
    <author>Emma Cashman Kelsey</author>
  </authors>
  <commentList>
    <comment ref="C2" authorId="0">
      <text>
        <r>
          <rPr>
            <b/>
            <sz val="9"/>
            <color indexed="81"/>
            <rFont val="Tahoma"/>
            <family val="2"/>
          </rPr>
          <t>Emma Cashman Kelsey:</t>
        </r>
        <r>
          <rPr>
            <sz val="9"/>
            <color indexed="81"/>
            <rFont val="Tahoma"/>
            <family val="2"/>
          </rPr>
          <t xml:space="preserve">
Furness and Wade: Common scoter and Velvet scoter = 3</t>
        </r>
      </text>
    </comment>
    <comment ref="F2" authorId="0">
      <text>
        <r>
          <rPr>
            <b/>
            <sz val="9"/>
            <color indexed="81"/>
            <rFont val="Tahoma"/>
            <family val="2"/>
          </rPr>
          <t>Emma Cashman Kelsey:</t>
        </r>
        <r>
          <rPr>
            <sz val="9"/>
            <color indexed="81"/>
            <rFont val="Tahoma"/>
            <family val="2"/>
          </rPr>
          <t xml:space="preserve">
Furness and Wade: Common scoter and Velvet scoter = 3</t>
        </r>
      </text>
    </comment>
    <comment ref="C3" authorId="0">
      <text>
        <r>
          <rPr>
            <b/>
            <sz val="9"/>
            <color indexed="81"/>
            <rFont val="Tahoma"/>
            <family val="2"/>
          </rPr>
          <t>Emma Cashman Kelsey:</t>
        </r>
        <r>
          <rPr>
            <sz val="9"/>
            <color indexed="81"/>
            <rFont val="Tahoma"/>
            <family val="2"/>
          </rPr>
          <t xml:space="preserve">
Furness and Wade: Common scoter and Velvet scoter = 3</t>
        </r>
      </text>
    </comment>
    <comment ref="F3" authorId="0">
      <text>
        <r>
          <rPr>
            <b/>
            <sz val="9"/>
            <color indexed="81"/>
            <rFont val="Tahoma"/>
            <family val="2"/>
          </rPr>
          <t>Emma Cashman Kelsey:</t>
        </r>
        <r>
          <rPr>
            <sz val="9"/>
            <color indexed="81"/>
            <rFont val="Tahoma"/>
            <family val="2"/>
          </rPr>
          <t xml:space="preserve">
Furness and Wade: Common scoter and Velvet scoter = 3</t>
        </r>
      </text>
    </comment>
    <comment ref="C4" authorId="0">
      <text>
        <r>
          <rPr>
            <b/>
            <sz val="9"/>
            <color indexed="81"/>
            <rFont val="Tahoma"/>
            <family val="2"/>
          </rPr>
          <t>Emma Cashman Kelsey:</t>
        </r>
        <r>
          <rPr>
            <sz val="9"/>
            <color indexed="81"/>
            <rFont val="Tahoma"/>
            <family val="2"/>
          </rPr>
          <t xml:space="preserve">
Furness and Wade: Common scoter and Velvet scoter = 3</t>
        </r>
      </text>
    </comment>
    <comment ref="F4" authorId="0">
      <text>
        <r>
          <rPr>
            <b/>
            <sz val="9"/>
            <color indexed="81"/>
            <rFont val="Tahoma"/>
            <family val="2"/>
          </rPr>
          <t>Emma Cashman Kelsey:</t>
        </r>
        <r>
          <rPr>
            <sz val="9"/>
            <color indexed="81"/>
            <rFont val="Tahoma"/>
            <family val="2"/>
          </rPr>
          <t xml:space="preserve">
Furness and Wade: Common scoter and Velvet scoter = 3</t>
        </r>
      </text>
    </comment>
    <comment ref="B8" authorId="0">
      <text>
        <r>
          <rPr>
            <b/>
            <sz val="9"/>
            <color indexed="81"/>
            <rFont val="Tahoma"/>
            <family val="2"/>
          </rPr>
          <t>Emma Cashman Kelsey:</t>
        </r>
        <r>
          <rPr>
            <sz val="9"/>
            <color indexed="81"/>
            <rFont val="Tahoma"/>
            <family val="2"/>
          </rPr>
          <t xml:space="preserve">
aka great northern diver</t>
        </r>
      </text>
    </comment>
    <comment ref="B9" authorId="0">
      <text>
        <r>
          <rPr>
            <b/>
            <sz val="9"/>
            <color indexed="81"/>
            <rFont val="Tahoma"/>
            <family val="2"/>
          </rPr>
          <t>Emma Cashman Kelsey:</t>
        </r>
        <r>
          <rPr>
            <sz val="9"/>
            <color indexed="81"/>
            <rFont val="Tahoma"/>
            <family val="2"/>
          </rPr>
          <t xml:space="preserve">
sub spp of arctic/black-throated loon</t>
        </r>
      </text>
    </comment>
    <comment ref="B11" authorId="0">
      <text>
        <r>
          <rPr>
            <b/>
            <sz val="9"/>
            <color indexed="81"/>
            <rFont val="Tahoma"/>
            <family val="2"/>
          </rPr>
          <t>Emma Cashman Kelsey:</t>
        </r>
        <r>
          <rPr>
            <sz val="9"/>
            <color indexed="81"/>
            <rFont val="Tahoma"/>
            <family val="2"/>
          </rPr>
          <t xml:space="preserve">
aka white-billed diver</t>
        </r>
      </text>
    </comment>
    <comment ref="B14" authorId="0">
      <text>
        <r>
          <rPr>
            <b/>
            <sz val="9"/>
            <color indexed="81"/>
            <rFont val="Tahoma"/>
            <family val="2"/>
          </rPr>
          <t>Emma Cashman Kelsey:</t>
        </r>
        <r>
          <rPr>
            <sz val="9"/>
            <color indexed="81"/>
            <rFont val="Tahoma"/>
            <family val="2"/>
          </rPr>
          <t xml:space="preserve">
aka- black-necked grebe</t>
        </r>
      </text>
    </comment>
    <comment ref="B15" authorId="0">
      <text>
        <r>
          <rPr>
            <b/>
            <sz val="9"/>
            <color indexed="81"/>
            <rFont val="Tahoma"/>
            <family val="2"/>
          </rPr>
          <t>Emma Cashman Kelsey:</t>
        </r>
        <r>
          <rPr>
            <sz val="9"/>
            <color indexed="81"/>
            <rFont val="Tahoma"/>
            <family val="2"/>
          </rPr>
          <t xml:space="preserve">
aka- Slavonian grebe</t>
        </r>
      </text>
    </comment>
  </commentList>
</comments>
</file>

<file path=xl/comments9.xml><?xml version="1.0" encoding="utf-8"?>
<comments xmlns="http://schemas.openxmlformats.org/spreadsheetml/2006/main">
  <authors>
    <author>Emma Cashman Kelsey</author>
  </authors>
  <commentList>
    <comment ref="C7" authorId="0">
      <text>
        <r>
          <rPr>
            <b/>
            <sz val="9"/>
            <color indexed="81"/>
            <rFont val="Tahoma"/>
            <family val="2"/>
          </rPr>
          <t>Emma Cashman Kelsey:</t>
        </r>
        <r>
          <rPr>
            <sz val="9"/>
            <color indexed="81"/>
            <rFont val="Tahoma"/>
            <family val="2"/>
          </rPr>
          <t xml:space="preserve">
Bradbury 2014 = 3</t>
        </r>
      </text>
    </comment>
    <comment ref="B8" authorId="0">
      <text>
        <r>
          <rPr>
            <b/>
            <sz val="9"/>
            <color indexed="81"/>
            <rFont val="Tahoma"/>
            <family val="2"/>
          </rPr>
          <t>Emma Cashman Kelsey:</t>
        </r>
        <r>
          <rPr>
            <sz val="9"/>
            <color indexed="81"/>
            <rFont val="Tahoma"/>
            <family val="2"/>
          </rPr>
          <t xml:space="preserve">
aka great northern diver</t>
        </r>
      </text>
    </comment>
    <comment ref="B9" authorId="0">
      <text>
        <r>
          <rPr>
            <b/>
            <sz val="9"/>
            <color indexed="81"/>
            <rFont val="Tahoma"/>
            <family val="2"/>
          </rPr>
          <t>Emma Cashman Kelsey:</t>
        </r>
        <r>
          <rPr>
            <sz val="9"/>
            <color indexed="81"/>
            <rFont val="Tahoma"/>
            <family val="2"/>
          </rPr>
          <t xml:space="preserve">
sub spp of arctic/black-throated loon</t>
        </r>
      </text>
    </comment>
    <comment ref="B11" authorId="0">
      <text>
        <r>
          <rPr>
            <b/>
            <sz val="9"/>
            <color indexed="81"/>
            <rFont val="Tahoma"/>
            <family val="2"/>
          </rPr>
          <t>Emma Cashman Kelsey:</t>
        </r>
        <r>
          <rPr>
            <sz val="9"/>
            <color indexed="81"/>
            <rFont val="Tahoma"/>
            <family val="2"/>
          </rPr>
          <t xml:space="preserve">
aka white-billed diver</t>
        </r>
      </text>
    </comment>
    <comment ref="C12" authorId="0">
      <text>
        <r>
          <rPr>
            <b/>
            <sz val="9"/>
            <color indexed="81"/>
            <rFont val="Tahoma"/>
            <family val="2"/>
          </rPr>
          <t>Emma Cashman Kelsey:</t>
        </r>
        <r>
          <rPr>
            <sz val="9"/>
            <color indexed="81"/>
            <rFont val="Tahoma"/>
            <family val="2"/>
          </rPr>
          <t xml:space="preserve">
Bradbury 2014: grebes = 3
</t>
        </r>
      </text>
    </comment>
    <comment ref="C13" authorId="0">
      <text>
        <r>
          <rPr>
            <b/>
            <sz val="9"/>
            <color indexed="81"/>
            <rFont val="Tahoma"/>
            <family val="2"/>
          </rPr>
          <t>Emma Cashman Kelsey:</t>
        </r>
        <r>
          <rPr>
            <sz val="9"/>
            <color indexed="81"/>
            <rFont val="Tahoma"/>
            <family val="2"/>
          </rPr>
          <t xml:space="preserve">
Bradbury 2014: grebes = 3</t>
        </r>
      </text>
    </comment>
    <comment ref="B14" authorId="0">
      <text>
        <r>
          <rPr>
            <b/>
            <sz val="9"/>
            <color indexed="81"/>
            <rFont val="Tahoma"/>
            <family val="2"/>
          </rPr>
          <t>Emma Cashman Kelsey:</t>
        </r>
        <r>
          <rPr>
            <sz val="9"/>
            <color indexed="81"/>
            <rFont val="Tahoma"/>
            <family val="2"/>
          </rPr>
          <t xml:space="preserve">
aka- black-necked grebe</t>
        </r>
      </text>
    </comment>
    <comment ref="C14" authorId="0">
      <text>
        <r>
          <rPr>
            <b/>
            <sz val="9"/>
            <color indexed="81"/>
            <rFont val="Tahoma"/>
            <family val="2"/>
          </rPr>
          <t>Emma Cashman Kelsey:</t>
        </r>
        <r>
          <rPr>
            <sz val="9"/>
            <color indexed="81"/>
            <rFont val="Tahoma"/>
            <family val="2"/>
          </rPr>
          <t xml:space="preserve">
Bradbury 2014: grebes = 3</t>
        </r>
      </text>
    </comment>
    <comment ref="B15" authorId="0">
      <text>
        <r>
          <rPr>
            <b/>
            <sz val="9"/>
            <color indexed="81"/>
            <rFont val="Tahoma"/>
            <family val="2"/>
          </rPr>
          <t>Emma Cashman Kelsey:</t>
        </r>
        <r>
          <rPr>
            <sz val="9"/>
            <color indexed="81"/>
            <rFont val="Tahoma"/>
            <family val="2"/>
          </rPr>
          <t xml:space="preserve">
aka- Slavonian grebe</t>
        </r>
      </text>
    </comment>
    <comment ref="C15" authorId="0">
      <text>
        <r>
          <rPr>
            <b/>
            <sz val="9"/>
            <color indexed="81"/>
            <rFont val="Tahoma"/>
            <family val="2"/>
          </rPr>
          <t>Emma Cashman Kelsey:</t>
        </r>
        <r>
          <rPr>
            <sz val="9"/>
            <color indexed="81"/>
            <rFont val="Tahoma"/>
            <family val="2"/>
          </rPr>
          <t xml:space="preserve">
Bradbury 2014: grebes = 3</t>
        </r>
      </text>
    </comment>
    <comment ref="C16" authorId="0">
      <text>
        <r>
          <rPr>
            <b/>
            <sz val="9"/>
            <color indexed="81"/>
            <rFont val="Tahoma"/>
            <family val="2"/>
          </rPr>
          <t>Emma Cashman Kelsey:</t>
        </r>
        <r>
          <rPr>
            <sz val="9"/>
            <color indexed="81"/>
            <rFont val="Tahoma"/>
            <family val="2"/>
          </rPr>
          <t xml:space="preserve">
Bradbury 2014: grebes = 3</t>
        </r>
      </text>
    </comment>
    <comment ref="C21" authorId="0">
      <text>
        <r>
          <rPr>
            <b/>
            <sz val="9"/>
            <color indexed="81"/>
            <rFont val="Tahoma"/>
            <family val="2"/>
          </rPr>
          <t>Emma Cashman Kelsey:</t>
        </r>
        <r>
          <rPr>
            <sz val="9"/>
            <color indexed="81"/>
            <rFont val="Tahoma"/>
            <family val="2"/>
          </rPr>
          <t xml:space="preserve">
Bradbury 2014= 1 (scale inverted, 1=lowest level of disturbance)</t>
        </r>
      </text>
    </comment>
    <comment ref="C41" authorId="0">
      <text>
        <r>
          <rPr>
            <b/>
            <sz val="9"/>
            <color indexed="81"/>
            <rFont val="Tahoma"/>
            <family val="2"/>
          </rPr>
          <t>Emma Cashman Kelsey:</t>
        </r>
        <r>
          <rPr>
            <sz val="9"/>
            <color indexed="81"/>
            <rFont val="Tahoma"/>
            <family val="2"/>
          </rPr>
          <t xml:space="preserve">
RNPH:
Willmott 2013 = 4
Bradbury 2014 = 1</t>
        </r>
      </text>
    </comment>
    <comment ref="C42" authorId="0">
      <text>
        <r>
          <rPr>
            <b/>
            <sz val="9"/>
            <color indexed="81"/>
            <rFont val="Tahoma"/>
            <family val="2"/>
          </rPr>
          <t>Emma Cashman Kelsey:</t>
        </r>
        <r>
          <rPr>
            <sz val="9"/>
            <color indexed="81"/>
            <rFont val="Tahoma"/>
            <family val="2"/>
          </rPr>
          <t xml:space="preserve">
Willmott 2013 = 4
Bradbury 2014 = 1</t>
        </r>
      </text>
    </comment>
  </commentList>
</comments>
</file>

<file path=xl/sharedStrings.xml><?xml version="1.0" encoding="utf-8"?>
<sst xmlns="http://schemas.openxmlformats.org/spreadsheetml/2006/main" count="3569" uniqueCount="1169">
  <si>
    <t>Scientific_name</t>
  </si>
  <si>
    <t>ABC_conservation_score</t>
  </si>
  <si>
    <t>ABC_area_importance_score</t>
  </si>
  <si>
    <t>Furness_etal_equiv_species</t>
  </si>
  <si>
    <t>EPAC_pop</t>
  </si>
  <si>
    <t>WA_pop</t>
  </si>
  <si>
    <t>OR_pop</t>
  </si>
  <si>
    <t>CA_pop</t>
  </si>
  <si>
    <t>Loons</t>
  </si>
  <si>
    <t>Common_Loon</t>
  </si>
  <si>
    <t>Gavia immer</t>
  </si>
  <si>
    <t>Flappers</t>
  </si>
  <si>
    <t>A</t>
  </si>
  <si>
    <t>610,000 - 640,000</t>
  </si>
  <si>
    <t>Pacific_Loon</t>
  </si>
  <si>
    <t>Gavia pacifica</t>
  </si>
  <si>
    <t>930,000 - 1,600,000</t>
  </si>
  <si>
    <t>Gavia stellata</t>
  </si>
  <si>
    <t>200,000 - 590,000</t>
  </si>
  <si>
    <t>Grebes</t>
  </si>
  <si>
    <t>11,000 - 21,000</t>
  </si>
  <si>
    <t>Western_Grebe</t>
  </si>
  <si>
    <t>Eared_Grebe</t>
  </si>
  <si>
    <t>Podiceps nigricollis</t>
  </si>
  <si>
    <t>3,900,000 - 4,200,000</t>
  </si>
  <si>
    <t>Procellariids</t>
  </si>
  <si>
    <t>Phoebastria nigripes</t>
  </si>
  <si>
    <t>Flap-gliders</t>
  </si>
  <si>
    <t>E</t>
  </si>
  <si>
    <t>Laysan_Albatross</t>
  </si>
  <si>
    <t>Phoebastria immutabilis</t>
  </si>
  <si>
    <t>Glider</t>
  </si>
  <si>
    <t>G</t>
  </si>
  <si>
    <t>F</t>
  </si>
  <si>
    <t>Manx_Shearwater</t>
  </si>
  <si>
    <t>Puffinus puffinus</t>
  </si>
  <si>
    <t>Sooty_Shearwater</t>
  </si>
  <si>
    <t>Northern_Fulmar</t>
  </si>
  <si>
    <t>10,000,000 - 12,000,000</t>
  </si>
  <si>
    <t>Pterodroma inexpectata</t>
  </si>
  <si>
    <t>Ashy_Storm_Petrel</t>
  </si>
  <si>
    <t>Glide-flappers</t>
  </si>
  <si>
    <t>D</t>
  </si>
  <si>
    <t>5,200 - 10,000</t>
  </si>
  <si>
    <t>Black_Storm_Petrel</t>
  </si>
  <si>
    <t>B</t>
  </si>
  <si>
    <t>Pelicans</t>
  </si>
  <si>
    <t>Brown_Pelican</t>
  </si>
  <si>
    <t>Pelecanus occidentalis</t>
  </si>
  <si>
    <t>C</t>
  </si>
  <si>
    <t>Pelecanus erythrorhynchos</t>
  </si>
  <si>
    <t>Cormorants</t>
  </si>
  <si>
    <t>Phalacrocorax penicillatus</t>
  </si>
  <si>
    <t>132–578 pairs</t>
  </si>
  <si>
    <t>Phalacrocorax auritus</t>
  </si>
  <si>
    <t>1,100,000 - 2,200,000</t>
  </si>
  <si>
    <t>Pelagic_Cormorant</t>
  </si>
  <si>
    <t>Phalacrocorax pelagicus</t>
  </si>
  <si>
    <t>Sea Ducks</t>
  </si>
  <si>
    <t>Black_Scoter</t>
  </si>
  <si>
    <t>Melanitta americana</t>
  </si>
  <si>
    <t>Surf_Scoter</t>
  </si>
  <si>
    <t>Melanitta perspicillata</t>
  </si>
  <si>
    <t>Melanitta deglandi</t>
  </si>
  <si>
    <t>Brant</t>
  </si>
  <si>
    <t>Common_Merganser</t>
  </si>
  <si>
    <t>1,700,000 - 2,400,000</t>
  </si>
  <si>
    <t>Mergus serrator</t>
  </si>
  <si>
    <t>510,000 - 610,000</t>
  </si>
  <si>
    <t>Gulls &amp; Terns</t>
  </si>
  <si>
    <t>Rissa tridactyla</t>
  </si>
  <si>
    <t>17,000,000 - 18,000,000</t>
  </si>
  <si>
    <t>Chroicocephalus philadelphia</t>
  </si>
  <si>
    <t>260,000 - 530,000</t>
  </si>
  <si>
    <t>Xema sabini</t>
  </si>
  <si>
    <t>330,000 - 700,000</t>
  </si>
  <si>
    <t>California_Gull</t>
  </si>
  <si>
    <t>Larus californicus</t>
  </si>
  <si>
    <t>Larus heermanni</t>
  </si>
  <si>
    <t>Mew_Gull</t>
  </si>
  <si>
    <t>Larus brachyrhynchus</t>
  </si>
  <si>
    <t>2,500,000 - 3,700,000</t>
  </si>
  <si>
    <t>Larus delawarensis</t>
  </si>
  <si>
    <t>Herring_Gull</t>
  </si>
  <si>
    <t>Larus smithsonianus</t>
  </si>
  <si>
    <t>Larus thayeri</t>
  </si>
  <si>
    <t>Larus glaucescens</t>
  </si>
  <si>
    <t>Western_Gull</t>
  </si>
  <si>
    <t>Larus occidentalis</t>
  </si>
  <si>
    <t>Caspian_Tern</t>
  </si>
  <si>
    <t>Hydroprogne caspia</t>
  </si>
  <si>
    <t>240,000 - 420,000</t>
  </si>
  <si>
    <t>Arctic_Tern</t>
  </si>
  <si>
    <t>Sterna paradisaea</t>
  </si>
  <si>
    <t>Common_Tern</t>
  </si>
  <si>
    <t>Sterna hirundo</t>
  </si>
  <si>
    <t>Elegant_Tern</t>
  </si>
  <si>
    <t>Thalasseus elegans</t>
  </si>
  <si>
    <t>51,000 - 90,000</t>
  </si>
  <si>
    <t>Royal_Tern</t>
  </si>
  <si>
    <t>Thalasseus maximus</t>
  </si>
  <si>
    <t>Sterna forsteri</t>
  </si>
  <si>
    <t>Least_Tern</t>
  </si>
  <si>
    <t>Sternula antillarum</t>
  </si>
  <si>
    <t>65,000 - 70,000</t>
  </si>
  <si>
    <t>Jaegers &amp; Skuas</t>
  </si>
  <si>
    <t>Stercorarius longicaudus</t>
  </si>
  <si>
    <t>150,000 - 5,000,000</t>
  </si>
  <si>
    <t>Parasitic_Jaeger</t>
  </si>
  <si>
    <t>Stercorarius parasiticus</t>
  </si>
  <si>
    <t>500,000 - 10,000,000</t>
  </si>
  <si>
    <t>Pomarine_Jaeger</t>
  </si>
  <si>
    <t>Stercorarius pomarinus</t>
  </si>
  <si>
    <t>250,000 - 3,000,000</t>
  </si>
  <si>
    <t>South_Polar_Skua</t>
  </si>
  <si>
    <t>Stercorarius maccormicki</t>
  </si>
  <si>
    <t>10,000-19,999</t>
  </si>
  <si>
    <t>Alcids</t>
  </si>
  <si>
    <t>Ancient_Murrelet</t>
  </si>
  <si>
    <t>Synthliboramphus antiquus</t>
  </si>
  <si>
    <t>1,000,000 - 2,000,000</t>
  </si>
  <si>
    <t>Ptychoramphus aleuticus</t>
  </si>
  <si>
    <t>2,500,000 - 5,000,000</t>
  </si>
  <si>
    <t>Marbled_Murrelet</t>
  </si>
  <si>
    <t>Brachyramphus marmoratus</t>
  </si>
  <si>
    <t>480,000 - 760,000</t>
  </si>
  <si>
    <t>Synthliboramphus hypoleucus</t>
  </si>
  <si>
    <t>Common_Murre</t>
  </si>
  <si>
    <t>Uria aalge</t>
  </si>
  <si>
    <t>Horned_Puffin</t>
  </si>
  <si>
    <t>Fratercula corniculata</t>
  </si>
  <si>
    <t>Pigeon_Guillemot</t>
  </si>
  <si>
    <t>Cepphus columba</t>
  </si>
  <si>
    <t>Rhinoceros_Auklet</t>
  </si>
  <si>
    <t>Cerorhinca monocerata</t>
  </si>
  <si>
    <t>Phalaropes</t>
  </si>
  <si>
    <t>Red_Phalarope</t>
  </si>
  <si>
    <t>Phalaropus fulicarius</t>
  </si>
  <si>
    <t>1,100,000 - 2,000,000</t>
  </si>
  <si>
    <t>Phalaropus lobatus</t>
  </si>
  <si>
    <t>3,600,000 - 4,500,000</t>
  </si>
  <si>
    <t>Miscellaneous</t>
  </si>
  <si>
    <t>Whimbrel</t>
  </si>
  <si>
    <t>Greater_Scaup</t>
  </si>
  <si>
    <t>Peregrine_Falcon</t>
  </si>
  <si>
    <t>Sanderling</t>
  </si>
  <si>
    <t>Taxonomy</t>
  </si>
  <si>
    <t>Common Name</t>
  </si>
  <si>
    <t>Forster's_Tern</t>
  </si>
  <si>
    <t>TaxNumCl</t>
  </si>
  <si>
    <t>Global Population References</t>
  </si>
  <si>
    <t>IUCN Threat Ranking</t>
  </si>
  <si>
    <t>FWS Status</t>
  </si>
  <si>
    <t>Number in CCS Information (Range Individuals)</t>
  </si>
  <si>
    <t>% in CCS</t>
  </si>
  <si>
    <t>Survival Ranking Sum AgeFB to  Eggs to  Lifespan</t>
  </si>
  <si>
    <t>Survival Ranking Range</t>
  </si>
  <si>
    <t>Survival Ranking References</t>
  </si>
  <si>
    <t>Lower Population sensitivity</t>
  </si>
  <si>
    <t>Best Value Population sensitivity</t>
  </si>
  <si>
    <t>Upper Population sensitivity</t>
  </si>
  <si>
    <t>Final Lower Population Sensitivity Rank</t>
  </si>
  <si>
    <t>Final Upper Population Sensitivity Rank</t>
  </si>
  <si>
    <t>DFR Score</t>
  </si>
  <si>
    <t>Time in RSZ Reference</t>
  </si>
  <si>
    <t>Macro Avoidance Reference</t>
  </si>
  <si>
    <t>BR</t>
  </si>
  <si>
    <t>Breeding Reference</t>
  </si>
  <si>
    <t>Population sensitivity</t>
  </si>
  <si>
    <t>Collision Qualitative Vulnerability</t>
  </si>
  <si>
    <t>Months Potentially in CCS</t>
  </si>
  <si>
    <t>Abreviation</t>
  </si>
  <si>
    <t>Definition</t>
  </si>
  <si>
    <t>Willmott et al term</t>
  </si>
  <si>
    <t>AO</t>
  </si>
  <si>
    <t>AOCS</t>
  </si>
  <si>
    <t>BOEM</t>
  </si>
  <si>
    <t>DFR</t>
  </si>
  <si>
    <t>DI</t>
  </si>
  <si>
    <t>FWS</t>
  </si>
  <si>
    <t>GPS</t>
  </si>
  <si>
    <t>HF</t>
  </si>
  <si>
    <t>IUCN</t>
  </si>
  <si>
    <t>MA</t>
  </si>
  <si>
    <t>NFR</t>
  </si>
  <si>
    <t>RSZ</t>
  </si>
  <si>
    <t>SR</t>
  </si>
  <si>
    <t>TR</t>
  </si>
  <si>
    <t>Annual Occurrence (hrs in CCS)</t>
  </si>
  <si>
    <t>California Current System</t>
  </si>
  <si>
    <t>Proportion of Population in CCS</t>
  </si>
  <si>
    <t>Bureau of Ocean Energy Management</t>
  </si>
  <si>
    <t>Breeding and Feeding Time in CCS</t>
  </si>
  <si>
    <t>Diurnal Flight Ranking</t>
  </si>
  <si>
    <t>Disturbance Ranking</t>
  </si>
  <si>
    <t>U.S. Fish and Wildlife Service</t>
  </si>
  <si>
    <t>Global Population Size</t>
  </si>
  <si>
    <t>Habitat Flexibility</t>
  </si>
  <si>
    <t>International Union for Conservation of Nature</t>
  </si>
  <si>
    <t>Macro Avoidance of Wind Turbines</t>
  </si>
  <si>
    <t>Nocturnal Flight Ranking</t>
  </si>
  <si>
    <t>Rotor Swept Zone</t>
  </si>
  <si>
    <t>Percent Time in the Rotor Swept Zone</t>
  </si>
  <si>
    <t>Survival Ranking</t>
  </si>
  <si>
    <t>Threat Ranking</t>
  </si>
  <si>
    <t>CCS</t>
  </si>
  <si>
    <t>CCSpop</t>
  </si>
  <si>
    <t>POP</t>
  </si>
  <si>
    <t>HR</t>
  </si>
  <si>
    <t>Disturbance by boat and helicopter Reference</t>
  </si>
  <si>
    <t>Habitat Flexibility Reference</t>
  </si>
  <si>
    <t>Displacement Score Lower</t>
  </si>
  <si>
    <t>Displacement Score</t>
  </si>
  <si>
    <t>Displacement Score Upper</t>
  </si>
  <si>
    <t>Final Displacement Ranking Score Lower</t>
  </si>
  <si>
    <t>Final Displacement Ranking Score Upper</t>
  </si>
  <si>
    <t>Lower Displacement Index (1-10)</t>
  </si>
  <si>
    <t>Best Value Displacement Index (1-10)</t>
  </si>
  <si>
    <t>Upper Displacement Index (1-10)</t>
  </si>
  <si>
    <t>Qualitative Ranking</t>
  </si>
  <si>
    <t>POP Score</t>
  </si>
  <si>
    <t>POP Uncertainty calculation</t>
  </si>
  <si>
    <t>POP Uncertainty</t>
  </si>
  <si>
    <t>Lower POP</t>
  </si>
  <si>
    <t>TR Score</t>
  </si>
  <si>
    <t>SR Score</t>
  </si>
  <si>
    <t>SR Uncertainty</t>
  </si>
  <si>
    <t>SR Uncertainty calculation</t>
  </si>
  <si>
    <t>Lower SR</t>
  </si>
  <si>
    <t>Upper SR</t>
  </si>
  <si>
    <t>Upper POP</t>
  </si>
  <si>
    <t>CCSpop Score</t>
  </si>
  <si>
    <t>CCSpop Uncertainty</t>
  </si>
  <si>
    <t>CCSpop uncertainty calculation</t>
  </si>
  <si>
    <t>Lower CCSpop</t>
  </si>
  <si>
    <t>Upper CCSpop</t>
  </si>
  <si>
    <t>CCSpop % References</t>
  </si>
  <si>
    <t>AO Reference</t>
  </si>
  <si>
    <t>NFR Score</t>
  </si>
  <si>
    <t>RSZtime Score</t>
  </si>
  <si>
    <t>MA Uncertainty</t>
  </si>
  <si>
    <t>MA uncertainty calculation</t>
  </si>
  <si>
    <t>DIScore</t>
  </si>
  <si>
    <t>DI Uncertainty</t>
  </si>
  <si>
    <t>DI uncertainty calculation</t>
  </si>
  <si>
    <t>DI Lower</t>
  </si>
  <si>
    <t>DI Upper</t>
  </si>
  <si>
    <t>MA Score Displacement</t>
  </si>
  <si>
    <t>MA Lower</t>
  </si>
  <si>
    <t>MA Upper</t>
  </si>
  <si>
    <t>HF Score</t>
  </si>
  <si>
    <t>HF Uncertainty</t>
  </si>
  <si>
    <t>HF uncertainty calculation</t>
  </si>
  <si>
    <t>HF Lower</t>
  </si>
  <si>
    <t>HF Upper</t>
  </si>
  <si>
    <t>minimum</t>
  </si>
  <si>
    <t>maximum</t>
  </si>
  <si>
    <t>other threat rankings (oil spill, bycatch, etc.)</t>
  </si>
  <si>
    <t>Branta bernicla</t>
  </si>
  <si>
    <t>Global Population Size (POP)</t>
  </si>
  <si>
    <t>ABC</t>
  </si>
  <si>
    <t>Mottled_Petrel</t>
  </si>
  <si>
    <t>Mergus merganser</t>
  </si>
  <si>
    <t>Black-legged_Kittiwake</t>
  </si>
  <si>
    <t>Numenius phaeopus</t>
  </si>
  <si>
    <t>Aythya marila</t>
  </si>
  <si>
    <t>Falco peregrinus</t>
  </si>
  <si>
    <t>Calidris alba</t>
  </si>
  <si>
    <t>Boekelheide et al. 1990</t>
  </si>
  <si>
    <t>Mallory et al. 2012</t>
  </si>
  <si>
    <t>average global pop</t>
  </si>
  <si>
    <t>Number in CCS Reference</t>
  </si>
  <si>
    <t>ABC, Russell 2002</t>
  </si>
  <si>
    <t>Russell 2002</t>
  </si>
  <si>
    <t>325,000 - 560,000</t>
  </si>
  <si>
    <t>ABC, Barr et al. 2000</t>
  </si>
  <si>
    <t>Birdlife International, Bordage and Savard 2011</t>
  </si>
  <si>
    <t>600,000 - 1,300,000</t>
  </si>
  <si>
    <t>ABC, Day et al. 2001</t>
  </si>
  <si>
    <t>2,600,000 - 5,700,000</t>
  </si>
  <si>
    <t>Willmott et al. 2013</t>
  </si>
  <si>
    <t>1,100,000 - 4,600,000</t>
  </si>
  <si>
    <t>ABC, Willmott et al. 2013</t>
  </si>
  <si>
    <t>White et al. 2002</t>
  </si>
  <si>
    <t>5,000 - 6,000</t>
  </si>
  <si>
    <t>600,000 - 700,000</t>
  </si>
  <si>
    <t>1,000,000 - 2,300,000</t>
  </si>
  <si>
    <t>Cooks_Petrel</t>
  </si>
  <si>
    <t>Parakeet_Auklet</t>
  </si>
  <si>
    <t>Aethia psittacula</t>
  </si>
  <si>
    <t>Short_tailed_Albatross</t>
  </si>
  <si>
    <t>Hawaiian_Petrel</t>
  </si>
  <si>
    <t>Craveris_murrelet</t>
  </si>
  <si>
    <t>Black-vented_Shearwater</t>
  </si>
  <si>
    <t>Black_Skimmer</t>
  </si>
  <si>
    <t>2,200 - 2,500</t>
  </si>
  <si>
    <t>Birdlife International</t>
  </si>
  <si>
    <t>Phoebastria albatrus</t>
  </si>
  <si>
    <t>530,000 - 830,000</t>
  </si>
  <si>
    <t>Puffinus opisthomelas</t>
  </si>
  <si>
    <t>Pterodroma sandwichensis</t>
  </si>
  <si>
    <t>6,500 - 8,300</t>
  </si>
  <si>
    <t>Pterodroma cookii</t>
  </si>
  <si>
    <t>Oceanites oceanicus</t>
  </si>
  <si>
    <t>Rynchops niger</t>
  </si>
  <si>
    <t>120,000 - 210,000</t>
  </si>
  <si>
    <t>1,200,000 - 1,800,000</t>
  </si>
  <si>
    <t>160,000 - 250,00</t>
  </si>
  <si>
    <t>ABC, Birdlife International</t>
  </si>
  <si>
    <t>670,000 - 1,258,000</t>
  </si>
  <si>
    <t>2,970,000 - 3,500,00</t>
  </si>
  <si>
    <t>ABC, Piatt and Kitaysky 2002</t>
  </si>
  <si>
    <t>480,000 - 690,000</t>
  </si>
  <si>
    <t>Spear and Ainley 2007</t>
  </si>
  <si>
    <t>250,000 - 2,200,000</t>
  </si>
  <si>
    <t>ABC, Bellrose 1980, Watts 2010</t>
  </si>
  <si>
    <t>1,200,000 - 1,410,000</t>
  </si>
  <si>
    <t>ABC, Watts 2010</t>
  </si>
  <si>
    <t>ABC, Willmott et al. 2013 (Watts 2010)</t>
  </si>
  <si>
    <t>6,000,000 - 30,000,000</t>
  </si>
  <si>
    <t>8,000,000 - 20,000,000</t>
  </si>
  <si>
    <t>Birdlife International, Watts 2010</t>
  </si>
  <si>
    <t>Synthliboramphus craveri</t>
  </si>
  <si>
    <t>Aechmophorus clarkii</t>
  </si>
  <si>
    <t>CA spp of special concern</t>
  </si>
  <si>
    <t>Gull-billed_Tern</t>
  </si>
  <si>
    <t>Bald_Eagle</t>
  </si>
  <si>
    <t>79,000 - 420,000</t>
  </si>
  <si>
    <t>Sterna nilotica</t>
  </si>
  <si>
    <t>Peregrine Falcon</t>
  </si>
  <si>
    <t>Fratercula cirrhata</t>
  </si>
  <si>
    <t>Yellow-billed_Loon</t>
  </si>
  <si>
    <t>Horned_Grebe</t>
  </si>
  <si>
    <t>Red-necked_Grebe</t>
  </si>
  <si>
    <t>American_White_Pelican</t>
  </si>
  <si>
    <t>Gavia adamsii</t>
  </si>
  <si>
    <t>16,000 - 32,000</t>
  </si>
  <si>
    <t>Podiceps auritus</t>
  </si>
  <si>
    <t>140,000 - 1,100,000</t>
  </si>
  <si>
    <t>Podiceps grisegena</t>
  </si>
  <si>
    <t>190,000 - 290,000</t>
  </si>
  <si>
    <t>ABC, Birdlife International, Watts 2010</t>
  </si>
  <si>
    <t>FWS Pacific Seabird Conservation Status (1-5)</t>
  </si>
  <si>
    <t>Canada Species of Risk (1-4)</t>
  </si>
  <si>
    <t>New Zeland Conservation Status- Birds (0-5)</t>
  </si>
  <si>
    <t>WA Species of Concern   (1-5)</t>
  </si>
  <si>
    <t>Japan Endangered Species         (0-5*)</t>
  </si>
  <si>
    <t>Chile (0-5)</t>
  </si>
  <si>
    <t>0.81 - 0.92</t>
  </si>
  <si>
    <t>0.90 - 0.96</t>
  </si>
  <si>
    <t>Simons and Hodges 1998</t>
  </si>
  <si>
    <t>0.79 - 0.94</t>
  </si>
  <si>
    <t>0.84 - 0.92</t>
  </si>
  <si>
    <t>Schmutz pers. com. 2014</t>
  </si>
  <si>
    <t>0.61 - 1.00</t>
  </si>
  <si>
    <t>Furness and Wade 2012, Schmutz 2014, Willmott et al. 2013</t>
  </si>
  <si>
    <t>Furness and Wade 2012, Wallace and Wallace 1998</t>
  </si>
  <si>
    <t>0.90 - 0.99</t>
  </si>
  <si>
    <t>0.55 - 0.90</t>
  </si>
  <si>
    <t>Furness and Wade 2012, Winkler 1996</t>
  </si>
  <si>
    <t>Furness and Wade 2012, Pollet et al. 2012</t>
  </si>
  <si>
    <t>0.80 - 0.93</t>
  </si>
  <si>
    <t>0.83 - 0.87</t>
  </si>
  <si>
    <t>0.75 - 0.90</t>
  </si>
  <si>
    <t>0.79 - 0.89</t>
  </si>
  <si>
    <t>0.82 - 0.90</t>
  </si>
  <si>
    <t>Buckley and Buckley 2002, Furness and Wade 2012</t>
  </si>
  <si>
    <t>0.84 - 0.94</t>
  </si>
  <si>
    <t>0.73 - 1.00</t>
  </si>
  <si>
    <t>0.68 - 0.77</t>
  </si>
  <si>
    <t>0.76 - 0.89</t>
  </si>
  <si>
    <t>Schmutz pers .com. 2014</t>
  </si>
  <si>
    <t>0.85 - 0.94</t>
  </si>
  <si>
    <t>Average Clutch Size</t>
  </si>
  <si>
    <t>Aechmophorus occidentalis</t>
  </si>
  <si>
    <t>ABC, Storer and Nuechterlein 1992</t>
  </si>
  <si>
    <t>ABC, LaPorte et al. 2013</t>
  </si>
  <si>
    <t>Number in CCS- upper</t>
  </si>
  <si>
    <t>Number in CCS- lower</t>
  </si>
  <si>
    <t>% in CCS- upper</t>
  </si>
  <si>
    <t>% in CCS- lower</t>
  </si>
  <si>
    <t>25 - 30</t>
  </si>
  <si>
    <t>6 (3-8)</t>
  </si>
  <si>
    <t>1</t>
  </si>
  <si>
    <t>4.5 (1-9)</t>
  </si>
  <si>
    <t>0.91 - 0.95</t>
  </si>
  <si>
    <t>0.83 - 0.93</t>
  </si>
  <si>
    <t>0.90 - 0.95</t>
  </si>
  <si>
    <t>0.77 - 0.88</t>
  </si>
  <si>
    <t>0.89 - 0.94</t>
  </si>
  <si>
    <t>Gaston 1992, Gaston and Jones 1998, Gaston and Shoji 2010, Ralph et al. 1995</t>
  </si>
  <si>
    <t>Furness and Wade 2012, Gaston and Jones 1998, Ralph et al. 1995</t>
  </si>
  <si>
    <t>3.5 (3-4)</t>
  </si>
  <si>
    <t>3 (2-4)</t>
  </si>
  <si>
    <t>5 (4-6)</t>
  </si>
  <si>
    <t>3 (1-6)</t>
  </si>
  <si>
    <t>Ave. Age of First Reproduction</t>
  </si>
  <si>
    <t>3 (3-7)</t>
  </si>
  <si>
    <t>8.5 (5-10)</t>
  </si>
  <si>
    <t>(2-3)</t>
  </si>
  <si>
    <t>4 (2-6)</t>
  </si>
  <si>
    <t>(6-17)</t>
  </si>
  <si>
    <t>10 (5-24)</t>
  </si>
  <si>
    <t>2 (1-3)</t>
  </si>
  <si>
    <t>1.5 (1-3)</t>
  </si>
  <si>
    <t>2.5 (1-4)</t>
  </si>
  <si>
    <t>Day et al 2001, Furness and Wade 2012</t>
  </si>
  <si>
    <t>3 (1-5)</t>
  </si>
  <si>
    <t>Furness and Wade 2012, Islam 2002</t>
  </si>
  <si>
    <t>3 (1-3)</t>
  </si>
  <si>
    <t>3 (1-4)</t>
  </si>
  <si>
    <t>Burness et al 1999, Furness and Wade 2012</t>
  </si>
  <si>
    <t>Furness and Wade 2012, Mcnicholl et al 2001</t>
  </si>
  <si>
    <t>2 (2-3)</t>
  </si>
  <si>
    <t>3 (1-7)</t>
  </si>
  <si>
    <t>Ainley et al 2002, Furness and Wade 2012, Gaston and Jones 1998,  Ralph et al. 1995</t>
  </si>
  <si>
    <t>RSZt Uncertainty</t>
  </si>
  <si>
    <t>RSZt uncertainty calculation</t>
  </si>
  <si>
    <t>Lower RSZt</t>
  </si>
  <si>
    <t>Upper RSZt</t>
  </si>
  <si>
    <t>RSZt</t>
  </si>
  <si>
    <t>MN</t>
  </si>
  <si>
    <t>Maneuverability</t>
  </si>
  <si>
    <t>DV</t>
  </si>
  <si>
    <t>Diving Vulnerability</t>
  </si>
  <si>
    <t>not done before but new studies show that offshore wind farms can create artifical reefs that could increase foraging use by diving birds</t>
  </si>
  <si>
    <t xml:space="preserve">not done before but H.T.Harvey&amp;Associates data can use flight style to analyze maneuverability of different types of birds </t>
  </si>
  <si>
    <t>Black Oystercatcher</t>
  </si>
  <si>
    <t>Furness and Wade 2012, Garthe and Huppop 2004, Moskoff and Bevier 2002</t>
  </si>
  <si>
    <t>Sowls et al. 1980</t>
  </si>
  <si>
    <t>ABC, Carter et al. 1992</t>
  </si>
  <si>
    <t>AlphaCode</t>
  </si>
  <si>
    <t>FTSP</t>
  </si>
  <si>
    <t>ASSP</t>
  </si>
  <si>
    <t>BLSP</t>
  </si>
  <si>
    <t>BRPE</t>
  </si>
  <si>
    <t>WIPE</t>
  </si>
  <si>
    <t>DCCP</t>
  </si>
  <si>
    <t>PECO</t>
  </si>
  <si>
    <t>HEEG</t>
  </si>
  <si>
    <t>RBGU</t>
  </si>
  <si>
    <t>CAGU</t>
  </si>
  <si>
    <t>WEGU</t>
  </si>
  <si>
    <t>CATE</t>
  </si>
  <si>
    <t>FOTE</t>
  </si>
  <si>
    <t>LETE</t>
  </si>
  <si>
    <t>ELTE</t>
  </si>
  <si>
    <t>ROTE</t>
  </si>
  <si>
    <t>GBTE</t>
  </si>
  <si>
    <t>BLSK</t>
  </si>
  <si>
    <t>CAAU</t>
  </si>
  <si>
    <t>MOMU</t>
  </si>
  <si>
    <t>XAMU</t>
  </si>
  <si>
    <t>COMU</t>
  </si>
  <si>
    <t>TUPU</t>
  </si>
  <si>
    <t>PIGU</t>
  </si>
  <si>
    <t>RHAU</t>
  </si>
  <si>
    <t>LAAL</t>
  </si>
  <si>
    <t>PFSH</t>
  </si>
  <si>
    <t>SOSH</t>
  </si>
  <si>
    <t>COLO</t>
  </si>
  <si>
    <t>PALO</t>
  </si>
  <si>
    <t>RTLO</t>
  </si>
  <si>
    <t>YBLO</t>
  </si>
  <si>
    <t>CLGR</t>
  </si>
  <si>
    <t>WEGR</t>
  </si>
  <si>
    <t>EAGR</t>
  </si>
  <si>
    <t>HOGR</t>
  </si>
  <si>
    <t>RNGR</t>
  </si>
  <si>
    <t>BFAL</t>
  </si>
  <si>
    <t>STAL</t>
  </si>
  <si>
    <t>BULS</t>
  </si>
  <si>
    <t>MASH</t>
  </si>
  <si>
    <t>FFSH</t>
  </si>
  <si>
    <t>SRTS</t>
  </si>
  <si>
    <t>BVSH</t>
  </si>
  <si>
    <t>NOFU</t>
  </si>
  <si>
    <t>HAPE</t>
  </si>
  <si>
    <t>COPE</t>
  </si>
  <si>
    <t>MOPE</t>
  </si>
  <si>
    <t>WISP</t>
  </si>
  <si>
    <t>BLSC</t>
  </si>
  <si>
    <t>SUSC</t>
  </si>
  <si>
    <t>WWSC</t>
  </si>
  <si>
    <t>BRAN</t>
  </si>
  <si>
    <t>COME</t>
  </si>
  <si>
    <t>RBME</t>
  </si>
  <si>
    <t>BLKI</t>
  </si>
  <si>
    <t>BOGU</t>
  </si>
  <si>
    <t>SAGU</t>
  </si>
  <si>
    <t>MEGU</t>
  </si>
  <si>
    <t>HERG</t>
  </si>
  <si>
    <t>THGU</t>
  </si>
  <si>
    <t>ARTE</t>
  </si>
  <si>
    <t>COTE</t>
  </si>
  <si>
    <t>LTJA</t>
  </si>
  <si>
    <t>PAJA</t>
  </si>
  <si>
    <t>POJA</t>
  </si>
  <si>
    <t>SPSK</t>
  </si>
  <si>
    <t>ANMU</t>
  </si>
  <si>
    <t>CRMU</t>
  </si>
  <si>
    <t>HOPU</t>
  </si>
  <si>
    <t>PAAU</t>
  </si>
  <si>
    <t>RNPH</t>
  </si>
  <si>
    <t>REPH</t>
  </si>
  <si>
    <t>0.65 - 0.8</t>
  </si>
  <si>
    <t>similar spp.</t>
  </si>
  <si>
    <t>Anderson et al. 1996, Schreiber and Mock 1988, Shields 2014, Willmott et al. 2013</t>
  </si>
  <si>
    <t>10 (43)</t>
  </si>
  <si>
    <t>Anderson et al. 1996, Knopf and Evans 2004, Schreiber and Mock 1988, Shields 2014, Willmott et al. 2013</t>
  </si>
  <si>
    <t>0.72 - 0.81</t>
  </si>
  <si>
    <t>Hobson 2013, Furness and Wade 2012</t>
  </si>
  <si>
    <t>0.81 - 0.95</t>
  </si>
  <si>
    <t>7-10 (25)</t>
  </si>
  <si>
    <t>7 - 10 (26)</t>
  </si>
  <si>
    <t>7 - 10 (34)</t>
  </si>
  <si>
    <t>7 - 10 (28)</t>
  </si>
  <si>
    <t>7 - 10 (&gt;12)</t>
  </si>
  <si>
    <t>7 - 10 (24)</t>
  </si>
  <si>
    <t>7 - 10 (16)</t>
  </si>
  <si>
    <t>7 (32)</t>
  </si>
  <si>
    <t>Abt and Konter 2009, Storer and Nuechterlein 1992</t>
  </si>
  <si>
    <t>Abt and Konter 2009, Furness and Wade 2012, LaPorte et al. 2013</t>
  </si>
  <si>
    <t>Abt and Konter 2009, Furness and Wade 2012</t>
  </si>
  <si>
    <t>Abt and Konter 2009, Furness et al. 2012, Stedman 2000, Willmott et al. 2013</t>
  </si>
  <si>
    <t>Abt and Konter 2009, Furness and Wade 2012, Garthe and Huppop 2004, Stout and Nuechterlein 1999, Willmott et al. 2013</t>
  </si>
  <si>
    <t>5 - 9 (&gt;20)</t>
  </si>
  <si>
    <t>Clapp et al. 1982, Wiley and Lee 1998, Willmott et al. 2013</t>
  </si>
  <si>
    <t>life history characteristics</t>
  </si>
  <si>
    <t>Tracy et al 2002, Willmott et al. 2013</t>
  </si>
  <si>
    <t>Rubega et al 2000, Sandercock 1997, Schamel and Tracy 1991, Willmott et al. 2013</t>
  </si>
  <si>
    <t>Awkerman et al. 2008, Botkin and Miller 1974,Gerber and Heppell 2004, Gill 1990</t>
  </si>
  <si>
    <t>Botkin and Miller 1974, Furness and Wade 2012</t>
  </si>
  <si>
    <t>0.90 - 0.93</t>
  </si>
  <si>
    <t>Borage and Savard 2001, Fox et al. 2003, Willmott et al. 2013</t>
  </si>
  <si>
    <t>0.5 - 0.88</t>
  </si>
  <si>
    <t>Dugger 1999, Titman 1999, Willmott et al. 2013</t>
  </si>
  <si>
    <t>Mallory and Metz 1999, Pearce et al. 2005, Willmott et al. 2013</t>
  </si>
  <si>
    <t>0.21 - 0.82</t>
  </si>
  <si>
    <t>0.59 - 0.98</t>
  </si>
  <si>
    <t>Kirkby et al. 1986, Krementz et al. 1997, Lewis et al. 2013, Lindberg et al. 2013, Nicholai 2012, Ward 1997, Willmott et al. 2013</t>
  </si>
  <si>
    <t>0.4 - 1.0</t>
  </si>
  <si>
    <t>De La Cruz 2013, Fox et al. 2003, Savard et al 1998</t>
  </si>
  <si>
    <t>Blurger and Gochfeld 2002, Furness and Wade 2012</t>
  </si>
  <si>
    <t>Desholm 2009, Wiley and Lee 2000, Willmott et al. 2013</t>
  </si>
  <si>
    <t>0.78 - 0.89</t>
  </si>
  <si>
    <t>0.84 - 0.88</t>
  </si>
  <si>
    <t>0.80 - 0.88</t>
  </si>
  <si>
    <t>Adams et al. 2014, Evers et al. 2010</t>
  </si>
  <si>
    <t>NA</t>
  </si>
  <si>
    <t>40000 - 56,000</t>
  </si>
  <si>
    <t>ABC, Adams et al. 2014</t>
  </si>
  <si>
    <t>261,400 - 351,336</t>
  </si>
  <si>
    <t>CCSpop Reference</t>
  </si>
  <si>
    <t>50,930 - 61,760</t>
  </si>
  <si>
    <t>0.87 - 0.90</t>
  </si>
  <si>
    <t>0.80 - 0.90</t>
  </si>
  <si>
    <t>Gaston and Jones, 1998, Nelson 1997, Peery et al. 2006, Ralph et al. 1995</t>
  </si>
  <si>
    <t>6.5 - 15</t>
  </si>
  <si>
    <t>nd</t>
  </si>
  <si>
    <t>7.0 - 10.0</t>
  </si>
  <si>
    <t>Life Expectancy</t>
  </si>
  <si>
    <t>Furness and Wade 2012, Hayward and Verbeek 2008</t>
  </si>
  <si>
    <t>Furness and Wade 2012, Pierotti and Annett 1995</t>
  </si>
  <si>
    <t>Furness and Wade 2012, Hayward and Verbeek 2008, Pierotti and Annett 1995</t>
  </si>
  <si>
    <t>Clark's_Grebe</t>
  </si>
  <si>
    <t>Black-footed_Albatross</t>
  </si>
  <si>
    <t>Buller's_Shearwater</t>
  </si>
  <si>
    <t>Pink-footed_Shearwater</t>
  </si>
  <si>
    <t>Flesh-footed_Shearwater</t>
  </si>
  <si>
    <t>Short-tailed_Shearwater</t>
  </si>
  <si>
    <t>Fork-tailed_Storm_Petrel</t>
  </si>
  <si>
    <t>Red-throated_Loon</t>
  </si>
  <si>
    <t>Leach's_Storm_Petrel</t>
  </si>
  <si>
    <t>White-winged_Scoter</t>
  </si>
  <si>
    <t>Double-crested_Cormorant</t>
  </si>
  <si>
    <t>Brandt's_Cormorant</t>
  </si>
  <si>
    <t>Willson's_Storm_Petrel</t>
  </si>
  <si>
    <t>Red-breasted_Merganser</t>
  </si>
  <si>
    <t>Bonaparte's_Gull</t>
  </si>
  <si>
    <t>Sabine's_Gull</t>
  </si>
  <si>
    <t>Heermann's_Gull</t>
  </si>
  <si>
    <t>Ring-billed_Gull</t>
  </si>
  <si>
    <t>Thayer's_Gull</t>
  </si>
  <si>
    <t>Glaucous-winged_Gull</t>
  </si>
  <si>
    <t>Long-tailed_Jaeger</t>
  </si>
  <si>
    <t>Cassin's_Auklet</t>
  </si>
  <si>
    <t>Xantus's_Murrelet</t>
  </si>
  <si>
    <t>Tufted_Puffin</t>
  </si>
  <si>
    <t>Red-necked_Phalarope</t>
  </si>
  <si>
    <t>LESP</t>
  </si>
  <si>
    <t>GWGU</t>
  </si>
  <si>
    <t>Flight Style</t>
  </si>
  <si>
    <t>Cluster Course</t>
  </si>
  <si>
    <t>Cluster Fine</t>
  </si>
  <si>
    <t>500,000 - 1,200,000</t>
  </si>
  <si>
    <t>Watts 2010, Willmott et al. 2013</t>
  </si>
  <si>
    <t>100 - 600</t>
  </si>
  <si>
    <t xml:space="preserve">B. Henry pers. com. </t>
  </si>
  <si>
    <t>Mexico Especies en riesgo (1-4)</t>
  </si>
  <si>
    <t>CA spp of special concern (1-4)</t>
  </si>
  <si>
    <t>FWS Endangered Species Act Status (1-5)</t>
  </si>
  <si>
    <t>OR Sensitive, Threatened, or Endangered Species (1-5)</t>
  </si>
  <si>
    <t>Anderson et al. 2007, FWS 2009</t>
  </si>
  <si>
    <t>12,500 - 15,470</t>
  </si>
  <si>
    <t>1,760 - 3,500</t>
  </si>
  <si>
    <t>Briggs et al. 1983, Carter et al. 1992, Sowls et al. 1980</t>
  </si>
  <si>
    <t>42,400 - 60,814</t>
  </si>
  <si>
    <t>200 - 500</t>
  </si>
  <si>
    <t>362 - 400</t>
  </si>
  <si>
    <t>400 - 600</t>
  </si>
  <si>
    <t>1000 - 2000</t>
  </si>
  <si>
    <t>25,102 - 200,000</t>
  </si>
  <si>
    <t>Adams et al. 2014, Huntington et al. 1996, Naughton et al. 2007, Sowls et al. 1980, Spear and Ainley 2007, Speich and Wahl 1989</t>
  </si>
  <si>
    <t>Briggs et al. 1983, Hatch et al. 2009</t>
  </si>
  <si>
    <t>32,300 - 22,400</t>
  </si>
  <si>
    <t>20,900 - 34,923</t>
  </si>
  <si>
    <t>0.79 - 0.91</t>
  </si>
  <si>
    <t>32,000 - 66,000</t>
  </si>
  <si>
    <t>3,200 - 6,600</t>
  </si>
  <si>
    <t>ABC, Adams et al. 2014, Islam 2002</t>
  </si>
  <si>
    <t>150,000 - 300,000</t>
  </si>
  <si>
    <t>ABC, Adams 2008</t>
  </si>
  <si>
    <t>Adams 2008, Ainley 1990, Speich and Wahl 1989</t>
  </si>
  <si>
    <t>ABC, Davis and Deuel 2008, Lewis et al. 2013, Willmott et al. 2013</t>
  </si>
  <si>
    <t>Davis and Deuel 2008, Pacific Flyway Council 2002</t>
  </si>
  <si>
    <t>ABC, Ainley 1995, Spear and Ainley 2007</t>
  </si>
  <si>
    <t>Adams et al. 2014, Ainley 1995, Carter et al. 2008, Sowls et al. 1980</t>
  </si>
  <si>
    <t>Adams et al. 2014, Ainley 2008, Sowls et al 1980, Spear and Ainley 2007</t>
  </si>
  <si>
    <t>Knof and Evans 2004</t>
  </si>
  <si>
    <t>40 - 120</t>
  </si>
  <si>
    <t>Molina 2008, Molina et al. 2014</t>
  </si>
  <si>
    <t>2100 - 3150</t>
  </si>
  <si>
    <t>Carter et al. 1992, Piatt and Kitaysky 2002</t>
  </si>
  <si>
    <t>800 - 820</t>
  </si>
  <si>
    <t>Birdlife International, Spear and Ainley 2007</t>
  </si>
  <si>
    <t>Birdlife International, Briggs et al. 1987, Burness et al. 1999</t>
  </si>
  <si>
    <t>Briggs et al. 1987, Buckley and Buckley 2002</t>
  </si>
  <si>
    <t>Briggs et al. 1987, Carter et al. 1992, Mcnicholl et al. 2001</t>
  </si>
  <si>
    <t>Briggs et al. 1987, Cullen et al 1999</t>
  </si>
  <si>
    <t>Briggs et al. 1987, Stedman 2000</t>
  </si>
  <si>
    <t>2,700,000 - 4,700,000</t>
  </si>
  <si>
    <t>ABC, Burger and Gochfeld 2002, Watts 2010</t>
  </si>
  <si>
    <t>Briggs et al. 1987, Henkel 2004, Storer and Nuechterlein 1992</t>
  </si>
  <si>
    <t>Briggs et al. 1987, Henkel 2004, LaPorte et al. 2013</t>
  </si>
  <si>
    <t>20,000 - 90,000</t>
  </si>
  <si>
    <t>225,000 - 360,000</t>
  </si>
  <si>
    <t>Birdlife International, Briggs et al. 1987</t>
  </si>
  <si>
    <t xml:space="preserve">Adams pers. com. 2014 </t>
  </si>
  <si>
    <t>5,000 - 15,000</t>
  </si>
  <si>
    <t>Birdlife International, Lee and Hanley 1996</t>
  </si>
  <si>
    <t>Birdlife International, Briggs et al. 1987, Keitt et al. 2000</t>
  </si>
  <si>
    <t>Birdlife International, McDermond and Morgan 1993, Suryan et al. 2007</t>
  </si>
  <si>
    <t>Adams et al. 2013 ,Carter et al. 1992, Manuwal et al. 2001, Speich and Wahl 1989, Sowls et al. 1980</t>
  </si>
  <si>
    <t>700 - 4270</t>
  </si>
  <si>
    <t>Briggs 1983, Carter et al. 1992, Speich and Wahl 1989, Sowls et al. 1980</t>
  </si>
  <si>
    <t>Adams et al. 2013, Carter et al 1992, Speich and Wahl 1989, Suryan et al. 2004</t>
  </si>
  <si>
    <t>100 - 3,296</t>
  </si>
  <si>
    <t>Bartle et al. 1993, Birdlife International, Briggs et al. 1987</t>
  </si>
  <si>
    <t>Bartle et al. 1993, Briggs et al. 1987, Rayner et al. 2011</t>
  </si>
  <si>
    <t>Bartle et al. 1993, Briggs et al. 1987, Simons and Hodges 1998</t>
  </si>
  <si>
    <t>5900 - 30,780</t>
  </si>
  <si>
    <t>ABC, Birdlife</t>
  </si>
  <si>
    <t>9,000 - 22,000</t>
  </si>
  <si>
    <t>Birdlife, Briggs et al. 1987</t>
  </si>
  <si>
    <t>5,000 - 10,000</t>
  </si>
  <si>
    <t>Birdlife International, Briggs et al. 1987, Piatt and Kitaysky 2002</t>
  </si>
  <si>
    <t>Briggs et al. 1983, Jones et al. 2001</t>
  </si>
  <si>
    <t>Briggs et al. 1983, Titman 1999</t>
  </si>
  <si>
    <t>Birdlife International, Mallory and Metz 1999</t>
  </si>
  <si>
    <t>10,000 - 50,000</t>
  </si>
  <si>
    <t>Briggs et al. 1983, Briggs et al. 1987, Pollet et al. 2012</t>
  </si>
  <si>
    <t>Briggs et al. 1983, Briggs et al. 1987, Pierott and Good 1994</t>
  </si>
  <si>
    <t>Adams et al. 2014, Barr et al. 2000, Briggs 1992</t>
  </si>
  <si>
    <t>Briggs et al. 1987, Briggs 1992, Stout and Nuechterlein 1999</t>
  </si>
  <si>
    <t>Awkerman et al. 2008, Briggs 1992, Briggs et al. 1987, Naughton et al. 2007</t>
  </si>
  <si>
    <t>Adams et al. 2014, Birdlife International, Briggs et al. 1987, Briggs 1992</t>
  </si>
  <si>
    <t>Birdlife International, Briggs 1987, Briggs 1992</t>
  </si>
  <si>
    <t>Adams et al. 2012, Briggs et al. 1983, Briggs et al. 1987, Briggs 1992</t>
  </si>
  <si>
    <t>Adams et al. 2014, Briggs et al. 1987, Briggs 1992, Mallory 2012</t>
  </si>
  <si>
    <t>Briggs 1992, Savard et al 1998</t>
  </si>
  <si>
    <t>Adams et al. 2014, Briggs et al. 1987, Briggs 1992</t>
  </si>
  <si>
    <t>Adams et al. 2014, Briggs 1992, Briggs et al. 1987, Gaston and Shoji 2010</t>
  </si>
  <si>
    <t>Briggs 1992, Briggs et al. 1983, Briggs et al. 1987, Tracey et al. 2002</t>
  </si>
  <si>
    <t>Briggs 1992, Briggs et al. 1983, Briggs et al. 1987, Rubega et al. 2000</t>
  </si>
  <si>
    <t>Adams et al. 2014, Carter et al. 1992, Winkler 1996</t>
  </si>
  <si>
    <t>Briggs et al. 1983, Briggs et al. 1987, Moskoff and Bevier 2002</t>
  </si>
  <si>
    <t>Adams et al. 2014, Birdlife International, Bordage and Avard 2011, Briggs et al. 1983, Stehn et al. 2006</t>
  </si>
  <si>
    <t>25,000 - 50,000</t>
  </si>
  <si>
    <t>Adams et al. 2014,  Briggs et al. 1983, Briggs et al. 1987, Briggs et al. 1992, Day et al 2001</t>
  </si>
  <si>
    <t>Adams et al. 2014, Briggs et al. 1983, Briggs et al. 1987, Briggs et al. 1992, Snell 2002</t>
  </si>
  <si>
    <t>50,500 - 25,250</t>
  </si>
  <si>
    <t>Adams et al. 2013, Briggs et al. 1983, Briggs et al. 1987, Good pers com. 2014, Naughton et al. 2007, Speich and Wahl 1989</t>
  </si>
  <si>
    <t>Briggs et al. 1983, Briggs et al. 1987, Briggs et al. 1992, Carter et al 1992, Good pers com. 2014, Sowls et al 1980</t>
  </si>
  <si>
    <t>1900 - 8000</t>
  </si>
  <si>
    <t>9900 - 24600</t>
  </si>
  <si>
    <t>Briggs et al. 1987, Briggs et al. 1992, Burger and Gochfeld 2002</t>
  </si>
  <si>
    <t>Ainley et al.</t>
  </si>
  <si>
    <t>Sea-anchor soarer</t>
  </si>
  <si>
    <t>H</t>
  </si>
  <si>
    <t>Flight Speed Group</t>
  </si>
  <si>
    <t>Cluster assumed</t>
  </si>
  <si>
    <t>Flight Speed assumed</t>
  </si>
  <si>
    <t>Craveris Murrelet</t>
  </si>
  <si>
    <t>0 - 0.04</t>
  </si>
  <si>
    <t>3.5 - 12.4</t>
  </si>
  <si>
    <t>0.1 - 1.5</t>
  </si>
  <si>
    <t>0.0 - 62.6</t>
  </si>
  <si>
    <t>18 - 42</t>
  </si>
  <si>
    <t>1.0 - 61.0</t>
  </si>
  <si>
    <t>0 - 70</t>
  </si>
  <si>
    <t>1.0 - 9.0</t>
  </si>
  <si>
    <t>1.5 - 67</t>
  </si>
  <si>
    <t>0.0 - 1.7</t>
  </si>
  <si>
    <t>0.1 - 2.0</t>
  </si>
  <si>
    <t>3.5 - 78</t>
  </si>
  <si>
    <t>2.3 - 75</t>
  </si>
  <si>
    <t>13 - 46</t>
  </si>
  <si>
    <t>8.0 - 46</t>
  </si>
  <si>
    <t>13 - 60.6</t>
  </si>
  <si>
    <t>42 - 64</t>
  </si>
  <si>
    <t>62.6 - 67</t>
  </si>
  <si>
    <t>3.8 - 46</t>
  </si>
  <si>
    <t>0.01 - 1.6</t>
  </si>
  <si>
    <t>Ainley et al., Cook et al. 2012, Furness et al. 2013, Willmott et al. 2013</t>
  </si>
  <si>
    <t>Furness et al. 2013, Johnston et al. 2014, Willmott et al. 2013</t>
  </si>
  <si>
    <t>0 - 5</t>
  </si>
  <si>
    <r>
      <rPr>
        <sz val="11"/>
        <color rgb="FF000000"/>
        <rFont val="Calibri"/>
        <family val="2"/>
      </rPr>
      <t>0.6</t>
    </r>
    <r>
      <rPr>
        <sz val="11"/>
        <color rgb="FF000000"/>
        <rFont val="Calibri"/>
        <family val="2"/>
      </rPr>
      <t xml:space="preserve"> - 62.6</t>
    </r>
  </si>
  <si>
    <t>50 - 100</t>
  </si>
  <si>
    <t>similar spp</t>
  </si>
  <si>
    <t>Cooper and Ritchie 1995, Willmott et al. 2013</t>
  </si>
  <si>
    <t>Ainley et al., Suryan et al. 2008</t>
  </si>
  <si>
    <t>Ainley et al., Willmott et al. 2014</t>
  </si>
  <si>
    <t>Briggs et al. 1983, Briggs et al. 1992, Savard et al 1998</t>
  </si>
  <si>
    <t>Time in RSZ (%)</t>
  </si>
  <si>
    <t>52 - 68</t>
  </si>
  <si>
    <t>18 - 23</t>
  </si>
  <si>
    <t>56 - 95.5</t>
  </si>
  <si>
    <t>41 - 68</t>
  </si>
  <si>
    <t>18 - 76.4</t>
  </si>
  <si>
    <t>30 - 69.5</t>
  </si>
  <si>
    <t>45 - 68</t>
  </si>
  <si>
    <t>Cook et al. 2012, Willmott et al. 2013</t>
  </si>
  <si>
    <t>2.0 - 24</t>
  </si>
  <si>
    <t>2.0 - 7.0</t>
  </si>
  <si>
    <t>10.0 - 46</t>
  </si>
  <si>
    <t>0 - 46</t>
  </si>
  <si>
    <t xml:space="preserve">Macro Avoidance </t>
  </si>
  <si>
    <t>Briggs et al. 1981</t>
  </si>
  <si>
    <t>DEC - FEB</t>
  </si>
  <si>
    <t>SEPT - JUNE</t>
  </si>
  <si>
    <t>APRIL - JUNE</t>
  </si>
  <si>
    <t xml:space="preserve">ALL </t>
  </si>
  <si>
    <t>ALL</t>
  </si>
  <si>
    <t>MARCH - DEC</t>
  </si>
  <si>
    <t>JAN - MAY</t>
  </si>
  <si>
    <t>SEPT - MAY</t>
  </si>
  <si>
    <t>JULY - MAY</t>
  </si>
  <si>
    <t>JUNE - OCT</t>
  </si>
  <si>
    <t>APRIL - NOV</t>
  </si>
  <si>
    <t>APRIL - JULY</t>
  </si>
  <si>
    <t>Briggs et al. 1981, Briggs et al. 1983</t>
  </si>
  <si>
    <t>Briggs et al. 1981, Briggs et al. 1992</t>
  </si>
  <si>
    <t>Briggs et al. 1981, Briggs et al. 1983, Briggs et al. 1992</t>
  </si>
  <si>
    <t>MARCH - NOV</t>
  </si>
  <si>
    <t>ALL (MAY - NOV)</t>
  </si>
  <si>
    <t>JULY - SEPT</t>
  </si>
  <si>
    <t>APRIL - OCT</t>
  </si>
  <si>
    <t>Briggs et al. 1981, eBird</t>
  </si>
  <si>
    <t>Briggs et al. 1981, Briggs et al. 1983, Briggs et al. 1992, eBird</t>
  </si>
  <si>
    <t>OCT - FEB</t>
  </si>
  <si>
    <t>ALL (APRIL - MAY, OCT - DEC)</t>
  </si>
  <si>
    <t>Briggs et al. 1981, Briggs et al. 1992, eBrid</t>
  </si>
  <si>
    <t>AUG - MAY</t>
  </si>
  <si>
    <t>Briggs et al. 1981, Briggs et al. 1992, eBird</t>
  </si>
  <si>
    <t>APRIL - JUNE, NOV - DEC</t>
  </si>
  <si>
    <t>APRIL - SEPT</t>
  </si>
  <si>
    <t>AUG - APR</t>
  </si>
  <si>
    <t>APRIL - JAN</t>
  </si>
  <si>
    <t>ALL (MARCH - MAY, JULY - DEC)</t>
  </si>
  <si>
    <t>JULY - OCT</t>
  </si>
  <si>
    <t>eBird</t>
  </si>
  <si>
    <t>OCT - MARCH</t>
  </si>
  <si>
    <t>MARCH - AUG</t>
  </si>
  <si>
    <t>ALL (MARCH - JULY, SEPT - JAN)</t>
  </si>
  <si>
    <t>ALL (JAN - APRIL)</t>
  </si>
  <si>
    <t>Adams et al. 2014</t>
  </si>
  <si>
    <t>SEPT - OCT</t>
  </si>
  <si>
    <t>ALL (AUG - JUNE)</t>
  </si>
  <si>
    <t>Adams et al. 2014, Briggs et al. 1981, Briggs et al. 1983, Briggs et al. 1992, eBird</t>
  </si>
  <si>
    <t>Adams et al. 2014, Briggs et al. 1981, Briggs et al. 1992, eBird</t>
  </si>
  <si>
    <t>Adams et al. 2014, Briggs et al. 1981, Briggs et al. 1992</t>
  </si>
  <si>
    <t>Adams et al. 2014, Briggs et al. 1981, Briggs et al. 1983, Briggs et al. 1992</t>
  </si>
  <si>
    <t>ALL (AUG - DEC)</t>
  </si>
  <si>
    <t>Adams et al. 2014, Briggs et al. 1992, eBird</t>
  </si>
  <si>
    <t>OCT - MAY</t>
  </si>
  <si>
    <t>Sedman 2000, Willmott et al. 2013</t>
  </si>
  <si>
    <t>Stout and Nuechterlein 1999, Willmott et al. 2013</t>
  </si>
  <si>
    <t>Briggs et al. 1981, eBird, Stout and Nuechterlein 1999</t>
  </si>
  <si>
    <t>Short-tailed_Albatross</t>
  </si>
  <si>
    <t>SEPT - APR</t>
  </si>
  <si>
    <t>Savard et al. 1998, Willmott et al. 2013</t>
  </si>
  <si>
    <t>Brown and Fredrickson 1997, Willmott et al. 2013</t>
  </si>
  <si>
    <t>Cooper and Richie 1995, Willmott et al. 2013</t>
  </si>
  <si>
    <t>Evers et al. 201, Willmott et al. 2013</t>
  </si>
  <si>
    <t>Ainley et al., North 1994</t>
  </si>
  <si>
    <t>similar spp, North 1994</t>
  </si>
  <si>
    <t>LaPorte et al. 2013</t>
  </si>
  <si>
    <t>Cullen et al. 1999</t>
  </si>
  <si>
    <t>Keitt et al. 2000</t>
  </si>
  <si>
    <t>Ainley 1995</t>
  </si>
  <si>
    <t>Hatch and Weeloh 1999, Willmott et al. 2013</t>
  </si>
  <si>
    <t>Shields 2014, Willmott et al. 2013</t>
  </si>
  <si>
    <t>Knopf and Evans 2004</t>
  </si>
  <si>
    <t>Rubega et al. 2000, Willmott et al. 2013</t>
  </si>
  <si>
    <t>Burger and Gochfeld 2002, Willmott et al. 2013</t>
  </si>
  <si>
    <t>Winkler 1996, simliar spp.</t>
  </si>
  <si>
    <t>Winkler 1999, similar spp.</t>
  </si>
  <si>
    <t>Hayward and Verbeek 2008</t>
  </si>
  <si>
    <t>Cuthbert and Wires 1999, Willmott et al. 2013</t>
  </si>
  <si>
    <t>Hatch 2002, Willmott et al. 2013</t>
  </si>
  <si>
    <t>Nisbet 2002, Willmott et al. 2013</t>
  </si>
  <si>
    <t>Gaston and Shoji 2010</t>
  </si>
  <si>
    <t>Ainley et al. 2011</t>
  </si>
  <si>
    <t>Adams et al. 2014, Briggs et al. 1981, Briggs et al. 1992, eBird, Henkel 2004</t>
  </si>
  <si>
    <t>Adams et al. 2014, Briggs et al. 1981, Briggs et al. 1983, Briggs et al. 1992, eBird, Henkel 2004</t>
  </si>
  <si>
    <t>Briggs et al. 1981, eBird, Henkel 2004</t>
  </si>
  <si>
    <t>Briggs et al. 1981, eBird, Henkel 2004, Sedman 2000</t>
  </si>
  <si>
    <t>0.84 - 0.89</t>
  </si>
  <si>
    <t>Furness and Wade 2012, Wiley and Lee 1999, Willmott et al. 2013</t>
  </si>
  <si>
    <t>7.9 - 67</t>
  </si>
  <si>
    <t>13 - 50</t>
  </si>
  <si>
    <t>similar spp.- Dias et al. 2012, Hedd et al. 2012, Willmott et al. 2013</t>
  </si>
  <si>
    <t>similar spp- Ainley 1995, Ainley and Everett 2001, Willmott et al. 2013</t>
  </si>
  <si>
    <t>Blokpoel et al. 1989, similar spp.</t>
  </si>
  <si>
    <t>Adams et al. 2014, Briggs et al. 1981, Briggs et al. 1992, McDermond and Morgan 1993</t>
  </si>
  <si>
    <t>Briggs et al. 1981, Briggs et al. 1992, McDermond and Morgan 1993</t>
  </si>
  <si>
    <t>ALL (MAY - DEC)</t>
  </si>
  <si>
    <t>AO (Hours in CCS)</t>
  </si>
  <si>
    <t>AO (months found in the CCS)</t>
  </si>
  <si>
    <t>McDermond and Morgan 1993</t>
  </si>
  <si>
    <t>Hatch 1993, Willmott et al. 2013</t>
  </si>
  <si>
    <t>Hatch et al. 1993</t>
  </si>
  <si>
    <t>Birdlife, Evertt and Pitman 1993</t>
  </si>
  <si>
    <t>Bartle et al. 1993, Briggs et al. 1981, eBird</t>
  </si>
  <si>
    <t>Bartle et al. 1993</t>
  </si>
  <si>
    <t>Adams et al. 2013, Briggs 1983, Hatch and Weseloh 1999, Siegel-Cousey and Litvinenko 1993, Sowls et al. 1980</t>
  </si>
  <si>
    <t>Adams et al. 2013, Ainley et al. 1994, Capitolo et al. 2014, Siegel-Cousey and Litvinenko 1993, Wallace and Wallace 1998</t>
  </si>
  <si>
    <t>Adams et al. 2013, Carter et al. 1992, Siegel-Cousey and Litvinenko 1993, Sowls et al 1980</t>
  </si>
  <si>
    <t>Siegel-Cousey and Litvinenko 1993</t>
  </si>
  <si>
    <t>Hatch et al. 1993, Willmott et al. 2013</t>
  </si>
  <si>
    <t>Ewins et al. 1993</t>
  </si>
  <si>
    <t>Springer et al. 1993</t>
  </si>
  <si>
    <t>Ainley et al. 1990</t>
  </si>
  <si>
    <t>Borage and Savard 2011</t>
  </si>
  <si>
    <t>Savard et al. 1998</t>
  </si>
  <si>
    <t>Brown and Fredrickson 1997</t>
  </si>
  <si>
    <t>Lewis et al. 2013</t>
  </si>
  <si>
    <t>Mallory and Metz 1999</t>
  </si>
  <si>
    <t>Titman 1999</t>
  </si>
  <si>
    <t>Evers et al. 2010</t>
  </si>
  <si>
    <t>Barr et al. 2000</t>
  </si>
  <si>
    <t>North 1994</t>
  </si>
  <si>
    <t>LaPorte et al. 2013, Henkel 2004</t>
  </si>
  <si>
    <t>Stedman 2000</t>
  </si>
  <si>
    <t>Stout and Nuechterlein 1999</t>
  </si>
  <si>
    <t>Boersma and Silva 2004</t>
  </si>
  <si>
    <t>Shields 2014</t>
  </si>
  <si>
    <t>Tracy et al. 2002</t>
  </si>
  <si>
    <t>Rubega et al. 2000</t>
  </si>
  <si>
    <t>Burger and Gochfeld 2002</t>
  </si>
  <si>
    <t>Day et al. 2001</t>
  </si>
  <si>
    <t>Winkler 2006</t>
  </si>
  <si>
    <t>Islam 2002</t>
  </si>
  <si>
    <t>Moskoff and Bevier 2002</t>
  </si>
  <si>
    <t>Pollet et al. 2012</t>
  </si>
  <si>
    <t>Pierotti and Good 1994</t>
  </si>
  <si>
    <t>Snell 2002</t>
  </si>
  <si>
    <t>Pierotti and Annett 1995</t>
  </si>
  <si>
    <t>Cutbert and Wires 1999</t>
  </si>
  <si>
    <t>Hatch 2002</t>
  </si>
  <si>
    <t>Nisbet 2002</t>
  </si>
  <si>
    <t>Burness et al. 1999</t>
  </si>
  <si>
    <t>Buckley and Buckley 2002</t>
  </si>
  <si>
    <t>Mcnicholl et al. 2001</t>
  </si>
  <si>
    <t>Thompson et al. 1997</t>
  </si>
  <si>
    <t>Molina et al. 2014</t>
  </si>
  <si>
    <t>Gochfeld and Burger 1994</t>
  </si>
  <si>
    <t>Wiley and Lee 1998</t>
  </si>
  <si>
    <t>Wiley and Lee 1999</t>
  </si>
  <si>
    <t>Wiley and Lee 2000</t>
  </si>
  <si>
    <t>Drost and Lewis 1995</t>
  </si>
  <si>
    <t>Ainley et al. 2002</t>
  </si>
  <si>
    <t>Piatt and Kitaysky 2002b</t>
  </si>
  <si>
    <t>Piatt and Kitaysky 2002a</t>
  </si>
  <si>
    <t>Gaston and Dechesne 1996</t>
  </si>
  <si>
    <t xml:space="preserve">Birdlife </t>
  </si>
  <si>
    <t>Ainley and Everett 2001, Spear and Ainley 2007</t>
  </si>
  <si>
    <t>Ainley 1995, Spear and Ainley 2007</t>
  </si>
  <si>
    <t>Huntington et al. 1996, Spear and Ainley 2007</t>
  </si>
  <si>
    <t>Jones et al. 2001, Springer et al. 1993</t>
  </si>
  <si>
    <t>Ainley et al. 1990, Piatt and Kitayksy 2002b</t>
  </si>
  <si>
    <t>Drost and Lewis 1995, Springer et al. 1993</t>
  </si>
  <si>
    <t>Ainley et al. 2011, Springer et al. 1993</t>
  </si>
  <si>
    <t>Gaston and Shoji 2010, Springer et al. 1993</t>
  </si>
  <si>
    <t>Furness et al. 2013, Stedman 2000, Willmott et al. 2013</t>
  </si>
  <si>
    <t>Garthe and Huppop 2004, Stout and Muechterlein 1999, Willmott et al. 2013</t>
  </si>
  <si>
    <t>Furness et al. 2013, Lee and Haney 1996, Willmott et al. 2013</t>
  </si>
  <si>
    <t>Tracy et al. 2002, Willmott et al. 2013</t>
  </si>
  <si>
    <t>Day et al. 2001, Willmott et al. 2013</t>
  </si>
  <si>
    <t>Furness et al. 2013, Garthe and Huppop 2004, Pierotti and Good 1994, Willmott et al. 2013</t>
  </si>
  <si>
    <t>Furness et al. 2013, Nisbet 2002, Willmott et al. 2013</t>
  </si>
  <si>
    <t>Furness et al. 2013, Garthe and Huppop 2004, Hatch 2002, Willmott et al. 2013</t>
  </si>
  <si>
    <t>Wiley and Lee 1998, Willmott et al. 2013</t>
  </si>
  <si>
    <t>Wiley and Lee 2000, Willmott et al. 2013</t>
  </si>
  <si>
    <t>Furness et al. 2013, Wiley and Lee 1999, Willmott et al. 2013</t>
  </si>
  <si>
    <t>Ainley et al. 1990, Ainley et al. 2002, Garthe and Huppop 2004, Furness et al. 2013, Willmott et al. 2013</t>
  </si>
  <si>
    <t>Birdlife, Briggs et al. 1981, Day et al. 2013, eBird, McDermond and Morgan 1993</t>
  </si>
  <si>
    <t>del Hoyo 1992, Suryan et al. 2007, Weimerskirch and Guionnet 2002</t>
  </si>
  <si>
    <t>del Hoyo 1992, Weimerskirch and Guionnet 2002</t>
  </si>
  <si>
    <t>Awkerman et al. 2009, del Hoyo 1992</t>
  </si>
  <si>
    <t>del Hoyo 1992, similar spp.</t>
  </si>
  <si>
    <t>Awkerman et al. 2008, del Hoyo 1992</t>
  </si>
  <si>
    <t>Borage and Savard 2011, Willmott et al. 2013</t>
  </si>
  <si>
    <t>Brown et al. 1997, Willmott et al. 2013</t>
  </si>
  <si>
    <t>Titman 1999, Willmott et al. 2013</t>
  </si>
  <si>
    <t>Mallory and Metz 1999, Willmott et al. 2013</t>
  </si>
  <si>
    <t>Shaffer unpub. data, similar spp.</t>
  </si>
  <si>
    <t>Lewis et al. 2013, Willmott et al. 2013</t>
  </si>
  <si>
    <t>Adams pers com.</t>
  </si>
  <si>
    <t xml:space="preserve">MA Score </t>
  </si>
  <si>
    <t>LOW</t>
  </si>
  <si>
    <t>MEDIUM</t>
  </si>
  <si>
    <t>HIGH</t>
  </si>
  <si>
    <t>Macro Avoidance (%)</t>
  </si>
  <si>
    <t>seaducks</t>
  </si>
  <si>
    <t>loons</t>
  </si>
  <si>
    <t>grebes</t>
  </si>
  <si>
    <t>pelicans</t>
  </si>
  <si>
    <t>cormorants</t>
  </si>
  <si>
    <t>phalarpoes</t>
  </si>
  <si>
    <t>alcids</t>
  </si>
  <si>
    <t>group</t>
  </si>
  <si>
    <t>albatross</t>
  </si>
  <si>
    <t>shearwaters</t>
  </si>
  <si>
    <t>petrels</t>
  </si>
  <si>
    <t>stormpetrels</t>
  </si>
  <si>
    <t>gulls</t>
  </si>
  <si>
    <t>terns</t>
  </si>
  <si>
    <t>MA Score</t>
  </si>
  <si>
    <t>jaegers and skuas</t>
  </si>
  <si>
    <t>ave. collision score min</t>
  </si>
  <si>
    <t>ave. collision score max</t>
  </si>
  <si>
    <t>ave. displacement score min</t>
  </si>
  <si>
    <t>ave. displacement score max</t>
  </si>
  <si>
    <t>Final Collision Ranking Score Lower (0-10)</t>
  </si>
  <si>
    <t>Final Collision Ranking Score Best Value (0-10)</t>
  </si>
  <si>
    <t>Final Collision Ranking Score Upper (0-10)</t>
  </si>
  <si>
    <t>Final Displacement Ranking Score Lower (0-10)</t>
  </si>
  <si>
    <t>Final Displacement Ranking Score Best Value (0-10)</t>
  </si>
  <si>
    <t>Final Displacement Ranking Score Upper (0-10)</t>
  </si>
  <si>
    <t>STDEV of ave. collision score</t>
  </si>
  <si>
    <t>STDEV of ave. displacement score</t>
  </si>
  <si>
    <t>NFR Score (lower)</t>
  </si>
  <si>
    <t>NFR Score (upper)</t>
  </si>
  <si>
    <t>DFR Score (lower)</t>
  </si>
  <si>
    <t>RSZt Score (lower)</t>
  </si>
  <si>
    <t>RSZt Score (upper)</t>
  </si>
  <si>
    <t>MA Score (lower)</t>
  </si>
  <si>
    <t>MA Score (upper)</t>
  </si>
  <si>
    <t>HF Score (lower)</t>
  </si>
  <si>
    <t>HF Score (upper)</t>
  </si>
  <si>
    <t>Displacement</t>
  </si>
  <si>
    <t>Collision</t>
  </si>
  <si>
    <t>RSZt Score- adjusted (lower)</t>
  </si>
  <si>
    <t>RSZt Score- adjusted (upper)</t>
  </si>
  <si>
    <t>RSZtime Score- adjusted</t>
  </si>
  <si>
    <t>Macro-Avoidance</t>
  </si>
  <si>
    <t>Population sensitivity lower</t>
  </si>
  <si>
    <t>Population sensitivity upper</t>
  </si>
  <si>
    <t>AmericanWhitePelican</t>
  </si>
  <si>
    <t>DCCO</t>
  </si>
  <si>
    <t>AmericanWhite_Pelican</t>
  </si>
  <si>
    <t>Night</t>
  </si>
  <si>
    <t>Day</t>
  </si>
  <si>
    <t>Population Sensitivity</t>
  </si>
  <si>
    <t>STDEV of ave. population score</t>
  </si>
  <si>
    <t>Briggs 1983, McChesney and Carter 2008, Sowls et al 1980, Spear and Ainley 2007, Speich and Wahl 1989</t>
  </si>
  <si>
    <t>Adams et al. 2014, Birdlife International, Briggs et al. 1987, Briggs et al. 1992</t>
  </si>
  <si>
    <t>Briggs 1992, Briggs et al. 1983, Gould et al 1982</t>
  </si>
  <si>
    <t>Heath et al. 2009, Molina 2008</t>
  </si>
  <si>
    <t>Adams et al. 2014, Speich and Wahl 1989, USFWS 2009</t>
  </si>
  <si>
    <t>FWS 2005, FWS 2014, IUCN 2014, Oregon DWF, Shuford and Gardali 2008, Washington DFG 2003</t>
  </si>
  <si>
    <t>FWS 2005, FWS 2014, IUCN 2014, Oregon DWF,Shuford and Gardali 2008,  Washington DFG 2003</t>
  </si>
  <si>
    <t>Flores 2010, FWS 2005, FWS 2014, IUCN 2014, Oregon DWF, Shuford and Gardali 2008, Washington DFG 2003</t>
  </si>
  <si>
    <t>FWS 2005, FWS 2014, IUCN 2014, Ministry of Enviro Japan 1991, Oregon DWF, Shuford and Gardali 2008, Washington DFG 2003</t>
  </si>
  <si>
    <t>FWS 2005, FWS 2014, IUCN 2014, Oregon DWF, Robertson et al 2013, Shuford and Gardali 2008, Washington DFG 2003</t>
  </si>
  <si>
    <t>Flores 2010, FWS 2005, FWS 2014, IUCN 2014, Ministerio del Medio Ambiente 2012, Oregon DWF, Shuford and Gardali 2008, Washington DFG 2003</t>
  </si>
  <si>
    <t>FWS 2005, FWS 2014, IUCN 2014, Oregon DWF Shuford and Gardali 2008, Washington DFG 2003,</t>
  </si>
  <si>
    <t>Flores 2010, FWS 2005, FWS 2014, IUCN 2014, Oregon DWF, Robertson et al. 2013, Shuford and Gardali 2008, Washington DFG 2003</t>
  </si>
  <si>
    <t xml:space="preserve">FWS 2005, FWS 2014, IUCN 2014, Oregon DWFShuford and Gardali 2008, Washington DFG 2003, </t>
  </si>
  <si>
    <t>Brown and Fredrickson 1997, Fox et al. 2003, Kehoe et al. 1989, Wayland 2008, Willmott et al. 2013</t>
  </si>
  <si>
    <t xml:space="preserve"> Evers et al. 2010, Mitro et al. 2010, Willmott et al. 2013</t>
  </si>
  <si>
    <t>Hatch and Weseloh 1999, Furness and Wade 2012, Seamans et al 2012, Willmott et al 2013</t>
  </si>
  <si>
    <t>Bradbury et al. 2014, Cook et al. 2012, Furness et al. 2013, Willmott et al. 2013</t>
  </si>
  <si>
    <t>Bradbury et al. 2014, Furness et al. 2013, Willmott et al. 2013</t>
  </si>
  <si>
    <t>Bradbury et al. 2014, Cook et al. 2012, Peterson et al. 2006, Willmott et al. 2013</t>
  </si>
  <si>
    <t>Bradbury et al. 2014, Peterson et al. 2006, Willmott et al. 2013</t>
  </si>
  <si>
    <t>Cook et al. 2012, Peterson et al. 2006, Willmott et al. 2013</t>
  </si>
  <si>
    <t>Bradbury et al. 2014, Cook et al. 2012, Willmott et al. 2013</t>
  </si>
  <si>
    <t>Henkel 2004, LaPorte et al. 2013</t>
  </si>
  <si>
    <t>18 - 99.5</t>
  </si>
  <si>
    <t>Cook et al. 2012, Cook et al. 2014, Peterson et al. 2006, Willmott et al. 2013</t>
  </si>
  <si>
    <t>18 - 99.2</t>
  </si>
  <si>
    <t>BRAC</t>
  </si>
  <si>
    <t>Hydrobates melania</t>
  </si>
  <si>
    <t>Hydrobates homochroa</t>
  </si>
  <si>
    <t>Hydrobates leucorhous</t>
  </si>
  <si>
    <t>Fulmarus glacialis rodgersii</t>
  </si>
  <si>
    <t>Adrenna bulleri</t>
  </si>
  <si>
    <t>Ardenna tenuirostris</t>
  </si>
  <si>
    <t>Ardenna carneipes</t>
  </si>
  <si>
    <t>Adrenna grisea</t>
  </si>
  <si>
    <t>Ardenna creatopus</t>
  </si>
  <si>
    <t>Hydrobates furcatus</t>
  </si>
  <si>
    <t>Ainley et al. 2015, Bradbury et al. 2014, Cook et al. 2012, Furness et al. 2013, Johnonston et al. 2014, Willmott et al. 2013</t>
  </si>
  <si>
    <t>Ainley et al. 2015, Bradbury et al. 2014, Willmott et al. 2013</t>
  </si>
  <si>
    <t>Ainley et al. 2015, Bradbury et al. 2014, Willmott et al. 2014</t>
  </si>
  <si>
    <t>Ainley et al. 2015, Bradbury et al. 2014, Willmott et al. 2015</t>
  </si>
  <si>
    <t>Ainley et al. 2015, Bradbury et al. 2014, Willmott et al. 2016</t>
  </si>
  <si>
    <t>Ainley et al. 2015, Bradbury et al. 2014, Cook et al. 2012, Furness et al. 2013, Johnston et al. 2014, Willmott et al. 2013</t>
  </si>
  <si>
    <t>Ainley et al. 2015, Willmott et al. 2014</t>
  </si>
  <si>
    <t>Ainley et al. 2015, Willmott et al. 2015</t>
  </si>
  <si>
    <t>Ainley et al. 2015, Willmott et al. 2016</t>
  </si>
  <si>
    <t>Ainley et al. 2015, Willmott et al. 2017</t>
  </si>
  <si>
    <t>Ainley et al. 2015, Willmott et al. 2018</t>
  </si>
  <si>
    <t>Ainley et al. 2015, Bradbury et al. 2014, Furness et al. 2013,  Willmott et al. 2013</t>
  </si>
  <si>
    <t>Ainley et al. 2015</t>
  </si>
  <si>
    <t>Ainley et al. 2015, Cook et al. 2012, Fijin, et al. 2012, Furness et al. 2013</t>
  </si>
  <si>
    <t>Ainley et al. 2015, Willmott et al. 2013</t>
  </si>
  <si>
    <t>Ainley et al. 2015, Cook et al. 2012, Furness et al. 2013, Johnston et al. 2014, Willmott et al. 2013</t>
  </si>
  <si>
    <t>Ainley et al. 2015, Bradbury et al. 2014, Cook et al. 2012, Furness et al. 2013, Johnston et al. 2014, Willmott et al. 2014</t>
  </si>
  <si>
    <t>Ainley et al. 2015, Bradbury et al. 2014, Cook et al. 2012, Furness et al. 2013, Johnston et al. 2014, Willmott et al. 2015</t>
  </si>
  <si>
    <t>Ainley et al. 2015, Bradbury et al. 2014, Cook et al. 2012, Furness et al. 2013, Johnston et al. 2014, Willmott et al. 2016</t>
  </si>
  <si>
    <t>Ainley et al. 2015, Bradbury et al. 2014, Cook et al. 2012, Furness et al. 2013, Johnston et al. 2014, Willmott et al. 2017</t>
  </si>
  <si>
    <t>Ainley et al. 2015, Bradbury et al. 2014, Cook et al. 2012, Furness et al. 2013, Johnston et al. 2014, Willmott et al. 2018</t>
  </si>
  <si>
    <t>Ainley et al. 2015, Bradbury et al. 2014, Cook et al. 2012, Furness et al. 2013, Johnston et al. 2014, Willmott et al. 2019</t>
  </si>
  <si>
    <t>Ainley et al. 2015, Bradbury et al. 2014, Fijin et al. 2012, Willmott et al. 2013</t>
  </si>
  <si>
    <t>Ainley et al. 2015, Cook et al. 2012, Fijin et al. 2012, Johnston et al. 2014, Willmott et al. 2013</t>
  </si>
  <si>
    <t>Ainley et al. 2015, Cook et al. 2012, Johnston et al. 2014, Willmott et al. 2013</t>
  </si>
  <si>
    <t>Ainley et al. 2015, Cook et al. 2012, Johnston et al. 2014, Willmott et al. 2014</t>
  </si>
  <si>
    <t>Ainley et al. 2015, Cook et al. 2012, Johnston et al. 2014, Willmott et al. 2015</t>
  </si>
  <si>
    <t>Ainley et al. 2015, Cook et al. 2012, Johnston et al. 2014, Willmott et al. 2016</t>
  </si>
  <si>
    <t>Ainley et al. 2015, Bradbury et al. 2014, Cook et al. 2012</t>
  </si>
  <si>
    <t>Ainley et al. 2015, Bradbury et al. 2014, Cook et al. 2012, Johnston et al. 2014, Willmott et al. 2013</t>
  </si>
  <si>
    <t>Scripps's_Murrelet</t>
  </si>
  <si>
    <t>Craveris_Murrelet</t>
  </si>
  <si>
    <t>del Hoyo and Sargatal 1992, Weimerskirch and Guionnet 2002</t>
  </si>
  <si>
    <t>del Hoyo and Sargatal 1992,  Weimerskirch and Guionnet 2002</t>
  </si>
  <si>
    <t>del Hoyo and Sargatal 1992, Suryan et al. 2007, Weimerskirch and Guionnet 2002</t>
  </si>
  <si>
    <t>Dias et al. 2012, del Hoyo and Sargatal 1992, Hedd et al. 2012, Willmott et al. 2013</t>
  </si>
  <si>
    <t>del Hoyo and Sargatal 1992, similar spp.</t>
  </si>
  <si>
    <t>del Hoyo and Sargatal 1992, Willmott et al. 2013</t>
  </si>
  <si>
    <t>del Hoyo and Sargatal 1992, Russell 2002</t>
  </si>
  <si>
    <t xml:space="preserve">Awkerman et al. 2009, Botkin and Miller 1974,del Hoyo and Sargatal 1992, Gill 1990 </t>
  </si>
  <si>
    <t>Botkin and Miller 1974, del Hoyo and Sargatal 1992, Furness and Wade 1012, Gill 1990, Lee and Haney 1996</t>
  </si>
  <si>
    <t>del Hoyo and Sargatal 1992, Furness and Wade 2012, Lee and Haney 1996</t>
  </si>
  <si>
    <t>Botkin and Mileler 1974, del Hoyo and Sargatal 1992, Furness and Wade 2012, Hatch 1993, Lee and Haney 1996</t>
  </si>
  <si>
    <t>Botkin and Miller 1974, del Hoyo and Sargatal 1992, Furness and Wade 2012, Mallory et al 2012</t>
  </si>
  <si>
    <t>del Hoyo and Sargatal 1992, Furness and Wade 2012, Simon and Hodges 1998</t>
  </si>
  <si>
    <t>del Hoyo and Sargatal 1992, Furness and Wade 2012</t>
  </si>
  <si>
    <t>del Hoyo and Sargatal 1992, Furness and Wade 2013</t>
  </si>
  <si>
    <t>Boersma and Silva 2001 ,del Hoyo and Sargatal 1992, Furness and Wade 2012</t>
  </si>
  <si>
    <t>del Hoyo and Sargatal 1992, Furness and Wade 2012, Huntington et al. 1996</t>
  </si>
  <si>
    <t>Clapp et al. 1982, del Hoyo and Sargatal 1992, Furness and Wade 2012</t>
  </si>
  <si>
    <t>del Hoyo and Sargatal 1996, Furness and Wade 2012, Garthe and Huppop 2004, Hatch et al. 2009</t>
  </si>
  <si>
    <t>Botkin and Miller 1974, del Hoyo and Sargatal 1996, Furness and Wade 2012, Garthe and Huppop 2004, Gill 1990, Pierotti and Good 1994, Willmott et al. 2013</t>
  </si>
  <si>
    <t>Cuthbert and Wires 1999, del Hoyo and Sargatal 1996, Suryan et al. 2004</t>
  </si>
  <si>
    <t>del Hoyo and Sargatal 1996, Garthe and Huppop 2004, Hatch 2002, Willmott 2013</t>
  </si>
  <si>
    <t>del Hoyo and Sargatal 1996, Furness and Wade 2012, Nisbet 2002</t>
  </si>
  <si>
    <t>del Hoyo and Sargatal 1996, Thompson et al. 1997</t>
  </si>
  <si>
    <t>Cuthbert and Wires 1999, del Hoyo and Sargatal 1996, Furness and Wade 2012, Molina et al. 2014</t>
  </si>
  <si>
    <t>del Hoyo and Sargatal 1996, Gochfeld and Burger 1994, Willmott et al. 2013</t>
  </si>
  <si>
    <t>del Hoyo and Sargatal 1996, Furness and Wade 2012, Gaston and Jones 1998</t>
  </si>
  <si>
    <t>del Hoyo and Sargatal 1996, Ewins 1993, Ralph et al. 1995</t>
  </si>
  <si>
    <t>del Hoyo and Sargatal 1996, Furness and Wade 2012, Piatt and Kitaysky 2002b</t>
  </si>
  <si>
    <t>del Hoyo and Sargatal 1996, Furness and Wade 2012, Piatt and Kitaysky 2002a</t>
  </si>
  <si>
    <t>del Hoyo and Sargatal 1996, Furness and Wade 2012, Gaston and Dechesne 1996, Gaston and Jones 1998, Ralph et al. 1995, Thayer 1995</t>
  </si>
  <si>
    <t xml:space="preserve">Ainley et al. 2011, del Hoyo and Sargatal 1996, Gaston and Jones 1998, Furness and Wade 2012, Jones et al. 1002, Ralph et al. 1995 </t>
  </si>
  <si>
    <t>Ainley et al. 2011, del Hoyo and Sargatal 1996, Gaston and Jones 1998, Ralph et al. 1995</t>
  </si>
  <si>
    <t>del Hoyo and Sargatal 1996, Shields 2014, Willmott et al. 2013</t>
  </si>
  <si>
    <t>del Hoyo and Sargatal 1996, Knopf and Evans 2004</t>
  </si>
  <si>
    <t>del Hoyo and Sargatal 1996, Wallace and Wallace 1998</t>
  </si>
  <si>
    <t>del Hoyo and Sargatal 1996, Hatch and Weeloh 1999, Willmott et al. 2013</t>
  </si>
  <si>
    <t>del Hoyo and Sargatal 1996, Hobson 2013</t>
  </si>
  <si>
    <t>del Hoyo and Sargatal 1996, Gaston and Shoji 2010</t>
  </si>
  <si>
    <t>del Hoyo and Sargatal 1996, similar spp.</t>
  </si>
  <si>
    <t>Ainley et al. 2011, del Hoyo and Sargatal 1996</t>
  </si>
  <si>
    <t>del Hoyo and Sargatal 1992, Evers et al. 2010, Furness et al. 2013, Willmott et al. 2013</t>
  </si>
  <si>
    <t>Barr et al. 2000, del Hoyo and Sargatal 1992, Garthe and Huppop 2004, Furness and Wade 2012, Furness et al. 2013, Willmott et al. 2013</t>
  </si>
  <si>
    <t>del Hoyo and Sargatal 1992, North 1994</t>
  </si>
  <si>
    <t>del Hoyo and Sargatal 1992, Furness et al. 2013, Willmott et al. 2013</t>
  </si>
  <si>
    <t>del Hoyo and Sargatal 1992, Keitt et al. 2000</t>
  </si>
  <si>
    <t>del Hoyo and Sargatal 1992, Furness et al. 2013, Garthe and Huppop 2004, Hatch 1993, Willmott et al. 2013</t>
  </si>
  <si>
    <t>Ainley 1995, del Hoyo and Sargatal 1992</t>
  </si>
  <si>
    <t>Ainley and Everett 2001, del Hoyo and Sargatal 1992</t>
  </si>
  <si>
    <t>Boersma and Silva 2001, del Hoyo and Sargatal 1992</t>
  </si>
  <si>
    <t>del Hoyo and Sargatal 1992, Furness et al. 2013, Huntington et al. 1996, Willmott et al. 2013</t>
  </si>
  <si>
    <t>Ainley et al. 1990, del Hoyo and Sargatal 1996</t>
  </si>
  <si>
    <t>Ainley et al. 1990, del Hoyo and Sargatal 1996, Siegel-Cousey and Litvinenko 1993, Willmott et al. 2013</t>
  </si>
  <si>
    <t>Ainley et al. 1990, del Hoyo and Sargatal 1996, Siegel-Cousey and Litvinenko 1993</t>
  </si>
  <si>
    <t>del Hoyo and Sargatal 1996, Winkler 1996</t>
  </si>
  <si>
    <t>del Hoyo and Sargatal 1996, Islam 2002</t>
  </si>
  <si>
    <t>del Hoyo and Sargatal 1996, Moskoff and Bevier 2002</t>
  </si>
  <si>
    <t>del Hoyo and Sargatal 1996, Pollet et al. 2012</t>
  </si>
  <si>
    <t>del Hoyo and Sargatal 1996, Snell 2002</t>
  </si>
  <si>
    <t>Cuthbert and Wires 1999, del Hoyo and Sargatal 1996</t>
  </si>
  <si>
    <t>Burness et al. 1999, del Hoyo and Sargatal 1996</t>
  </si>
  <si>
    <t>Buckely and Buckley 2002, del Hoyo and Sargatal 1996</t>
  </si>
  <si>
    <t>del Hoyo and Sargatal 1996, Parnell et al. 2014</t>
  </si>
  <si>
    <t>del Hoyo and Sargatal 1996, Gochfeld and Burger 1994</t>
  </si>
  <si>
    <t>del Hoyo and Sargatal 1996, Ewins et al. 1993, Nelson 1997</t>
  </si>
  <si>
    <t>Ainley et al. 1990, del Hoyo and Sargatal 1996, Ewins 1993</t>
  </si>
  <si>
    <t>Population Displacement Vulnerability best estimate</t>
  </si>
  <si>
    <t>Population Displacement Vulnerability Lower</t>
  </si>
  <si>
    <t>Population Displacement Vulnerability Upper</t>
  </si>
  <si>
    <t>Lower Displacement rank (1-3)</t>
  </si>
  <si>
    <t>Best Value Displacement rank (1-3)</t>
  </si>
  <si>
    <t>Upper Displacement rank (1-3)</t>
  </si>
  <si>
    <t>Population Collision Vulnerability Lower</t>
  </si>
  <si>
    <t>Population Collision Vulnerability Upper</t>
  </si>
  <si>
    <t>Population Collision Vulnerability best estimate</t>
  </si>
  <si>
    <t>Lower Collision rank (0-3)</t>
  </si>
  <si>
    <t>Collision rank (0-3)</t>
  </si>
  <si>
    <t>Upper Collision rank (0-3)</t>
  </si>
  <si>
    <t>Adult Survival References</t>
  </si>
  <si>
    <t>IUCN Threat Status (1-5)</t>
  </si>
  <si>
    <t>Ts references</t>
  </si>
  <si>
    <t>Adult Survival Range</t>
  </si>
  <si>
    <t>AS Score</t>
  </si>
  <si>
    <t>AS Uncertainty</t>
  </si>
  <si>
    <t>AS Uncertainty calculation</t>
  </si>
  <si>
    <t>Lower AS</t>
  </si>
  <si>
    <t>Upper AS</t>
  </si>
  <si>
    <t>Lower Population Vulnerability</t>
  </si>
  <si>
    <t>Best Value Population Vulnerability</t>
  </si>
  <si>
    <t>Upper Population Vulnerability</t>
  </si>
  <si>
    <t>Lower Population Vulnerability Rank</t>
  </si>
  <si>
    <t>Upper Population Vulnerability Rank</t>
  </si>
  <si>
    <t>NFA Score</t>
  </si>
  <si>
    <t>NFA Uncertainty</t>
  </si>
  <si>
    <t>NFA uncertainty calculation</t>
  </si>
  <si>
    <t>Lower NFA</t>
  </si>
  <si>
    <t>Upper NFA</t>
  </si>
  <si>
    <t>Nocturnal Flight Activity Reference</t>
  </si>
  <si>
    <t>DFA Score</t>
  </si>
  <si>
    <t>DFA Uncertainty</t>
  </si>
  <si>
    <t>Lower DFA</t>
  </si>
  <si>
    <t>Upper DFA</t>
  </si>
  <si>
    <t>Diurnal  Flight Activity Reference</t>
  </si>
  <si>
    <t>Collision Vulnerability Lower</t>
  </si>
  <si>
    <t xml:space="preserve">Collision Vulnerability </t>
  </si>
  <si>
    <t>Collision Vulnerability Upper</t>
  </si>
  <si>
    <t>Population Vulnerability Score Lower</t>
  </si>
  <si>
    <t>Population Vulnerability</t>
  </si>
  <si>
    <t>Population Vulnerability Score Upper</t>
  </si>
  <si>
    <t>Population Vulnerability Score</t>
  </si>
  <si>
    <t>TS Score</t>
  </si>
  <si>
    <t>DFA uncertainty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</si>
</sst>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2"/>
      <color theme="1"/>
      <name val="Calibri"/>
      <family val="2"/>
      <scheme val="minor"/>
    </font>
    <font>
      <sz val="11"/>
      <color theme="1"/>
      <name val="Calibri"/>
      <family val="2"/>
      <scheme val="minor"/>
    </font>
    <font>
      <sz val="12"/>
      <color rgb="FF9C0006"/>
      <name val="Calibri"/>
      <family val="2"/>
      <scheme val="minor"/>
    </font>
    <font>
      <sz val="12"/>
      <color rgb="FF3F3F76"/>
      <name val="Calibri"/>
      <family val="2"/>
      <scheme val="minor"/>
    </font>
    <font>
      <b/>
      <sz val="12"/>
      <color theme="1"/>
      <name val="Calibri"/>
      <family val="2"/>
      <scheme val="minor"/>
    </font>
    <font>
      <i/>
      <sz val="11"/>
      <color theme="1"/>
      <name val="Calibri"/>
      <family val="2"/>
      <scheme val="minor"/>
    </font>
    <font>
      <sz val="11"/>
      <color rgb="FF333333"/>
      <name val="Calibri"/>
      <family val="2"/>
      <scheme val="minor"/>
    </font>
    <font>
      <b/>
      <sz val="11"/>
      <color theme="1"/>
      <name val="Calibri"/>
      <family val="2"/>
      <scheme val="minor"/>
    </font>
    <font>
      <b/>
      <sz val="9"/>
      <color indexed="81"/>
      <name val="Tahoma"/>
      <family val="2"/>
    </font>
    <font>
      <sz val="9"/>
      <color indexed="81"/>
      <name val="Tahoma"/>
      <family val="2"/>
    </font>
    <font>
      <u/>
      <sz val="12"/>
      <color theme="10"/>
      <name val="Calibri"/>
      <family val="2"/>
      <scheme val="minor"/>
    </font>
    <font>
      <u/>
      <sz val="12"/>
      <color theme="11"/>
      <name val="Calibri"/>
      <family val="2"/>
      <scheme val="minor"/>
    </font>
    <font>
      <b/>
      <sz val="11"/>
      <color rgb="FF000000"/>
      <name val="Calibri"/>
      <family val="2"/>
    </font>
    <font>
      <b/>
      <sz val="11"/>
      <color rgb="FF3F3F76"/>
      <name val="Calibri"/>
      <family val="2"/>
      <scheme val="minor"/>
    </font>
    <font>
      <i/>
      <sz val="12"/>
      <color theme="1"/>
      <name val="Calibri"/>
      <family val="2"/>
      <scheme val="minor"/>
    </font>
    <font>
      <sz val="9"/>
      <color indexed="81"/>
      <name val="Calibri"/>
      <family val="2"/>
    </font>
    <font>
      <b/>
      <sz val="9"/>
      <color indexed="81"/>
      <name val="Calibri"/>
      <family val="2"/>
    </font>
    <font>
      <sz val="12"/>
      <name val="Calibri"/>
      <family val="2"/>
      <scheme val="minor"/>
    </font>
    <font>
      <sz val="12"/>
      <name val="Calibri"/>
      <family val="2"/>
      <scheme val="minor"/>
    </font>
    <font>
      <i/>
      <sz val="12"/>
      <color theme="1"/>
      <name val="Calibri"/>
      <family val="2"/>
      <scheme val="minor"/>
    </font>
    <font>
      <b/>
      <sz val="12"/>
      <color rgb="FF000000"/>
      <name val="Calibri"/>
      <family val="2"/>
      <scheme val="minor"/>
    </font>
    <font>
      <sz val="12"/>
      <color rgb="FF000000"/>
      <name val="Calibri"/>
      <family val="2"/>
      <scheme val="minor"/>
    </font>
    <font>
      <sz val="12"/>
      <color rgb="FF333333"/>
      <name val="Calibri"/>
      <family val="2"/>
      <scheme val="minor"/>
    </font>
    <font>
      <sz val="11"/>
      <color rgb="FF000000"/>
      <name val="Calibri"/>
      <family val="2"/>
    </font>
    <font>
      <sz val="11"/>
      <color rgb="FF000000"/>
      <name val="Calibri"/>
      <family val="2"/>
    </font>
    <font>
      <b/>
      <sz val="11"/>
      <name val="Calibri"/>
      <family val="2"/>
      <scheme val="minor"/>
    </font>
    <font>
      <sz val="12"/>
      <color theme="1"/>
      <name val="Calibri"/>
      <family val="2"/>
      <scheme val="minor"/>
    </font>
    <font>
      <sz val="11"/>
      <color rgb="FF3F3F76"/>
      <name val="Calibri"/>
      <family val="2"/>
      <scheme val="minor"/>
    </font>
  </fonts>
  <fills count="39">
    <fill>
      <patternFill patternType="none"/>
    </fill>
    <fill>
      <patternFill patternType="gray125"/>
    </fill>
    <fill>
      <patternFill patternType="solid">
        <fgColor rgb="FFFFC7CE"/>
      </patternFill>
    </fill>
    <fill>
      <patternFill patternType="solid">
        <fgColor rgb="FFFFCC99"/>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patternFill>
    </fill>
    <fill>
      <patternFill patternType="solid">
        <fgColor theme="0" tint="-0.34998626667073579"/>
        <bgColor rgb="FFC0C0C0"/>
      </patternFill>
    </fill>
    <fill>
      <patternFill patternType="solid">
        <fgColor theme="0" tint="-0.34998626667073579"/>
        <bgColor indexed="64"/>
      </patternFill>
    </fill>
    <fill>
      <patternFill patternType="solid">
        <fgColor theme="3" tint="0.79998168889431442"/>
        <bgColor rgb="FFC0C0C0"/>
      </patternFill>
    </fill>
    <fill>
      <patternFill patternType="solid">
        <fgColor theme="3" tint="0.79998168889431442"/>
        <bgColor indexed="64"/>
      </patternFill>
    </fill>
    <fill>
      <patternFill patternType="solid">
        <fgColor theme="6" tint="0.79998168889431442"/>
        <bgColor rgb="FFC0C0C0"/>
      </patternFill>
    </fill>
    <fill>
      <patternFill patternType="solid">
        <fgColor theme="6" tint="0.79998168889431442"/>
        <bgColor indexed="64"/>
      </patternFill>
    </fill>
    <fill>
      <patternFill patternType="solid">
        <fgColor theme="5" tint="0.79998168889431442"/>
        <bgColor rgb="FFC0C0C0"/>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79998168889431442"/>
        <bgColor rgb="FFC0C0C0"/>
      </patternFill>
    </fill>
    <fill>
      <patternFill patternType="solid">
        <fgColor rgb="FFFFFF99"/>
        <bgColor rgb="FFC0C0C0"/>
      </patternFill>
    </fill>
    <fill>
      <patternFill patternType="solid">
        <fgColor theme="9" tint="0.59999389629810485"/>
        <bgColor rgb="FFC0C0C0"/>
      </patternFill>
    </fill>
    <fill>
      <patternFill patternType="solid">
        <fgColor theme="9" tint="0.59999389629810485"/>
        <bgColor indexed="64"/>
      </patternFill>
    </fill>
    <fill>
      <patternFill patternType="solid">
        <fgColor theme="9" tint="0.79998168889431442"/>
        <bgColor rgb="FFC0C0C0"/>
      </patternFill>
    </fill>
    <fill>
      <patternFill patternType="solid">
        <fgColor theme="0" tint="-0.14999847407452621"/>
        <bgColor rgb="FFC0C0C0"/>
      </patternFill>
    </fill>
    <fill>
      <patternFill patternType="solid">
        <fgColor rgb="FFFF7C80"/>
        <bgColor rgb="FFC0C0C0"/>
      </patternFill>
    </fill>
    <fill>
      <patternFill patternType="solid">
        <fgColor theme="9" tint="0.79998168889431442"/>
        <bgColor indexed="64"/>
      </patternFill>
    </fill>
    <fill>
      <patternFill patternType="solid">
        <fgColor rgb="FFFFFF99"/>
        <bgColor indexed="64"/>
      </patternFill>
    </fill>
    <fill>
      <patternFill patternType="solid">
        <fgColor rgb="FFFF7C8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59999389629810485"/>
        <bgColor rgb="FFC0C0C0"/>
      </patternFill>
    </fill>
    <fill>
      <patternFill patternType="solid">
        <fgColor theme="2" tint="-9.9978637043366805E-2"/>
        <bgColor rgb="FFC0C0C0"/>
      </patternFill>
    </fill>
    <fill>
      <patternFill patternType="solid">
        <fgColor theme="0" tint="-4.9989318521683403E-2"/>
        <bgColor rgb="FFC0C0C0"/>
      </patternFill>
    </fill>
    <fill>
      <patternFill patternType="solid">
        <fgColor theme="0" tint="-4.9989318521683403E-2"/>
        <bgColor indexed="64"/>
      </patternFill>
    </fill>
    <fill>
      <patternFill patternType="solid">
        <fgColor theme="0"/>
        <bgColor rgb="FFC0C0C0"/>
      </patternFill>
    </fill>
    <fill>
      <patternFill patternType="solid">
        <fgColor rgb="FFCCFFCC"/>
        <bgColor indexed="64"/>
      </patternFill>
    </fill>
    <fill>
      <patternFill patternType="solid">
        <fgColor rgb="FFFFFF99"/>
        <bgColor rgb="FF000000"/>
      </patternFill>
    </fill>
    <fill>
      <patternFill patternType="solid">
        <fgColor theme="9" tint="0.39997558519241921"/>
        <bgColor indexed="64"/>
      </patternFill>
    </fill>
    <fill>
      <patternFill patternType="solid">
        <fgColor theme="9" tint="0.39997558519241921"/>
        <bgColor rgb="FFC0C0C0"/>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rgb="FF7F7F7F"/>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double">
        <color indexed="64"/>
      </bottom>
      <diagonal/>
    </border>
    <border>
      <left/>
      <right/>
      <top/>
      <bottom style="double">
        <color indexed="64"/>
      </bottom>
      <diagonal/>
    </border>
    <border>
      <left style="thin">
        <color rgb="FF7F7F7F"/>
      </left>
      <right style="thin">
        <color rgb="FF7F7F7F"/>
      </right>
      <top/>
      <bottom style="thin">
        <color rgb="FF7F7F7F"/>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double">
        <color indexed="64"/>
      </top>
      <bottom/>
      <diagonal/>
    </border>
  </borders>
  <cellStyleXfs count="238">
    <xf numFmtId="0" fontId="0" fillId="0" borderId="0"/>
    <xf numFmtId="0" fontId="2" fillId="2" borderId="0" applyNumberFormat="0" applyBorder="0" applyAlignment="0" applyProtection="0"/>
    <xf numFmtId="0" fontId="3" fillId="3" borderId="1"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0" fontId="1" fillId="0" borderId="0"/>
    <xf numFmtId="0" fontId="27" fillId="3" borderId="1" applyNumberFormat="0" applyAlignment="0" applyProtection="0"/>
    <xf numFmtId="0" fontId="26" fillId="0" borderId="0"/>
    <xf numFmtId="0" fontId="2" fillId="2" borderId="0" applyNumberFormat="0" applyBorder="0" applyAlignment="0" applyProtection="0"/>
    <xf numFmtId="0" fontId="3" fillId="3" borderId="1" applyNumberFormat="0" applyAlignment="0" applyProtection="0"/>
  </cellStyleXfs>
  <cellXfs count="384">
    <xf numFmtId="0" fontId="0" fillId="0" borderId="0" xfId="0"/>
    <xf numFmtId="0" fontId="0" fillId="0" borderId="2" xfId="0" applyFont="1" applyBorder="1" applyAlignment="1">
      <alignment horizontal="left"/>
    </xf>
    <xf numFmtId="0" fontId="4" fillId="0" borderId="0" xfId="0" applyFont="1"/>
    <xf numFmtId="0" fontId="0" fillId="0" borderId="2" xfId="0" applyBorder="1"/>
    <xf numFmtId="0" fontId="0" fillId="5" borderId="2" xfId="0" applyFill="1" applyBorder="1"/>
    <xf numFmtId="0" fontId="0" fillId="5" borderId="2" xfId="0" applyFont="1" applyFill="1" applyBorder="1" applyAlignment="1">
      <alignment horizontal="left"/>
    </xf>
    <xf numFmtId="0" fontId="12" fillId="8" borderId="2" xfId="0" applyFont="1" applyFill="1" applyBorder="1" applyAlignment="1" applyProtection="1">
      <alignment horizontal="center" wrapText="1"/>
    </xf>
    <xf numFmtId="0" fontId="12" fillId="10" borderId="4" xfId="0" applyFont="1" applyFill="1" applyBorder="1" applyAlignment="1" applyProtection="1">
      <alignment horizontal="center" wrapText="1"/>
    </xf>
    <xf numFmtId="0" fontId="0" fillId="11" borderId="2" xfId="0" applyFont="1" applyFill="1" applyBorder="1" applyAlignment="1">
      <alignment horizontal="left"/>
    </xf>
    <xf numFmtId="0" fontId="6" fillId="11" borderId="2" xfId="0" applyFont="1" applyFill="1" applyBorder="1" applyAlignment="1">
      <alignment horizontal="left"/>
    </xf>
    <xf numFmtId="3" fontId="0" fillId="11" borderId="2" xfId="0" applyNumberFormat="1" applyFont="1" applyFill="1" applyBorder="1" applyAlignment="1">
      <alignment horizontal="left"/>
    </xf>
    <xf numFmtId="0" fontId="0" fillId="11" borderId="2" xfId="0" applyFill="1" applyBorder="1"/>
    <xf numFmtId="0" fontId="4" fillId="9" borderId="2" xfId="0" applyFont="1" applyFill="1" applyBorder="1" applyAlignment="1">
      <alignment horizontal="left"/>
    </xf>
    <xf numFmtId="0" fontId="4" fillId="11" borderId="2" xfId="0" applyFont="1" applyFill="1" applyBorder="1" applyAlignment="1">
      <alignment horizontal="left"/>
    </xf>
    <xf numFmtId="0" fontId="0" fillId="0" borderId="0" xfId="0" applyFill="1" applyBorder="1"/>
    <xf numFmtId="0" fontId="12" fillId="12" borderId="2" xfId="0" applyFont="1" applyFill="1" applyBorder="1" applyAlignment="1" applyProtection="1">
      <alignment horizontal="center" wrapText="1"/>
    </xf>
    <xf numFmtId="0" fontId="0" fillId="13" borderId="2" xfId="0" applyFill="1" applyBorder="1"/>
    <xf numFmtId="0" fontId="0" fillId="13" borderId="2" xfId="0" applyFont="1" applyFill="1" applyBorder="1" applyAlignment="1">
      <alignment horizontal="left"/>
    </xf>
    <xf numFmtId="0" fontId="12" fillId="14" borderId="2" xfId="0" applyFont="1" applyFill="1" applyBorder="1" applyAlignment="1" applyProtection="1">
      <alignment horizontal="center" wrapText="1"/>
    </xf>
    <xf numFmtId="0" fontId="0" fillId="15" borderId="2" xfId="0" applyFill="1" applyBorder="1"/>
    <xf numFmtId="0" fontId="0" fillId="15" borderId="2" xfId="0" applyFont="1" applyFill="1" applyBorder="1" applyAlignment="1">
      <alignment horizontal="left"/>
    </xf>
    <xf numFmtId="0" fontId="0" fillId="16" borderId="2" xfId="0" applyFont="1" applyFill="1" applyBorder="1" applyAlignment="1">
      <alignment horizontal="left"/>
    </xf>
    <xf numFmtId="0" fontId="4" fillId="6" borderId="2" xfId="0" applyFont="1" applyFill="1" applyBorder="1" applyAlignment="1">
      <alignment horizontal="left"/>
    </xf>
    <xf numFmtId="0" fontId="12" fillId="17" borderId="2" xfId="0" applyFont="1" applyFill="1" applyBorder="1" applyAlignment="1" applyProtection="1">
      <alignment horizontal="center" wrapText="1"/>
    </xf>
    <xf numFmtId="2" fontId="12" fillId="18" borderId="2" xfId="0" applyNumberFormat="1"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0" fillId="16" borderId="2" xfId="0" applyFill="1" applyBorder="1"/>
    <xf numFmtId="0" fontId="0" fillId="20" borderId="2" xfId="0" applyFill="1" applyBorder="1"/>
    <xf numFmtId="0" fontId="12" fillId="10" borderId="2" xfId="0" applyFont="1" applyFill="1" applyBorder="1" applyAlignment="1" applyProtection="1">
      <alignment horizontal="center" wrapText="1"/>
    </xf>
    <xf numFmtId="0" fontId="12" fillId="21" borderId="2" xfId="0" applyFont="1" applyFill="1" applyBorder="1" applyAlignment="1" applyProtection="1">
      <alignment horizontal="center" wrapText="1"/>
    </xf>
    <xf numFmtId="0" fontId="0" fillId="24" borderId="2" xfId="0" applyFill="1" applyBorder="1"/>
    <xf numFmtId="0" fontId="12" fillId="22" borderId="2" xfId="0" applyFont="1" applyFill="1" applyBorder="1" applyAlignment="1" applyProtection="1">
      <alignment horizontal="center" wrapText="1"/>
    </xf>
    <xf numFmtId="0" fontId="0" fillId="4" borderId="2" xfId="0" applyFill="1" applyBorder="1"/>
    <xf numFmtId="2" fontId="12" fillId="23" borderId="2" xfId="0" applyNumberFormat="1" applyFont="1" applyFill="1" applyBorder="1" applyAlignment="1" applyProtection="1">
      <alignment horizontal="center" wrapText="1"/>
    </xf>
    <xf numFmtId="0" fontId="4" fillId="0" borderId="2" xfId="0" applyFont="1" applyBorder="1"/>
    <xf numFmtId="0" fontId="14" fillId="0" borderId="2" xfId="0" applyFont="1" applyBorder="1"/>
    <xf numFmtId="0" fontId="14" fillId="16" borderId="2" xfId="0" applyFont="1" applyFill="1" applyBorder="1"/>
    <xf numFmtId="0" fontId="14" fillId="13" borderId="2" xfId="0" applyFont="1" applyFill="1" applyBorder="1"/>
    <xf numFmtId="0" fontId="0" fillId="27" borderId="2" xfId="0" applyFill="1" applyBorder="1"/>
    <xf numFmtId="0" fontId="14" fillId="27" borderId="2" xfId="0" applyFont="1" applyFill="1" applyBorder="1"/>
    <xf numFmtId="0" fontId="0" fillId="28" borderId="2" xfId="0" applyFill="1" applyBorder="1"/>
    <xf numFmtId="0" fontId="0" fillId="29" borderId="2" xfId="0" applyFill="1" applyBorder="1"/>
    <xf numFmtId="0" fontId="14" fillId="29" borderId="2" xfId="0" applyFont="1" applyFill="1" applyBorder="1"/>
    <xf numFmtId="0" fontId="12" fillId="30" borderId="2" xfId="0" applyFont="1" applyFill="1" applyBorder="1" applyAlignment="1" applyProtection="1">
      <alignment horizontal="center" wrapText="1"/>
    </xf>
    <xf numFmtId="0" fontId="12" fillId="31" borderId="2" xfId="0" applyFont="1" applyFill="1" applyBorder="1" applyAlignment="1" applyProtection="1">
      <alignment horizontal="center" wrapText="1"/>
    </xf>
    <xf numFmtId="1" fontId="12" fillId="31" borderId="2" xfId="0" applyNumberFormat="1" applyFont="1" applyFill="1" applyBorder="1" applyAlignment="1" applyProtection="1">
      <alignment horizontal="center" wrapText="1"/>
    </xf>
    <xf numFmtId="0" fontId="12" fillId="32" borderId="2" xfId="0" applyFont="1" applyFill="1" applyBorder="1" applyAlignment="1" applyProtection="1">
      <alignment horizontal="center" wrapText="1"/>
    </xf>
    <xf numFmtId="0" fontId="13" fillId="20" borderId="2" xfId="2" applyFont="1" applyFill="1" applyBorder="1" applyAlignment="1" applyProtection="1">
      <alignment horizontal="center" wrapText="1"/>
    </xf>
    <xf numFmtId="0" fontId="0" fillId="9" borderId="2" xfId="0" applyFill="1" applyBorder="1"/>
    <xf numFmtId="0" fontId="14" fillId="20" borderId="2" xfId="0" applyFont="1" applyFill="1" applyBorder="1"/>
    <xf numFmtId="0" fontId="14" fillId="9" borderId="2" xfId="0" applyFont="1" applyFill="1" applyBorder="1"/>
    <xf numFmtId="0" fontId="14" fillId="4" borderId="2" xfId="0" applyFont="1" applyFill="1" applyBorder="1"/>
    <xf numFmtId="49" fontId="12" fillId="19" borderId="2" xfId="0" applyNumberFormat="1" applyFont="1" applyFill="1" applyBorder="1" applyAlignment="1" applyProtection="1">
      <alignment horizontal="center" wrapText="1"/>
    </xf>
    <xf numFmtId="0" fontId="12" fillId="19" borderId="2" xfId="0" applyFont="1" applyFill="1" applyBorder="1" applyAlignment="1" applyProtection="1">
      <alignment horizontal="center" wrapText="1"/>
    </xf>
    <xf numFmtId="2" fontId="12" fillId="14" borderId="2" xfId="0" applyNumberFormat="1" applyFont="1" applyFill="1" applyBorder="1" applyAlignment="1" applyProtection="1">
      <alignment horizontal="center" wrapText="1"/>
    </xf>
    <xf numFmtId="0" fontId="0" fillId="0" borderId="0" xfId="0" applyFont="1"/>
    <xf numFmtId="2" fontId="7" fillId="15" borderId="2" xfId="0" applyNumberFormat="1" applyFont="1" applyFill="1" applyBorder="1" applyAlignment="1">
      <alignment horizontal="center" wrapText="1"/>
    </xf>
    <xf numFmtId="0" fontId="12" fillId="10" borderId="3" xfId="0" applyFont="1" applyFill="1" applyBorder="1" applyAlignment="1" applyProtection="1">
      <alignment horizontal="center" wrapText="1"/>
    </xf>
    <xf numFmtId="0" fontId="4" fillId="33" borderId="2" xfId="0" applyFont="1" applyFill="1" applyBorder="1" applyAlignment="1">
      <alignment horizontal="left"/>
    </xf>
    <xf numFmtId="0" fontId="0" fillId="33" borderId="2" xfId="0" applyFont="1" applyFill="1" applyBorder="1" applyAlignment="1">
      <alignment horizontal="left"/>
    </xf>
    <xf numFmtId="2" fontId="12" fillId="23" borderId="6" xfId="0" applyNumberFormat="1" applyFont="1" applyFill="1" applyBorder="1" applyAlignment="1" applyProtection="1">
      <alignment horizontal="center" wrapText="1"/>
    </xf>
    <xf numFmtId="0" fontId="0" fillId="33" borderId="2" xfId="0" applyFill="1" applyBorder="1"/>
    <xf numFmtId="0" fontId="0" fillId="6" borderId="2" xfId="0" applyFont="1" applyFill="1" applyBorder="1" applyAlignment="1">
      <alignment horizontal="left"/>
    </xf>
    <xf numFmtId="0" fontId="4" fillId="15" borderId="2" xfId="0" applyFont="1" applyFill="1" applyBorder="1" applyAlignment="1">
      <alignment horizontal="left"/>
    </xf>
    <xf numFmtId="0" fontId="12" fillId="10" borderId="4" xfId="0" applyFont="1" applyFill="1" applyBorder="1" applyAlignment="1" applyProtection="1">
      <alignment horizontal="right" wrapText="1"/>
    </xf>
    <xf numFmtId="0" fontId="0" fillId="11" borderId="2" xfId="0" applyFont="1" applyFill="1" applyBorder="1" applyAlignment="1">
      <alignment horizontal="right"/>
    </xf>
    <xf numFmtId="3" fontId="0" fillId="11" borderId="2" xfId="0" applyNumberFormat="1" applyFont="1" applyFill="1" applyBorder="1" applyAlignment="1">
      <alignment horizontal="right"/>
    </xf>
    <xf numFmtId="0" fontId="0" fillId="0" borderId="0" xfId="0" applyFill="1" applyBorder="1" applyAlignment="1">
      <alignment horizontal="right"/>
    </xf>
    <xf numFmtId="0" fontId="0" fillId="11" borderId="2" xfId="0" applyFill="1" applyBorder="1" applyAlignment="1">
      <alignment horizontal="right"/>
    </xf>
    <xf numFmtId="0" fontId="4" fillId="11" borderId="3" xfId="0" applyFont="1" applyFill="1" applyBorder="1" applyAlignment="1">
      <alignment horizontal="left"/>
    </xf>
    <xf numFmtId="0" fontId="0" fillId="13" borderId="2" xfId="0" applyFont="1" applyFill="1" applyBorder="1" applyAlignment="1">
      <alignment horizontal="right"/>
    </xf>
    <xf numFmtId="0" fontId="0" fillId="0" borderId="0" xfId="0" applyAlignment="1">
      <alignment horizontal="right"/>
    </xf>
    <xf numFmtId="0" fontId="6" fillId="6" borderId="2" xfId="0" applyFont="1" applyFill="1" applyBorder="1" applyAlignment="1">
      <alignment horizontal="left"/>
    </xf>
    <xf numFmtId="0" fontId="12" fillId="12" borderId="6" xfId="0" applyFont="1" applyFill="1" applyBorder="1" applyAlignment="1" applyProtection="1">
      <alignment horizontal="center" wrapText="1"/>
    </xf>
    <xf numFmtId="0" fontId="17" fillId="7" borderId="2" xfId="1" applyFont="1" applyFill="1" applyBorder="1" applyAlignment="1">
      <alignment horizontal="left"/>
    </xf>
    <xf numFmtId="0" fontId="7" fillId="33" borderId="2" xfId="0" applyFont="1" applyFill="1" applyBorder="1" applyAlignment="1">
      <alignment horizontal="left"/>
    </xf>
    <xf numFmtId="0" fontId="5" fillId="5" borderId="2" xfId="0" applyFont="1" applyFill="1" applyBorder="1" applyAlignment="1">
      <alignment horizontal="left"/>
    </xf>
    <xf numFmtId="0" fontId="0" fillId="20" borderId="0" xfId="0" applyFill="1"/>
    <xf numFmtId="0" fontId="0" fillId="15" borderId="0" xfId="0" applyFill="1"/>
    <xf numFmtId="0" fontId="0" fillId="20" borderId="0" xfId="0" applyNumberFormat="1" applyFill="1"/>
    <xf numFmtId="0" fontId="0" fillId="0" borderId="7" xfId="0" applyFont="1" applyFill="1" applyBorder="1" applyAlignment="1">
      <alignment horizontal="left"/>
    </xf>
    <xf numFmtId="0" fontId="0" fillId="0" borderId="0" xfId="0" applyNumberFormat="1" applyFill="1"/>
    <xf numFmtId="0" fontId="0" fillId="0" borderId="10" xfId="0" applyFont="1" applyFill="1" applyBorder="1" applyAlignment="1">
      <alignment horizontal="left"/>
    </xf>
    <xf numFmtId="0" fontId="0" fillId="0" borderId="0" xfId="0" applyFont="1" applyFill="1" applyBorder="1" applyAlignment="1">
      <alignment horizontal="left"/>
    </xf>
    <xf numFmtId="0" fontId="0" fillId="5" borderId="9" xfId="0" applyFont="1" applyFill="1" applyBorder="1" applyAlignment="1">
      <alignment horizontal="left"/>
    </xf>
    <xf numFmtId="0" fontId="14" fillId="25" borderId="2" xfId="0" applyFont="1" applyFill="1" applyBorder="1"/>
    <xf numFmtId="0" fontId="19" fillId="6" borderId="2" xfId="0" applyFont="1" applyFill="1" applyBorder="1"/>
    <xf numFmtId="0" fontId="14" fillId="6" borderId="2" xfId="0" applyFont="1" applyFill="1" applyBorder="1"/>
    <xf numFmtId="0" fontId="0" fillId="0" borderId="0" xfId="0"/>
    <xf numFmtId="0" fontId="0" fillId="5" borderId="2" xfId="0" applyFill="1" applyBorder="1"/>
    <xf numFmtId="0" fontId="0" fillId="5" borderId="2" xfId="0" applyFont="1" applyFill="1" applyBorder="1" applyAlignment="1">
      <alignment horizontal="left"/>
    </xf>
    <xf numFmtId="0" fontId="4" fillId="9" borderId="2" xfId="0" applyFont="1" applyFill="1" applyBorder="1" applyAlignment="1">
      <alignment horizontal="left"/>
    </xf>
    <xf numFmtId="0" fontId="0" fillId="0" borderId="0" xfId="0" applyFill="1" applyBorder="1"/>
    <xf numFmtId="0" fontId="0" fillId="25" borderId="2" xfId="0" applyFill="1" applyBorder="1"/>
    <xf numFmtId="0" fontId="12" fillId="18" borderId="2" xfId="0" applyFont="1" applyFill="1" applyBorder="1" applyAlignment="1" applyProtection="1">
      <alignment horizontal="center" wrapText="1"/>
    </xf>
    <xf numFmtId="0" fontId="0" fillId="33" borderId="2" xfId="0" applyFont="1" applyFill="1" applyBorder="1" applyAlignment="1">
      <alignment horizontal="left"/>
    </xf>
    <xf numFmtId="0" fontId="0" fillId="6" borderId="2" xfId="0" applyFont="1" applyFill="1" applyBorder="1" applyAlignment="1">
      <alignment horizontal="left"/>
    </xf>
    <xf numFmtId="0" fontId="0" fillId="6" borderId="2" xfId="0" applyFill="1" applyBorder="1"/>
    <xf numFmtId="0" fontId="0" fillId="0" borderId="2" xfId="0" applyFont="1" applyFill="1" applyBorder="1" applyAlignment="1">
      <alignment horizontal="left"/>
    </xf>
    <xf numFmtId="0" fontId="0" fillId="0" borderId="0" xfId="0" applyFill="1"/>
    <xf numFmtId="1" fontId="0" fillId="0" borderId="0" xfId="0" applyNumberFormat="1"/>
    <xf numFmtId="1" fontId="0" fillId="0" borderId="0" xfId="0" applyNumberFormat="1" applyAlignment="1">
      <alignment horizontal="right"/>
    </xf>
    <xf numFmtId="0" fontId="0" fillId="0" borderId="0" xfId="0" applyFill="1" applyAlignment="1">
      <alignment horizontal="right"/>
    </xf>
    <xf numFmtId="2" fontId="0" fillId="0" borderId="0" xfId="0" applyNumberFormat="1"/>
    <xf numFmtId="0" fontId="4" fillId="0" borderId="0" xfId="0" applyFont="1" applyBorder="1"/>
    <xf numFmtId="0" fontId="12" fillId="0" borderId="0" xfId="0" applyFont="1" applyFill="1" applyBorder="1" applyAlignment="1" applyProtection="1">
      <alignment horizontal="center" wrapText="1"/>
    </xf>
    <xf numFmtId="0" fontId="0" fillId="0" borderId="0" xfId="0" applyBorder="1"/>
    <xf numFmtId="0" fontId="0" fillId="5" borderId="2" xfId="0" applyFont="1" applyFill="1" applyBorder="1"/>
    <xf numFmtId="0" fontId="0" fillId="11" borderId="2" xfId="0" applyFont="1" applyFill="1" applyBorder="1"/>
    <xf numFmtId="0" fontId="0" fillId="15" borderId="2" xfId="0" applyFont="1" applyFill="1" applyBorder="1"/>
    <xf numFmtId="1" fontId="0" fillId="13" borderId="2" xfId="0" applyNumberFormat="1" applyFont="1" applyFill="1" applyBorder="1" applyAlignment="1">
      <alignment horizontal="right"/>
    </xf>
    <xf numFmtId="0" fontId="0" fillId="28" borderId="2" xfId="0" applyFont="1" applyFill="1" applyBorder="1" applyAlignment="1">
      <alignment horizontal="right"/>
    </xf>
    <xf numFmtId="1" fontId="0" fillId="13" borderId="2" xfId="0" applyNumberFormat="1" applyFont="1" applyFill="1" applyBorder="1"/>
    <xf numFmtId="0" fontId="0" fillId="20" borderId="2" xfId="0" applyFont="1" applyFill="1" applyBorder="1"/>
    <xf numFmtId="0" fontId="0" fillId="20" borderId="7" xfId="0" applyFont="1" applyFill="1" applyBorder="1" applyAlignment="1">
      <alignment horizontal="right" vertical="center" wrapText="1"/>
    </xf>
    <xf numFmtId="0" fontId="0" fillId="20" borderId="2" xfId="0" applyFont="1" applyFill="1" applyBorder="1" applyAlignment="1">
      <alignment horizontal="right" vertical="center" wrapText="1"/>
    </xf>
    <xf numFmtId="0" fontId="0" fillId="20" borderId="2" xfId="0" applyFont="1" applyFill="1" applyBorder="1" applyAlignment="1">
      <alignment horizontal="right"/>
    </xf>
    <xf numFmtId="0" fontId="0" fillId="20" borderId="2" xfId="0" applyNumberFormat="1" applyFont="1" applyFill="1" applyBorder="1" applyAlignment="1">
      <alignment horizontal="right"/>
    </xf>
    <xf numFmtId="2" fontId="0" fillId="15" borderId="2" xfId="0" applyNumberFormat="1" applyFont="1" applyFill="1" applyBorder="1"/>
    <xf numFmtId="2" fontId="0" fillId="0" borderId="2" xfId="0" applyNumberFormat="1" applyFont="1" applyFill="1" applyBorder="1"/>
    <xf numFmtId="0" fontId="0" fillId="5" borderId="6" xfId="0" applyFont="1" applyFill="1" applyBorder="1"/>
    <xf numFmtId="0" fontId="0" fillId="15" borderId="2" xfId="0" applyFont="1" applyFill="1" applyBorder="1" applyAlignment="1"/>
    <xf numFmtId="16" fontId="0" fillId="20" borderId="2" xfId="0" applyNumberFormat="1" applyFont="1" applyFill="1" applyBorder="1" applyAlignment="1">
      <alignment horizontal="right"/>
    </xf>
    <xf numFmtId="0" fontId="20" fillId="8" borderId="2" xfId="0" applyFont="1" applyFill="1" applyBorder="1" applyAlignment="1" applyProtection="1">
      <alignment horizontal="center" wrapText="1"/>
    </xf>
    <xf numFmtId="0" fontId="20" fillId="10" borderId="3" xfId="0" applyFont="1" applyFill="1" applyBorder="1" applyAlignment="1" applyProtection="1">
      <alignment horizontal="center" wrapText="1"/>
    </xf>
    <xf numFmtId="0" fontId="20" fillId="10" borderId="4" xfId="0" applyFont="1" applyFill="1" applyBorder="1" applyAlignment="1" applyProtection="1">
      <alignment horizontal="center" wrapText="1"/>
    </xf>
    <xf numFmtId="0" fontId="20" fillId="14" borderId="2" xfId="0" applyFont="1" applyFill="1" applyBorder="1" applyAlignment="1" applyProtection="1">
      <alignment horizontal="center" wrapText="1"/>
    </xf>
    <xf numFmtId="0" fontId="20" fillId="12" borderId="2" xfId="0" applyFont="1" applyFill="1" applyBorder="1" applyAlignment="1" applyProtection="1">
      <alignment horizontal="center" wrapText="1"/>
    </xf>
    <xf numFmtId="0" fontId="20" fillId="12" borderId="6" xfId="0" applyFont="1" applyFill="1" applyBorder="1" applyAlignment="1" applyProtection="1">
      <alignment horizontal="center" wrapText="1"/>
    </xf>
    <xf numFmtId="1" fontId="20" fillId="12" borderId="6" xfId="0" applyNumberFormat="1" applyFont="1" applyFill="1" applyBorder="1" applyAlignment="1" applyProtection="1">
      <alignment horizontal="center" wrapText="1"/>
    </xf>
    <xf numFmtId="1" fontId="20" fillId="12" borderId="2" xfId="0" applyNumberFormat="1" applyFont="1" applyFill="1" applyBorder="1" applyAlignment="1" applyProtection="1">
      <alignment horizontal="center" wrapText="1"/>
    </xf>
    <xf numFmtId="0" fontId="20" fillId="19" borderId="2" xfId="0" applyFont="1" applyFill="1" applyBorder="1" applyAlignment="1" applyProtection="1">
      <alignment horizontal="center" wrapText="1"/>
    </xf>
    <xf numFmtId="0" fontId="20" fillId="19" borderId="2" xfId="0" applyNumberFormat="1" applyFont="1" applyFill="1" applyBorder="1" applyAlignment="1" applyProtection="1">
      <alignment horizontal="center" wrapText="1"/>
    </xf>
    <xf numFmtId="2" fontId="20" fillId="14" borderId="2" xfId="0" applyNumberFormat="1" applyFont="1" applyFill="1" applyBorder="1" applyAlignment="1" applyProtection="1">
      <alignment horizontal="center" wrapText="1"/>
    </xf>
    <xf numFmtId="0" fontId="20" fillId="5" borderId="2" xfId="0" applyFont="1" applyFill="1" applyBorder="1" applyAlignment="1" applyProtection="1">
      <alignment horizontal="center" wrapText="1"/>
    </xf>
    <xf numFmtId="0" fontId="20" fillId="32" borderId="2" xfId="0" applyFont="1" applyFill="1" applyBorder="1" applyAlignment="1" applyProtection="1">
      <alignment horizontal="center" wrapText="1"/>
    </xf>
    <xf numFmtId="0" fontId="21" fillId="10" borderId="3" xfId="0" applyFont="1" applyFill="1" applyBorder="1" applyAlignment="1" applyProtection="1">
      <alignment horizontal="center" wrapText="1"/>
    </xf>
    <xf numFmtId="0" fontId="21" fillId="14" borderId="3" xfId="0" applyFont="1" applyFill="1" applyBorder="1" applyAlignment="1" applyProtection="1">
      <alignment horizontal="center" wrapText="1"/>
    </xf>
    <xf numFmtId="0" fontId="21" fillId="12" borderId="3" xfId="0" applyFont="1" applyFill="1" applyBorder="1" applyAlignment="1" applyProtection="1">
      <alignment horizontal="center" wrapText="1"/>
    </xf>
    <xf numFmtId="0" fontId="21" fillId="19" borderId="3" xfId="0" applyFont="1" applyFill="1" applyBorder="1" applyAlignment="1" applyProtection="1">
      <alignment horizontal="center" wrapText="1"/>
    </xf>
    <xf numFmtId="0" fontId="22" fillId="11" borderId="2" xfId="0" applyFont="1" applyFill="1" applyBorder="1" applyAlignment="1">
      <alignment horizontal="left"/>
    </xf>
    <xf numFmtId="0" fontId="22" fillId="11" borderId="2" xfId="0" applyFont="1" applyFill="1" applyBorder="1" applyAlignment="1">
      <alignment horizontal="right"/>
    </xf>
    <xf numFmtId="0" fontId="19" fillId="0" borderId="2" xfId="0" applyFont="1" applyFill="1" applyBorder="1"/>
    <xf numFmtId="3" fontId="18" fillId="11" borderId="2" xfId="0" applyNumberFormat="1" applyFont="1" applyFill="1" applyBorder="1" applyAlignment="1">
      <alignment horizontal="right"/>
    </xf>
    <xf numFmtId="0" fontId="21" fillId="20" borderId="2" xfId="0" applyFont="1" applyFill="1" applyBorder="1" applyAlignment="1" applyProtection="1">
      <alignment horizontal="right" vertical="center" wrapText="1"/>
    </xf>
    <xf numFmtId="3" fontId="22" fillId="11" borderId="2" xfId="0" applyNumberFormat="1" applyFont="1" applyFill="1" applyBorder="1" applyAlignment="1">
      <alignment horizontal="right"/>
    </xf>
    <xf numFmtId="0" fontId="21" fillId="20" borderId="2" xfId="0" applyNumberFormat="1" applyFont="1" applyFill="1" applyBorder="1" applyAlignment="1" applyProtection="1">
      <alignment horizontal="right" vertical="center" wrapText="1"/>
    </xf>
    <xf numFmtId="49" fontId="21" fillId="20" borderId="2" xfId="0" applyNumberFormat="1" applyFont="1" applyFill="1" applyBorder="1" applyAlignment="1" applyProtection="1">
      <alignment horizontal="right" vertical="center" wrapText="1"/>
    </xf>
    <xf numFmtId="0" fontId="22" fillId="15" borderId="2" xfId="0" applyFont="1" applyFill="1" applyBorder="1" applyAlignment="1">
      <alignment horizontal="left"/>
    </xf>
    <xf numFmtId="0" fontId="4" fillId="9" borderId="2" xfId="0" applyFont="1" applyFill="1" applyBorder="1" applyAlignment="1">
      <alignment horizontal="center"/>
    </xf>
    <xf numFmtId="0" fontId="4" fillId="11" borderId="3" xfId="0" applyFont="1" applyFill="1" applyBorder="1" applyAlignment="1">
      <alignment horizontal="center"/>
    </xf>
    <xf numFmtId="0" fontId="4" fillId="15" borderId="2" xfId="0" applyFont="1" applyFill="1" applyBorder="1" applyAlignment="1">
      <alignment horizontal="center"/>
    </xf>
    <xf numFmtId="0" fontId="21" fillId="14" borderId="3" xfId="0" applyFont="1" applyFill="1" applyBorder="1" applyAlignment="1" applyProtection="1">
      <alignment wrapText="1"/>
    </xf>
    <xf numFmtId="3" fontId="0" fillId="15" borderId="2" xfId="0" applyNumberFormat="1" applyFont="1" applyFill="1" applyBorder="1" applyAlignment="1"/>
    <xf numFmtId="0" fontId="0" fillId="15" borderId="2" xfId="0" applyFont="1" applyFill="1" applyBorder="1" applyAlignment="1">
      <alignment vertical="center" wrapText="1"/>
    </xf>
    <xf numFmtId="0" fontId="0" fillId="15" borderId="7" xfId="0" applyFont="1" applyFill="1" applyBorder="1" applyAlignment="1"/>
    <xf numFmtId="3" fontId="22" fillId="15" borderId="2" xfId="0" applyNumberFormat="1" applyFont="1" applyFill="1" applyBorder="1" applyAlignment="1"/>
    <xf numFmtId="0" fontId="22" fillId="15" borderId="2" xfId="0" applyFont="1" applyFill="1" applyBorder="1" applyAlignment="1"/>
    <xf numFmtId="3" fontId="18" fillId="15" borderId="2" xfId="1" applyNumberFormat="1" applyFont="1" applyFill="1" applyBorder="1" applyAlignment="1"/>
    <xf numFmtId="0" fontId="21" fillId="15" borderId="2" xfId="0" applyFont="1" applyFill="1" applyBorder="1" applyAlignment="1"/>
    <xf numFmtId="3" fontId="21" fillId="15" borderId="2" xfId="0" applyNumberFormat="1" applyFont="1" applyFill="1" applyBorder="1" applyAlignment="1"/>
    <xf numFmtId="1" fontId="0" fillId="15" borderId="2" xfId="0" applyNumberFormat="1" applyFont="1" applyFill="1" applyBorder="1" applyAlignment="1"/>
    <xf numFmtId="3" fontId="18" fillId="15" borderId="2" xfId="0" applyNumberFormat="1" applyFont="1" applyFill="1" applyBorder="1" applyAlignment="1"/>
    <xf numFmtId="10" fontId="0" fillId="15" borderId="2" xfId="0" applyNumberFormat="1" applyFont="1" applyFill="1" applyBorder="1" applyAlignment="1"/>
    <xf numFmtId="0" fontId="21" fillId="12" borderId="3" xfId="0" applyFont="1" applyFill="1" applyBorder="1" applyAlignment="1" applyProtection="1">
      <alignment horizontal="right" wrapText="1"/>
    </xf>
    <xf numFmtId="0" fontId="21" fillId="19" borderId="3" xfId="0" applyFont="1" applyFill="1" applyBorder="1" applyAlignment="1" applyProtection="1">
      <alignment horizontal="right" wrapText="1"/>
    </xf>
    <xf numFmtId="0" fontId="21" fillId="14" borderId="3" xfId="0" applyFont="1" applyFill="1" applyBorder="1" applyAlignment="1" applyProtection="1">
      <alignment horizontal="right" wrapText="1"/>
    </xf>
    <xf numFmtId="0" fontId="21" fillId="34" borderId="3" xfId="0" applyFont="1" applyFill="1" applyBorder="1" applyAlignment="1" applyProtection="1">
      <alignment horizontal="right" wrapText="1"/>
    </xf>
    <xf numFmtId="2" fontId="0" fillId="15" borderId="2" xfId="0" applyNumberFormat="1" applyFont="1" applyFill="1" applyBorder="1" applyAlignment="1">
      <alignment horizontal="right"/>
    </xf>
    <xf numFmtId="2" fontId="0" fillId="5" borderId="2" xfId="0" applyNumberFormat="1" applyFont="1" applyFill="1" applyBorder="1" applyAlignment="1">
      <alignment horizontal="right"/>
    </xf>
    <xf numFmtId="2" fontId="0" fillId="0" borderId="2" xfId="0" applyNumberFormat="1" applyFont="1" applyFill="1" applyBorder="1" applyAlignment="1">
      <alignment horizontal="right"/>
    </xf>
    <xf numFmtId="0" fontId="21" fillId="10" borderId="3" xfId="0" applyFont="1" applyFill="1" applyBorder="1" applyAlignment="1" applyProtection="1">
      <alignment horizontal="right" wrapText="1"/>
    </xf>
    <xf numFmtId="0" fontId="4" fillId="35" borderId="7" xfId="0" applyFont="1" applyFill="1" applyBorder="1" applyAlignment="1">
      <alignment horizontal="center" wrapText="1"/>
    </xf>
    <xf numFmtId="0" fontId="4" fillId="35" borderId="2" xfId="0" applyFont="1" applyFill="1" applyBorder="1" applyAlignment="1">
      <alignment horizontal="center" wrapText="1"/>
    </xf>
    <xf numFmtId="0" fontId="0" fillId="35" borderId="2" xfId="0" applyFont="1" applyFill="1" applyBorder="1" applyAlignment="1">
      <alignment horizontal="left"/>
    </xf>
    <xf numFmtId="0" fontId="0" fillId="35" borderId="7" xfId="0" applyFont="1" applyFill="1" applyBorder="1" applyAlignment="1">
      <alignment horizontal="left"/>
    </xf>
    <xf numFmtId="0" fontId="0" fillId="16" borderId="2" xfId="0" applyFill="1" applyBorder="1" applyAlignment="1">
      <alignment horizontal="right" vertical="center" wrapText="1"/>
    </xf>
    <xf numFmtId="49" fontId="21" fillId="20" borderId="2" xfId="0" applyNumberFormat="1" applyFont="1" applyFill="1" applyBorder="1" applyAlignment="1" applyProtection="1">
      <alignment horizontal="left" vertical="center"/>
    </xf>
    <xf numFmtId="0" fontId="0" fillId="24" borderId="2" xfId="0" applyFont="1" applyFill="1" applyBorder="1" applyAlignment="1">
      <alignment horizontal="center"/>
    </xf>
    <xf numFmtId="0" fontId="0" fillId="24" borderId="2" xfId="0" applyFill="1" applyBorder="1" applyAlignment="1">
      <alignment horizontal="right" vertical="center" wrapText="1"/>
    </xf>
    <xf numFmtId="0" fontId="0" fillId="15" borderId="0" xfId="0" applyFont="1" applyFill="1" applyBorder="1" applyAlignment="1"/>
    <xf numFmtId="3" fontId="0" fillId="15" borderId="0" xfId="0" applyNumberFormat="1" applyFont="1" applyFill="1" applyBorder="1" applyAlignment="1"/>
    <xf numFmtId="0" fontId="0" fillId="20" borderId="0" xfId="0" applyFont="1" applyFill="1" applyBorder="1" applyAlignment="1">
      <alignment horizontal="right"/>
    </xf>
    <xf numFmtId="0" fontId="0" fillId="20" borderId="0" xfId="0" applyFont="1" applyFill="1" applyBorder="1"/>
    <xf numFmtId="0" fontId="21" fillId="36" borderId="2" xfId="0" applyFont="1" applyFill="1" applyBorder="1"/>
    <xf numFmtId="0" fontId="0" fillId="9" borderId="2" xfId="0" applyFill="1" applyBorder="1" applyAlignment="1">
      <alignment horizontal="right" vertical="center" wrapText="1"/>
    </xf>
    <xf numFmtId="0" fontId="4" fillId="33" borderId="2" xfId="0" applyFont="1" applyFill="1" applyBorder="1" applyAlignment="1">
      <alignment horizontal="center"/>
    </xf>
    <xf numFmtId="0" fontId="0" fillId="0" borderId="0" xfId="0" applyAlignment="1">
      <alignment horizontal="center"/>
    </xf>
    <xf numFmtId="1" fontId="12" fillId="10" borderId="2" xfId="0" applyNumberFormat="1" applyFont="1" applyFill="1" applyBorder="1" applyAlignment="1" applyProtection="1">
      <alignment horizontal="center" wrapText="1"/>
    </xf>
    <xf numFmtId="1" fontId="0" fillId="11" borderId="2" xfId="0" applyNumberFormat="1" applyFill="1" applyBorder="1"/>
    <xf numFmtId="0" fontId="7" fillId="15" borderId="2" xfId="0" applyFont="1" applyFill="1" applyBorder="1" applyAlignment="1">
      <alignment horizontal="center" wrapText="1"/>
    </xf>
    <xf numFmtId="0" fontId="0" fillId="27" borderId="2" xfId="0" applyFill="1" applyBorder="1" applyAlignment="1">
      <alignment horizontal="right" vertical="center" wrapText="1"/>
    </xf>
    <xf numFmtId="0" fontId="0" fillId="5" borderId="9" xfId="0" applyFont="1" applyFill="1" applyBorder="1" applyAlignment="1">
      <alignment horizontal="left" vertical="center"/>
    </xf>
    <xf numFmtId="0" fontId="0" fillId="5" borderId="8" xfId="0" applyFont="1" applyFill="1" applyBorder="1" applyAlignment="1">
      <alignment horizontal="left" vertical="center"/>
    </xf>
    <xf numFmtId="0" fontId="0" fillId="5" borderId="9" xfId="0" applyFont="1" applyFill="1" applyBorder="1" applyAlignment="1">
      <alignment horizontal="left" vertical="center"/>
    </xf>
    <xf numFmtId="0" fontId="0" fillId="5" borderId="8" xfId="0" applyFont="1" applyFill="1" applyBorder="1" applyAlignment="1">
      <alignment horizontal="left" vertical="center"/>
    </xf>
    <xf numFmtId="0" fontId="13" fillId="37" borderId="5" xfId="2" applyFont="1" applyFill="1" applyBorder="1" applyAlignment="1" applyProtection="1">
      <alignment horizontal="center" wrapText="1"/>
    </xf>
    <xf numFmtId="0" fontId="23" fillId="18" borderId="2" xfId="0" applyFont="1" applyFill="1" applyBorder="1" applyAlignment="1" applyProtection="1">
      <alignment wrapText="1"/>
    </xf>
    <xf numFmtId="1" fontId="23" fillId="18" borderId="2" xfId="0" applyNumberFormat="1" applyFont="1" applyFill="1" applyBorder="1" applyAlignment="1" applyProtection="1">
      <alignment wrapText="1"/>
    </xf>
    <xf numFmtId="1" fontId="0" fillId="25" borderId="2" xfId="0" applyNumberFormat="1" applyFill="1" applyBorder="1"/>
    <xf numFmtId="1" fontId="0" fillId="15" borderId="2" xfId="0" applyNumberFormat="1" applyFont="1" applyFill="1" applyBorder="1" applyAlignment="1">
      <alignment horizontal="right"/>
    </xf>
    <xf numFmtId="1" fontId="0" fillId="16" borderId="2" xfId="0" applyNumberFormat="1" applyFill="1" applyBorder="1"/>
    <xf numFmtId="1" fontId="0" fillId="26" borderId="2" xfId="0" applyNumberFormat="1" applyFill="1" applyBorder="1"/>
    <xf numFmtId="0" fontId="25" fillId="20" borderId="5" xfId="2" applyFont="1" applyFill="1" applyBorder="1" applyAlignment="1" applyProtection="1">
      <alignment horizontal="center" wrapText="1"/>
    </xf>
    <xf numFmtId="0" fontId="17" fillId="0" borderId="0" xfId="0" applyFont="1"/>
    <xf numFmtId="0" fontId="7" fillId="37" borderId="2" xfId="0" applyFont="1" applyFill="1" applyBorder="1" applyAlignment="1">
      <alignment horizontal="center" wrapText="1"/>
    </xf>
    <xf numFmtId="0" fontId="0" fillId="11" borderId="3" xfId="0" applyFont="1" applyFill="1" applyBorder="1" applyAlignment="1">
      <alignment horizontal="right"/>
    </xf>
    <xf numFmtId="0" fontId="12" fillId="5" borderId="2" xfId="0" applyFont="1" applyFill="1" applyBorder="1" applyAlignment="1" applyProtection="1">
      <alignment horizontal="center" wrapText="1"/>
    </xf>
    <xf numFmtId="0" fontId="0" fillId="5" borderId="3" xfId="0" applyFont="1" applyFill="1" applyBorder="1" applyAlignment="1">
      <alignment horizontal="right"/>
    </xf>
    <xf numFmtId="0" fontId="0" fillId="37" borderId="3" xfId="0" applyFont="1" applyFill="1" applyBorder="1" applyAlignment="1">
      <alignment horizontal="right"/>
    </xf>
    <xf numFmtId="0" fontId="0" fillId="20" borderId="3" xfId="0" applyFont="1" applyFill="1" applyBorder="1" applyAlignment="1">
      <alignment horizontal="right"/>
    </xf>
    <xf numFmtId="0" fontId="0" fillId="15" borderId="3" xfId="0" applyFont="1" applyFill="1" applyBorder="1" applyAlignment="1">
      <alignment horizontal="right"/>
    </xf>
    <xf numFmtId="0" fontId="0" fillId="26" borderId="3" xfId="0" applyFont="1" applyFill="1" applyBorder="1" applyAlignment="1">
      <alignment horizontal="right"/>
    </xf>
    <xf numFmtId="0" fontId="0" fillId="25" borderId="3" xfId="0" applyFont="1" applyFill="1" applyBorder="1" applyAlignment="1">
      <alignment horizontal="right"/>
    </xf>
    <xf numFmtId="0" fontId="0" fillId="4" borderId="3" xfId="0" applyFont="1" applyFill="1" applyBorder="1" applyAlignment="1">
      <alignment horizontal="right"/>
    </xf>
    <xf numFmtId="0" fontId="0" fillId="9" borderId="3" xfId="0" applyFont="1" applyFill="1" applyBorder="1" applyAlignment="1">
      <alignment horizontal="right"/>
    </xf>
    <xf numFmtId="0" fontId="0" fillId="24" borderId="3" xfId="0" applyFont="1" applyFill="1" applyBorder="1" applyAlignment="1">
      <alignment horizontal="right"/>
    </xf>
    <xf numFmtId="0" fontId="0" fillId="16" borderId="3" xfId="0" applyFont="1" applyFill="1" applyBorder="1" applyAlignment="1">
      <alignment horizontal="right"/>
    </xf>
    <xf numFmtId="0" fontId="0" fillId="35" borderId="3" xfId="0" applyFont="1" applyFill="1" applyBorder="1" applyAlignment="1">
      <alignment horizontal="right"/>
    </xf>
    <xf numFmtId="0" fontId="0" fillId="0" borderId="2" xfId="0" applyFill="1" applyBorder="1"/>
    <xf numFmtId="0" fontId="23" fillId="21" borderId="2" xfId="0" applyFont="1" applyFill="1" applyBorder="1" applyAlignment="1" applyProtection="1">
      <alignment horizontal="right" wrapText="1"/>
    </xf>
    <xf numFmtId="0" fontId="7" fillId="0" borderId="2" xfId="0" applyFont="1" applyFill="1" applyBorder="1" applyAlignment="1">
      <alignment horizontal="center" wrapText="1"/>
    </xf>
    <xf numFmtId="0" fontId="23" fillId="0" borderId="2" xfId="0" applyFont="1" applyFill="1" applyBorder="1" applyAlignment="1" applyProtection="1">
      <alignment horizontal="right" wrapText="1"/>
    </xf>
    <xf numFmtId="0" fontId="23" fillId="38" borderId="2" xfId="0" applyFont="1" applyFill="1" applyBorder="1" applyAlignment="1" applyProtection="1">
      <alignment horizontal="right" wrapText="1"/>
    </xf>
    <xf numFmtId="0" fontId="23" fillId="17" borderId="2" xfId="0" applyFont="1" applyFill="1" applyBorder="1" applyAlignment="1" applyProtection="1">
      <alignment horizontal="right" wrapText="1"/>
    </xf>
    <xf numFmtId="0" fontId="23" fillId="19" borderId="2" xfId="0" applyFont="1" applyFill="1" applyBorder="1" applyAlignment="1" applyProtection="1">
      <alignment horizontal="right" wrapText="1"/>
    </xf>
    <xf numFmtId="0" fontId="23" fillId="14" borderId="2" xfId="0" applyFont="1" applyFill="1" applyBorder="1" applyAlignment="1" applyProtection="1">
      <alignment horizontal="right" wrapText="1"/>
    </xf>
    <xf numFmtId="0" fontId="23" fillId="18" borderId="2" xfId="0" applyFont="1" applyFill="1" applyBorder="1" applyAlignment="1" applyProtection="1">
      <alignment horizontal="right" wrapText="1"/>
    </xf>
    <xf numFmtId="0" fontId="23" fillId="22" borderId="2" xfId="0" applyFont="1" applyFill="1" applyBorder="1" applyAlignment="1" applyProtection="1">
      <alignment horizontal="right" wrapText="1"/>
    </xf>
    <xf numFmtId="0" fontId="23" fillId="10" borderId="2" xfId="0" applyFont="1" applyFill="1" applyBorder="1" applyAlignment="1" applyProtection="1">
      <alignment horizontal="right" wrapText="1"/>
    </xf>
    <xf numFmtId="0" fontId="23" fillId="31" borderId="2" xfId="0" applyFont="1" applyFill="1" applyBorder="1" applyAlignment="1" applyProtection="1">
      <alignment horizontal="right" wrapText="1"/>
    </xf>
    <xf numFmtId="0" fontId="0" fillId="5" borderId="8" xfId="0" applyFill="1" applyBorder="1"/>
    <xf numFmtId="0" fontId="0" fillId="28" borderId="8" xfId="0" applyFill="1" applyBorder="1"/>
    <xf numFmtId="0" fontId="0" fillId="24" borderId="8" xfId="0" applyFont="1" applyFill="1" applyBorder="1" applyAlignment="1">
      <alignment horizontal="center"/>
    </xf>
    <xf numFmtId="0" fontId="0" fillId="24" borderId="8" xfId="0" applyFill="1" applyBorder="1"/>
    <xf numFmtId="0" fontId="0" fillId="24" borderId="8" xfId="0" applyFill="1" applyBorder="1" applyAlignment="1">
      <alignment horizontal="right" vertical="center" wrapText="1"/>
    </xf>
    <xf numFmtId="0" fontId="0" fillId="27" borderId="8" xfId="0" applyFill="1" applyBorder="1"/>
    <xf numFmtId="0" fontId="0" fillId="27" borderId="8" xfId="0" applyFill="1" applyBorder="1" applyAlignment="1">
      <alignment horizontal="right" vertical="center" wrapText="1"/>
    </xf>
    <xf numFmtId="0" fontId="0" fillId="11" borderId="8" xfId="0" applyFill="1" applyBorder="1"/>
    <xf numFmtId="0" fontId="0" fillId="4" borderId="8" xfId="0" applyFill="1" applyBorder="1"/>
    <xf numFmtId="1" fontId="23" fillId="18" borderId="8" xfId="0" applyNumberFormat="1" applyFont="1" applyFill="1" applyBorder="1" applyAlignment="1" applyProtection="1">
      <alignment wrapText="1"/>
    </xf>
    <xf numFmtId="1" fontId="0" fillId="25" borderId="8" xfId="0" applyNumberFormat="1" applyFill="1" applyBorder="1"/>
    <xf numFmtId="1" fontId="0" fillId="15" borderId="8" xfId="0" applyNumberFormat="1" applyFont="1" applyFill="1" applyBorder="1" applyAlignment="1">
      <alignment horizontal="right"/>
    </xf>
    <xf numFmtId="1" fontId="0" fillId="16" borderId="8" xfId="0" applyNumberFormat="1" applyFill="1" applyBorder="1"/>
    <xf numFmtId="0" fontId="17" fillId="20" borderId="8" xfId="2" applyFont="1" applyFill="1" applyBorder="1" applyAlignment="1">
      <alignment horizontal="right" vertical="center" wrapText="1"/>
    </xf>
    <xf numFmtId="0" fontId="17" fillId="37" borderId="8" xfId="2" applyFont="1" applyFill="1" applyBorder="1" applyAlignment="1">
      <alignment horizontal="right" vertical="center" wrapText="1"/>
    </xf>
    <xf numFmtId="0" fontId="0" fillId="0" borderId="8" xfId="0" applyFill="1" applyBorder="1"/>
    <xf numFmtId="0" fontId="12" fillId="32" borderId="12" xfId="0" applyFont="1" applyFill="1" applyBorder="1" applyAlignment="1" applyProtection="1">
      <alignment horizontal="center" wrapText="1"/>
    </xf>
    <xf numFmtId="0" fontId="4" fillId="33" borderId="12" xfId="0" applyFont="1" applyFill="1" applyBorder="1" applyAlignment="1">
      <alignment horizontal="left"/>
    </xf>
    <xf numFmtId="0" fontId="0" fillId="33" borderId="12" xfId="0" applyFont="1" applyFill="1" applyBorder="1" applyAlignment="1">
      <alignment horizontal="left"/>
    </xf>
    <xf numFmtId="0" fontId="7" fillId="33" borderId="12" xfId="0" applyFont="1" applyFill="1" applyBorder="1" applyAlignment="1">
      <alignment horizontal="left"/>
    </xf>
    <xf numFmtId="0" fontId="12" fillId="30" borderId="12" xfId="0" applyFont="1" applyFill="1" applyBorder="1" applyAlignment="1" applyProtection="1">
      <alignment horizontal="center" wrapText="1"/>
    </xf>
    <xf numFmtId="0" fontId="0" fillId="24" borderId="12" xfId="0" applyFill="1" applyBorder="1" applyAlignment="1">
      <alignment horizontal="center"/>
    </xf>
    <xf numFmtId="0" fontId="23" fillId="21" borderId="12" xfId="0" applyFont="1" applyFill="1" applyBorder="1" applyAlignment="1" applyProtection="1">
      <alignment horizontal="right" wrapText="1"/>
    </xf>
    <xf numFmtId="0" fontId="23" fillId="31" borderId="12" xfId="0" applyFont="1" applyFill="1" applyBorder="1" applyAlignment="1" applyProtection="1">
      <alignment horizontal="right" wrapText="1"/>
    </xf>
    <xf numFmtId="0" fontId="23" fillId="10" borderId="12" xfId="0" applyFont="1" applyFill="1" applyBorder="1" applyAlignment="1" applyProtection="1">
      <alignment horizontal="right" wrapText="1"/>
    </xf>
    <xf numFmtId="0" fontId="23" fillId="22" borderId="12" xfId="0" applyFont="1" applyFill="1" applyBorder="1" applyAlignment="1" applyProtection="1">
      <alignment horizontal="right" wrapText="1"/>
    </xf>
    <xf numFmtId="0" fontId="23" fillId="18" borderId="12" xfId="0" applyFont="1" applyFill="1" applyBorder="1" applyAlignment="1" applyProtection="1">
      <alignment horizontal="right" wrapText="1"/>
    </xf>
    <xf numFmtId="0" fontId="23" fillId="14" borderId="12" xfId="0" applyFont="1" applyFill="1" applyBorder="1" applyAlignment="1" applyProtection="1">
      <alignment horizontal="right" wrapText="1"/>
    </xf>
    <xf numFmtId="0" fontId="23" fillId="17" borderId="12" xfId="0" applyFont="1" applyFill="1" applyBorder="1" applyAlignment="1" applyProtection="1">
      <alignment horizontal="right" wrapText="1"/>
    </xf>
    <xf numFmtId="0" fontId="23" fillId="19" borderId="12" xfId="0" applyFont="1" applyFill="1" applyBorder="1" applyAlignment="1" applyProtection="1">
      <alignment horizontal="right" wrapText="1"/>
    </xf>
    <xf numFmtId="0" fontId="23" fillId="38" borderId="12" xfId="0" applyFont="1" applyFill="1" applyBorder="1" applyAlignment="1" applyProtection="1">
      <alignment horizontal="right" wrapText="1"/>
    </xf>
    <xf numFmtId="0" fontId="23" fillId="0" borderId="12" xfId="0" applyFont="1" applyFill="1" applyBorder="1" applyAlignment="1" applyProtection="1">
      <alignment horizontal="right" wrapText="1"/>
    </xf>
    <xf numFmtId="0" fontId="0" fillId="0" borderId="13" xfId="0" applyFont="1" applyBorder="1"/>
    <xf numFmtId="1" fontId="0" fillId="11" borderId="8" xfId="0" applyNumberFormat="1" applyFill="1" applyBorder="1"/>
    <xf numFmtId="0" fontId="0" fillId="9" borderId="8" xfId="0" applyFill="1" applyBorder="1"/>
    <xf numFmtId="0" fontId="0" fillId="9" borderId="8" xfId="0" applyFill="1" applyBorder="1" applyAlignment="1">
      <alignment horizontal="right" vertical="center" wrapText="1"/>
    </xf>
    <xf numFmtId="0" fontId="0" fillId="25" borderId="8" xfId="0" applyFill="1" applyBorder="1"/>
    <xf numFmtId="0" fontId="0" fillId="35" borderId="8" xfId="0" applyFont="1" applyFill="1" applyBorder="1" applyAlignment="1">
      <alignment horizontal="left"/>
    </xf>
    <xf numFmtId="0" fontId="0" fillId="16" borderId="8" xfId="0" applyFill="1" applyBorder="1"/>
    <xf numFmtId="0" fontId="0" fillId="16" borderId="8" xfId="0" applyFill="1" applyBorder="1" applyAlignment="1">
      <alignment horizontal="right" vertical="center" wrapText="1"/>
    </xf>
    <xf numFmtId="1" fontId="0" fillId="26" borderId="8" xfId="0" applyNumberFormat="1" applyFill="1" applyBorder="1"/>
    <xf numFmtId="0" fontId="17" fillId="20" borderId="14" xfId="2" applyFont="1" applyFill="1" applyBorder="1" applyAlignment="1">
      <alignment horizontal="right" vertical="center" wrapText="1"/>
    </xf>
    <xf numFmtId="0" fontId="0" fillId="37" borderId="8" xfId="0" applyFill="1" applyBorder="1"/>
    <xf numFmtId="0" fontId="4" fillId="33" borderId="12" xfId="0" applyFont="1" applyFill="1" applyBorder="1" applyAlignment="1">
      <alignment horizontal="center"/>
    </xf>
    <xf numFmtId="0" fontId="4" fillId="11" borderId="12" xfId="0" applyFont="1" applyFill="1" applyBorder="1" applyAlignment="1">
      <alignment horizontal="left"/>
    </xf>
    <xf numFmtId="0" fontId="0" fillId="11" borderId="12" xfId="0" applyFont="1" applyFill="1" applyBorder="1" applyAlignment="1">
      <alignment horizontal="right"/>
    </xf>
    <xf numFmtId="0" fontId="0" fillId="9" borderId="12" xfId="0" applyFont="1" applyFill="1" applyBorder="1" applyAlignment="1">
      <alignment horizontal="right"/>
    </xf>
    <xf numFmtId="0" fontId="0" fillId="25" borderId="12" xfId="0" applyFont="1" applyFill="1" applyBorder="1" applyAlignment="1">
      <alignment horizontal="right"/>
    </xf>
    <xf numFmtId="0" fontId="0" fillId="35" borderId="12" xfId="0" applyFont="1" applyFill="1" applyBorder="1" applyAlignment="1">
      <alignment horizontal="right"/>
    </xf>
    <xf numFmtId="0" fontId="0" fillId="16" borderId="12" xfId="0" applyFont="1" applyFill="1" applyBorder="1" applyAlignment="1">
      <alignment horizontal="right"/>
    </xf>
    <xf numFmtId="0" fontId="0" fillId="24" borderId="12" xfId="0" applyFont="1" applyFill="1" applyBorder="1" applyAlignment="1">
      <alignment horizontal="right"/>
    </xf>
    <xf numFmtId="0" fontId="0" fillId="4" borderId="12" xfId="0" applyFont="1" applyFill="1" applyBorder="1" applyAlignment="1">
      <alignment horizontal="right"/>
    </xf>
    <xf numFmtId="0" fontId="0" fillId="15" borderId="12" xfId="0" applyFont="1" applyFill="1" applyBorder="1" applyAlignment="1">
      <alignment horizontal="right"/>
    </xf>
    <xf numFmtId="0" fontId="0" fillId="26" borderId="12" xfId="0" applyFont="1" applyFill="1" applyBorder="1" applyAlignment="1">
      <alignment horizontal="right"/>
    </xf>
    <xf numFmtId="0" fontId="0" fillId="20" borderId="12" xfId="0" applyFont="1" applyFill="1" applyBorder="1" applyAlignment="1">
      <alignment horizontal="right"/>
    </xf>
    <xf numFmtId="0" fontId="0" fillId="37" borderId="12" xfId="0" applyFont="1" applyFill="1" applyBorder="1" applyAlignment="1">
      <alignment horizontal="right"/>
    </xf>
    <xf numFmtId="0" fontId="0" fillId="5" borderId="12" xfId="0" applyFont="1" applyFill="1" applyBorder="1" applyAlignment="1">
      <alignment horizontal="right"/>
    </xf>
    <xf numFmtId="0" fontId="4" fillId="0" borderId="13" xfId="0" applyFont="1" applyBorder="1"/>
    <xf numFmtId="0" fontId="0" fillId="11" borderId="8" xfId="0" applyFont="1" applyFill="1" applyBorder="1" applyAlignment="1">
      <alignment horizontal="right"/>
    </xf>
    <xf numFmtId="0" fontId="22" fillId="11" borderId="8" xfId="0" applyFont="1" applyFill="1" applyBorder="1" applyAlignment="1">
      <alignment horizontal="right"/>
    </xf>
    <xf numFmtId="0" fontId="22" fillId="11" borderId="8" xfId="0" applyFont="1" applyFill="1" applyBorder="1" applyAlignment="1">
      <alignment horizontal="left"/>
    </xf>
    <xf numFmtId="3" fontId="0" fillId="15" borderId="8" xfId="0" applyNumberFormat="1" applyFont="1" applyFill="1" applyBorder="1" applyAlignment="1"/>
    <xf numFmtId="0" fontId="0" fillId="15" borderId="8" xfId="0" applyFont="1" applyFill="1" applyBorder="1" applyAlignment="1"/>
    <xf numFmtId="0" fontId="0" fillId="15" borderId="8" xfId="0" applyFont="1" applyFill="1" applyBorder="1" applyAlignment="1">
      <alignment vertical="center" wrapText="1"/>
    </xf>
    <xf numFmtId="0" fontId="0" fillId="15" borderId="8" xfId="0" applyFont="1" applyFill="1" applyBorder="1"/>
    <xf numFmtId="0" fontId="0" fillId="13" borderId="8" xfId="0" applyFont="1" applyFill="1" applyBorder="1" applyAlignment="1">
      <alignment horizontal="right"/>
    </xf>
    <xf numFmtId="1" fontId="0" fillId="13" borderId="8" xfId="0" applyNumberFormat="1" applyFont="1" applyFill="1" applyBorder="1" applyAlignment="1">
      <alignment horizontal="right"/>
    </xf>
    <xf numFmtId="1" fontId="0" fillId="13" borderId="8" xfId="0" applyNumberFormat="1" applyFont="1" applyFill="1" applyBorder="1"/>
    <xf numFmtId="0" fontId="0" fillId="20" borderId="8" xfId="0" applyFont="1" applyFill="1" applyBorder="1" applyAlignment="1">
      <alignment horizontal="right"/>
    </xf>
    <xf numFmtId="0" fontId="0" fillId="20" borderId="15" xfId="0" applyFont="1" applyFill="1" applyBorder="1" applyAlignment="1">
      <alignment horizontal="right" vertical="center" wrapText="1"/>
    </xf>
    <xf numFmtId="0" fontId="0" fillId="20" borderId="8" xfId="0" applyFont="1" applyFill="1" applyBorder="1" applyAlignment="1">
      <alignment horizontal="right" vertical="center" wrapText="1"/>
    </xf>
    <xf numFmtId="0" fontId="0" fillId="20" borderId="8" xfId="0" applyNumberFormat="1" applyFont="1" applyFill="1" applyBorder="1" applyAlignment="1">
      <alignment horizontal="right"/>
    </xf>
    <xf numFmtId="0" fontId="0" fillId="20" borderId="8" xfId="0" applyFont="1" applyFill="1" applyBorder="1"/>
    <xf numFmtId="2" fontId="0" fillId="15" borderId="8" xfId="0" applyNumberFormat="1" applyFont="1" applyFill="1" applyBorder="1"/>
    <xf numFmtId="2" fontId="0" fillId="0" borderId="8" xfId="0" applyNumberFormat="1" applyFont="1" applyFill="1" applyBorder="1"/>
    <xf numFmtId="0" fontId="20" fillId="32" borderId="12" xfId="0" applyFont="1" applyFill="1" applyBorder="1" applyAlignment="1" applyProtection="1">
      <alignment horizontal="center" wrapText="1"/>
    </xf>
    <xf numFmtId="0" fontId="21" fillId="10" borderId="12" xfId="0" applyFont="1" applyFill="1" applyBorder="1" applyAlignment="1" applyProtection="1">
      <alignment horizontal="right" wrapText="1"/>
    </xf>
    <xf numFmtId="0" fontId="21" fillId="10" borderId="12" xfId="0" applyFont="1" applyFill="1" applyBorder="1" applyAlignment="1" applyProtection="1">
      <alignment horizontal="center" wrapText="1"/>
    </xf>
    <xf numFmtId="0" fontId="21" fillId="14" borderId="12" xfId="0" applyFont="1" applyFill="1" applyBorder="1" applyAlignment="1" applyProtection="1">
      <alignment wrapText="1"/>
    </xf>
    <xf numFmtId="0" fontId="21" fillId="14" borderId="12" xfId="0" applyFont="1" applyFill="1" applyBorder="1" applyAlignment="1" applyProtection="1">
      <alignment horizontal="center" wrapText="1"/>
    </xf>
    <xf numFmtId="0" fontId="21" fillId="12" borderId="12" xfId="0" applyFont="1" applyFill="1" applyBorder="1" applyAlignment="1" applyProtection="1">
      <alignment horizontal="right" wrapText="1"/>
    </xf>
    <xf numFmtId="0" fontId="21" fillId="12" borderId="12" xfId="0" applyFont="1" applyFill="1" applyBorder="1" applyAlignment="1" applyProtection="1">
      <alignment horizontal="center" wrapText="1"/>
    </xf>
    <xf numFmtId="0" fontId="21" fillId="19" borderId="12" xfId="0" applyFont="1" applyFill="1" applyBorder="1" applyAlignment="1" applyProtection="1">
      <alignment horizontal="right" wrapText="1"/>
    </xf>
    <xf numFmtId="0" fontId="21" fillId="19" borderId="12" xfId="0" applyFont="1" applyFill="1" applyBorder="1" applyAlignment="1" applyProtection="1">
      <alignment horizontal="center" wrapText="1"/>
    </xf>
    <xf numFmtId="0" fontId="21" fillId="14" borderId="12" xfId="0" applyFont="1" applyFill="1" applyBorder="1" applyAlignment="1" applyProtection="1">
      <alignment horizontal="right" wrapText="1"/>
    </xf>
    <xf numFmtId="0" fontId="21" fillId="34" borderId="12" xfId="0" applyFont="1" applyFill="1" applyBorder="1" applyAlignment="1" applyProtection="1">
      <alignment horizontal="right" wrapText="1"/>
    </xf>
    <xf numFmtId="0" fontId="12" fillId="0" borderId="13" xfId="0" applyFont="1" applyFill="1" applyBorder="1" applyAlignment="1" applyProtection="1">
      <alignment horizontal="center" wrapText="1"/>
    </xf>
    <xf numFmtId="0" fontId="0" fillId="25" borderId="3" xfId="0" applyFont="1" applyFill="1" applyBorder="1" applyAlignment="1"/>
    <xf numFmtId="0" fontId="0" fillId="25" borderId="12" xfId="0" applyFont="1" applyFill="1" applyBorder="1" applyAlignment="1"/>
    <xf numFmtId="0" fontId="23" fillId="18" borderId="8" xfId="0" applyFont="1" applyFill="1" applyBorder="1" applyAlignment="1" applyProtection="1">
      <alignment wrapText="1"/>
    </xf>
    <xf numFmtId="0" fontId="23" fillId="17" borderId="8" xfId="0" applyFont="1" applyFill="1" applyBorder="1" applyAlignment="1" applyProtection="1">
      <alignment horizontal="right" wrapText="1"/>
    </xf>
    <xf numFmtId="17" fontId="23" fillId="17" borderId="2" xfId="0" applyNumberFormat="1" applyFont="1" applyFill="1" applyBorder="1" applyAlignment="1" applyProtection="1">
      <alignment horizontal="right" wrapText="1"/>
    </xf>
    <xf numFmtId="16" fontId="23" fillId="17" borderId="2" xfId="0" applyNumberFormat="1" applyFont="1" applyFill="1" applyBorder="1" applyAlignment="1" applyProtection="1">
      <alignment horizontal="right" wrapText="1"/>
    </xf>
    <xf numFmtId="0" fontId="24" fillId="17" borderId="2" xfId="0" applyFont="1" applyFill="1" applyBorder="1" applyAlignment="1" applyProtection="1">
      <alignment horizontal="right" wrapText="1"/>
    </xf>
    <xf numFmtId="0" fontId="0" fillId="24" borderId="8" xfId="0" applyFont="1" applyFill="1" applyBorder="1" applyAlignment="1">
      <alignment horizontal="right"/>
    </xf>
    <xf numFmtId="0" fontId="0" fillId="24" borderId="2" xfId="0" applyFont="1" applyFill="1" applyBorder="1" applyAlignment="1">
      <alignment horizontal="right"/>
    </xf>
    <xf numFmtId="0" fontId="4" fillId="16" borderId="2" xfId="0" applyFont="1" applyFill="1" applyBorder="1" applyAlignment="1">
      <alignment horizontal="center"/>
    </xf>
    <xf numFmtId="0" fontId="0" fillId="16" borderId="2" xfId="0" applyFill="1" applyBorder="1" applyAlignment="1">
      <alignment horizontal="center" wrapText="1"/>
    </xf>
    <xf numFmtId="2" fontId="0" fillId="0" borderId="2" xfId="0" applyNumberFormat="1" applyBorder="1"/>
    <xf numFmtId="164" fontId="0" fillId="0" borderId="2" xfId="0" applyNumberFormat="1" applyBorder="1"/>
    <xf numFmtId="0" fontId="0" fillId="0" borderId="2" xfId="0" applyBorder="1" applyAlignment="1">
      <alignment horizontal="center" wrapText="1"/>
    </xf>
    <xf numFmtId="0" fontId="4" fillId="0" borderId="2" xfId="0" applyFont="1" applyBorder="1" applyAlignment="1">
      <alignment horizontal="center" wrapText="1"/>
    </xf>
    <xf numFmtId="0" fontId="4" fillId="16" borderId="2" xfId="0" applyFont="1" applyFill="1" applyBorder="1" applyAlignment="1">
      <alignment horizontal="center" wrapText="1"/>
    </xf>
    <xf numFmtId="0" fontId="4" fillId="16" borderId="0" xfId="0" applyFont="1" applyFill="1" applyBorder="1" applyAlignment="1">
      <alignment horizontal="center" wrapText="1"/>
    </xf>
    <xf numFmtId="164" fontId="0" fillId="0" borderId="0" xfId="0" applyNumberFormat="1" applyBorder="1"/>
    <xf numFmtId="0" fontId="0" fillId="5" borderId="3" xfId="0" applyFont="1" applyFill="1" applyBorder="1" applyAlignment="1">
      <alignment vertical="center"/>
    </xf>
    <xf numFmtId="0" fontId="0" fillId="5" borderId="9" xfId="0" applyFont="1" applyFill="1" applyBorder="1" applyAlignment="1">
      <alignment vertical="center"/>
    </xf>
    <xf numFmtId="0" fontId="0" fillId="5" borderId="8" xfId="0" applyFont="1" applyFill="1" applyBorder="1" applyAlignment="1">
      <alignment vertical="center"/>
    </xf>
    <xf numFmtId="0" fontId="0" fillId="16" borderId="2" xfId="0" applyFont="1" applyFill="1" applyBorder="1" applyAlignment="1">
      <alignment horizontal="center" wrapText="1"/>
    </xf>
    <xf numFmtId="164" fontId="0" fillId="0" borderId="0" xfId="0" applyNumberFormat="1"/>
    <xf numFmtId="0" fontId="0" fillId="0" borderId="8" xfId="0" applyFont="1" applyFill="1" applyBorder="1" applyAlignment="1">
      <alignment horizontal="left"/>
    </xf>
    <xf numFmtId="0" fontId="19" fillId="0" borderId="8" xfId="0" applyFont="1" applyFill="1" applyBorder="1"/>
    <xf numFmtId="0" fontId="19" fillId="0" borderId="0" xfId="0" applyFont="1" applyFill="1" applyBorder="1"/>
    <xf numFmtId="0" fontId="19" fillId="0" borderId="2" xfId="0" applyFont="1" applyFill="1" applyBorder="1" applyAlignment="1">
      <alignment horizontal="left"/>
    </xf>
    <xf numFmtId="0" fontId="19" fillId="0" borderId="2" xfId="0" applyFont="1" applyFill="1" applyBorder="1" applyAlignment="1">
      <alignment horizontal="left" vertical="center"/>
    </xf>
    <xf numFmtId="0" fontId="18" fillId="0" borderId="2" xfId="1" applyFont="1" applyFill="1" applyBorder="1" applyAlignment="1">
      <alignment horizontal="left"/>
    </xf>
    <xf numFmtId="0" fontId="14" fillId="0" borderId="2" xfId="0" applyFont="1" applyFill="1" applyBorder="1"/>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0" fontId="14" fillId="0" borderId="0" xfId="0" applyFont="1" applyFill="1" applyBorder="1"/>
    <xf numFmtId="0" fontId="23" fillId="0" borderId="2" xfId="232" applyFont="1" applyFill="1" applyBorder="1" applyAlignment="1" applyProtection="1">
      <alignment horizontal="right" vertical="center" wrapText="1"/>
    </xf>
    <xf numFmtId="0" fontId="23" fillId="0" borderId="2" xfId="232" applyFont="1" applyFill="1" applyBorder="1" applyAlignment="1" applyProtection="1">
      <alignment horizontal="right" vertical="center" wrapText="1"/>
    </xf>
    <xf numFmtId="1" fontId="0" fillId="0" borderId="0" xfId="0" applyNumberFormat="1" applyFill="1" applyBorder="1"/>
    <xf numFmtId="0" fontId="17" fillId="0" borderId="0" xfId="2" applyFont="1" applyFill="1" applyBorder="1" applyAlignment="1">
      <alignment horizontal="right" vertical="center" wrapText="1"/>
    </xf>
    <xf numFmtId="0" fontId="17" fillId="20" borderId="2" xfId="2" applyFont="1" applyFill="1" applyBorder="1" applyAlignment="1">
      <alignment horizontal="right" vertical="center" wrapText="1"/>
    </xf>
    <xf numFmtId="0" fontId="17" fillId="37" borderId="2" xfId="2" applyFont="1" applyFill="1" applyBorder="1" applyAlignment="1">
      <alignment horizontal="right" vertical="center" wrapText="1"/>
    </xf>
    <xf numFmtId="0" fontId="0" fillId="0" borderId="3"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3" xfId="0" applyFont="1" applyFill="1" applyBorder="1" applyAlignment="1">
      <alignment horizontal="left" vertical="center"/>
    </xf>
    <xf numFmtId="0" fontId="0" fillId="0" borderId="9" xfId="0" applyFont="1" applyFill="1" applyBorder="1" applyAlignment="1">
      <alignment horizontal="left" vertical="center"/>
    </xf>
    <xf numFmtId="0" fontId="0" fillId="0" borderId="8" xfId="0" applyFont="1" applyFill="1" applyBorder="1" applyAlignment="1">
      <alignment horizontal="left" vertical="center"/>
    </xf>
    <xf numFmtId="0" fontId="0" fillId="0" borderId="18" xfId="0" applyFont="1" applyFill="1" applyBorder="1" applyAlignment="1">
      <alignment horizontal="left" vertical="center"/>
    </xf>
    <xf numFmtId="0" fontId="0" fillId="5" borderId="3" xfId="0" applyFont="1" applyFill="1" applyBorder="1" applyAlignment="1">
      <alignment horizontal="center" vertical="center"/>
    </xf>
    <xf numFmtId="0" fontId="0" fillId="5" borderId="9" xfId="0" applyFont="1" applyFill="1" applyBorder="1" applyAlignment="1">
      <alignment horizontal="center" vertical="center"/>
    </xf>
    <xf numFmtId="0" fontId="0" fillId="5" borderId="8" xfId="0" applyFont="1" applyFill="1" applyBorder="1" applyAlignment="1">
      <alignment horizontal="center" vertical="center"/>
    </xf>
    <xf numFmtId="0" fontId="0" fillId="5" borderId="16" xfId="0" applyFont="1" applyFill="1" applyBorder="1" applyAlignment="1">
      <alignment horizontal="center" vertical="center"/>
    </xf>
    <xf numFmtId="0" fontId="0" fillId="5" borderId="17" xfId="0" applyFont="1" applyFill="1" applyBorder="1" applyAlignment="1">
      <alignment horizontal="center" vertical="center"/>
    </xf>
    <xf numFmtId="0" fontId="0" fillId="5" borderId="15" xfId="0" applyFont="1" applyFill="1" applyBorder="1" applyAlignment="1">
      <alignment horizontal="center" vertical="center"/>
    </xf>
    <xf numFmtId="0" fontId="0" fillId="5" borderId="2" xfId="0" applyFont="1" applyFill="1" applyBorder="1" applyAlignment="1">
      <alignment horizontal="left" vertical="center"/>
    </xf>
    <xf numFmtId="0" fontId="0" fillId="5" borderId="8" xfId="0" applyFont="1" applyFill="1" applyBorder="1" applyAlignment="1">
      <alignment horizontal="left" vertical="center"/>
    </xf>
    <xf numFmtId="0" fontId="0" fillId="5" borderId="3" xfId="0" applyFont="1" applyFill="1" applyBorder="1" applyAlignment="1">
      <alignment horizontal="left" vertical="center"/>
    </xf>
    <xf numFmtId="0" fontId="0" fillId="5" borderId="9" xfId="0" applyFont="1" applyFill="1" applyBorder="1" applyAlignment="1">
      <alignment horizontal="left" vertical="center"/>
    </xf>
    <xf numFmtId="0" fontId="0" fillId="5" borderId="11" xfId="0" applyFont="1" applyFill="1" applyBorder="1" applyAlignment="1">
      <alignment horizontal="left" vertical="center"/>
    </xf>
    <xf numFmtId="0" fontId="0" fillId="5" borderId="0" xfId="0" applyFont="1" applyFill="1" applyBorder="1" applyAlignment="1">
      <alignment horizontal="left" vertical="center"/>
    </xf>
    <xf numFmtId="0" fontId="0" fillId="5" borderId="2" xfId="0" applyFont="1" applyFill="1" applyBorder="1" applyAlignment="1">
      <alignment horizontal="center" vertical="center"/>
    </xf>
  </cellXfs>
  <cellStyles count="238">
    <cellStyle name="Bad" xfId="1" builtinId="27"/>
    <cellStyle name="Bad 2" xfId="236"/>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Hyperlink" xfId="3"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Input" xfId="2" builtinId="20"/>
    <cellStyle name="Input 2" xfId="234"/>
    <cellStyle name="Input 2 2" xfId="237"/>
    <cellStyle name="Normal" xfId="0" builtinId="0"/>
    <cellStyle name="Normal 2" xfId="232"/>
    <cellStyle name="Normal 2 2" xfId="235"/>
    <cellStyle name="Normal 3" xfId="233"/>
  </cellStyles>
  <dxfs count="0"/>
  <tableStyles count="0" defaultTableStyle="TableStyleMedium9" defaultPivotStyle="PivotStyleMedium4"/>
  <colors>
    <mruColors>
      <color rgb="FFFFFF99"/>
      <color rgb="FFCCFFCC"/>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chartsheet" Target="chartsheets/sheet6.xml"/><Relationship Id="rId2" Type="http://schemas.openxmlformats.org/officeDocument/2006/relationships/worksheet" Target="worksheets/sheet2.xml"/><Relationship Id="rId16" Type="http://schemas.openxmlformats.org/officeDocument/2006/relationships/chartsheet" Target="chartsheets/sheet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chartsheet" Target="chartsheets/sheet4.xml"/><Relationship Id="rId10" Type="http://schemas.openxmlformats.org/officeDocument/2006/relationships/chartsheet" Target="chartsheets/sheet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Final Ranking Score:</a:t>
            </a:r>
            <a:endParaRPr lang="en-US">
              <a:effectLst/>
            </a:endParaRPr>
          </a:p>
          <a:p>
            <a:pPr>
              <a:defRPr/>
            </a:pPr>
            <a:r>
              <a:rPr lang="en-US" sz="1800" b="1" i="0" baseline="0">
                <a:effectLst/>
              </a:rPr>
              <a:t>Seaducks, Loons, and Grebes</a:t>
            </a:r>
            <a:endParaRPr lang="en-US"/>
          </a:p>
        </c:rich>
      </c:tx>
      <c:layout>
        <c:manualLayout>
          <c:xMode val="edge"/>
          <c:yMode val="edge"/>
          <c:x val="0.23797817789876347"/>
          <c:y val="2.7361566325021552E-2"/>
        </c:manualLayout>
      </c:layout>
      <c:overlay val="0"/>
    </c:title>
    <c:autoTitleDeleted val="0"/>
    <c:plotArea>
      <c:layout/>
      <c:barChart>
        <c:barDir val="col"/>
        <c:grouping val="clustered"/>
        <c:varyColors val="0"/>
        <c:ser>
          <c:idx val="0"/>
          <c:order val="0"/>
          <c:tx>
            <c:strRef>
              <c:f>Analysis1!$C$1</c:f>
              <c:strCache>
                <c:ptCount val="1"/>
                <c:pt idx="0">
                  <c:v>Collision</c:v>
                </c:pt>
              </c:strCache>
            </c:strRef>
          </c:tx>
          <c:invertIfNegative val="0"/>
          <c:errBars>
            <c:errBarType val="both"/>
            <c:errValType val="cust"/>
            <c:noEndCap val="0"/>
            <c:plus>
              <c:numRef>
                <c:f>Analysis1!$G$2:$G$16</c:f>
                <c:numCache>
                  <c:formatCode>General</c:formatCode>
                  <c:ptCount val="15"/>
                  <c:pt idx="0">
                    <c:v>0.90000000000000036</c:v>
                  </c:pt>
                  <c:pt idx="1">
                    <c:v>1.3000000000000007</c:v>
                  </c:pt>
                  <c:pt idx="2">
                    <c:v>0.5</c:v>
                  </c:pt>
                  <c:pt idx="3">
                    <c:v>1.5999999999999996</c:v>
                  </c:pt>
                  <c:pt idx="4">
                    <c:v>0.19999999999999996</c:v>
                  </c:pt>
                  <c:pt idx="5">
                    <c:v>1.1000000000000005</c:v>
                  </c:pt>
                  <c:pt idx="6">
                    <c:v>0.69999999999999973</c:v>
                  </c:pt>
                  <c:pt idx="7">
                    <c:v>1.1000000000000001</c:v>
                  </c:pt>
                  <c:pt idx="8">
                    <c:v>-9.9999999999999978E-2</c:v>
                  </c:pt>
                  <c:pt idx="9">
                    <c:v>0.40000000000000036</c:v>
                  </c:pt>
                  <c:pt idx="10">
                    <c:v>1.7000000000000002</c:v>
                  </c:pt>
                  <c:pt idx="11">
                    <c:v>1.2999999999999998</c:v>
                  </c:pt>
                  <c:pt idx="12">
                    <c:v>1.8999999999999995</c:v>
                  </c:pt>
                  <c:pt idx="13">
                    <c:v>1.9000000000000004</c:v>
                  </c:pt>
                  <c:pt idx="14">
                    <c:v>1.6999999999999993</c:v>
                  </c:pt>
                </c:numCache>
              </c:numRef>
            </c:plus>
            <c:minus>
              <c:numRef>
                <c:f>Analysis1!$E$2:$E$16</c:f>
                <c:numCache>
                  <c:formatCode>General</c:formatCode>
                  <c:ptCount val="15"/>
                  <c:pt idx="0">
                    <c:v>1.2999999999999998</c:v>
                  </c:pt>
                  <c:pt idx="1">
                    <c:v>0.89999999999999991</c:v>
                  </c:pt>
                  <c:pt idx="2">
                    <c:v>0.79999999999999938</c:v>
                  </c:pt>
                  <c:pt idx="3">
                    <c:v>0.90000000000000036</c:v>
                  </c:pt>
                  <c:pt idx="4">
                    <c:v>0.90000000000000013</c:v>
                  </c:pt>
                  <c:pt idx="5">
                    <c:v>2.8</c:v>
                  </c:pt>
                  <c:pt idx="6">
                    <c:v>0.60000000000000009</c:v>
                  </c:pt>
                  <c:pt idx="7">
                    <c:v>1.0000000000000002</c:v>
                  </c:pt>
                  <c:pt idx="8">
                    <c:v>0</c:v>
                  </c:pt>
                  <c:pt idx="9">
                    <c:v>0.29999999999999982</c:v>
                  </c:pt>
                  <c:pt idx="10">
                    <c:v>1.1000000000000005</c:v>
                  </c:pt>
                  <c:pt idx="11">
                    <c:v>1.2000000000000002</c:v>
                  </c:pt>
                  <c:pt idx="12">
                    <c:v>2.3000000000000003</c:v>
                  </c:pt>
                  <c:pt idx="13">
                    <c:v>3</c:v>
                  </c:pt>
                  <c:pt idx="14">
                    <c:v>2.3000000000000003</c:v>
                  </c:pt>
                </c:numCache>
              </c:numRef>
            </c:minus>
          </c:errBars>
          <c:cat>
            <c:strRef>
              <c:f>Analysis1!$B$2:$B$16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Analysis1!$C$2:$C$16</c:f>
              <c:numCache>
                <c:formatCode>General</c:formatCode>
                <c:ptCount val="15"/>
                <c:pt idx="0">
                  <c:v>1.7999999999999998</c:v>
                </c:pt>
                <c:pt idx="1">
                  <c:v>4</c:v>
                </c:pt>
                <c:pt idx="2">
                  <c:v>3.5999999999999996</c:v>
                </c:pt>
                <c:pt idx="3">
                  <c:v>4.5</c:v>
                </c:pt>
                <c:pt idx="4">
                  <c:v>1.1000000000000001</c:v>
                </c:pt>
                <c:pt idx="5">
                  <c:v>4.3</c:v>
                </c:pt>
                <c:pt idx="6">
                  <c:v>2.2000000000000002</c:v>
                </c:pt>
                <c:pt idx="7">
                  <c:v>2.2000000000000002</c:v>
                </c:pt>
                <c:pt idx="8">
                  <c:v>0.5</c:v>
                </c:pt>
                <c:pt idx="9">
                  <c:v>1.7999999999999998</c:v>
                </c:pt>
                <c:pt idx="10">
                  <c:v>6.2</c:v>
                </c:pt>
                <c:pt idx="11">
                  <c:v>6.8999999999999995</c:v>
                </c:pt>
                <c:pt idx="12">
                  <c:v>4.2</c:v>
                </c:pt>
                <c:pt idx="13">
                  <c:v>5.5</c:v>
                </c:pt>
                <c:pt idx="14">
                  <c:v>5.4</c:v>
                </c:pt>
              </c:numCache>
            </c:numRef>
          </c:val>
        </c:ser>
        <c:ser>
          <c:idx val="1"/>
          <c:order val="1"/>
          <c:tx>
            <c:strRef>
              <c:f>Analysis1!$H$1</c:f>
              <c:strCache>
                <c:ptCount val="1"/>
                <c:pt idx="0">
                  <c:v>Displacement</c:v>
                </c:pt>
              </c:strCache>
            </c:strRef>
          </c:tx>
          <c:invertIfNegative val="0"/>
          <c:errBars>
            <c:errBarType val="both"/>
            <c:errValType val="cust"/>
            <c:noEndCap val="0"/>
            <c:plus>
              <c:numRef>
                <c:f>Analysis1!$K$2:$K$77</c:f>
                <c:numCache>
                  <c:formatCode>General</c:formatCode>
                  <c:ptCount val="76"/>
                  <c:pt idx="0">
                    <c:v>1.4000000000000004</c:v>
                  </c:pt>
                  <c:pt idx="1">
                    <c:v>1.1000000000000005</c:v>
                  </c:pt>
                  <c:pt idx="2">
                    <c:v>2.0000000000000018</c:v>
                  </c:pt>
                  <c:pt idx="3">
                    <c:v>0.89999999999999858</c:v>
                  </c:pt>
                  <c:pt idx="4">
                    <c:v>0.39999999999999997</c:v>
                  </c:pt>
                  <c:pt idx="5">
                    <c:v>2.4000000000000004</c:v>
                  </c:pt>
                  <c:pt idx="6">
                    <c:v>0.59999999999999964</c:v>
                  </c:pt>
                  <c:pt idx="7">
                    <c:v>0.90000000000000036</c:v>
                  </c:pt>
                  <c:pt idx="8">
                    <c:v>0.90000000000000036</c:v>
                  </c:pt>
                  <c:pt idx="9">
                    <c:v>0.5</c:v>
                  </c:pt>
                  <c:pt idx="10">
                    <c:v>1.3000000000000007</c:v>
                  </c:pt>
                  <c:pt idx="11">
                    <c:v>1.1999999999999993</c:v>
                  </c:pt>
                  <c:pt idx="12">
                    <c:v>1.6999999999999993</c:v>
                  </c:pt>
                  <c:pt idx="13">
                    <c:v>0.70000000000000018</c:v>
                  </c:pt>
                  <c:pt idx="14">
                    <c:v>0.79999999999999982</c:v>
                  </c:pt>
                  <c:pt idx="15">
                    <c:v>1.6000000000000005</c:v>
                  </c:pt>
                  <c:pt idx="16">
                    <c:v>1.6999999999999993</c:v>
                  </c:pt>
                  <c:pt idx="17">
                    <c:v>1.3999999999999995</c:v>
                  </c:pt>
                  <c:pt idx="18">
                    <c:v>1.7999999999999994</c:v>
                  </c:pt>
                  <c:pt idx="19">
                    <c:v>0.59999999999999964</c:v>
                  </c:pt>
                  <c:pt idx="20">
                    <c:v>1.2999999999999998</c:v>
                  </c:pt>
                  <c:pt idx="21">
                    <c:v>1.3999999999999995</c:v>
                  </c:pt>
                  <c:pt idx="22">
                    <c:v>1.1999999999999997</c:v>
                  </c:pt>
                  <c:pt idx="23">
                    <c:v>0.5</c:v>
                  </c:pt>
                  <c:pt idx="24">
                    <c:v>1</c:v>
                  </c:pt>
                  <c:pt idx="25">
                    <c:v>0.79999999999999982</c:v>
                  </c:pt>
                  <c:pt idx="26">
                    <c:v>0.99999999999999911</c:v>
                  </c:pt>
                  <c:pt idx="27">
                    <c:v>1.5</c:v>
                  </c:pt>
                  <c:pt idx="28">
                    <c:v>1.2999999999999998</c:v>
                  </c:pt>
                  <c:pt idx="29">
                    <c:v>1.0999999999999996</c:v>
                  </c:pt>
                  <c:pt idx="30">
                    <c:v>1.6000000000000005</c:v>
                  </c:pt>
                  <c:pt idx="31">
                    <c:v>1.5000000000000009</c:v>
                  </c:pt>
                  <c:pt idx="32">
                    <c:v>0.80000000000000071</c:v>
                  </c:pt>
                  <c:pt idx="33">
                    <c:v>1.2000000000000002</c:v>
                  </c:pt>
                  <c:pt idx="34">
                    <c:v>2</c:v>
                  </c:pt>
                  <c:pt idx="35">
                    <c:v>2.5999999999999996</c:v>
                  </c:pt>
                  <c:pt idx="36">
                    <c:v>1.0999999999999996</c:v>
                  </c:pt>
                  <c:pt idx="37">
                    <c:v>1.7999999999999998</c:v>
                  </c:pt>
                  <c:pt idx="38">
                    <c:v>1.2999999999999998</c:v>
                  </c:pt>
                  <c:pt idx="39">
                    <c:v>2.2999999999999998</c:v>
                  </c:pt>
                  <c:pt idx="40">
                    <c:v>2.8</c:v>
                  </c:pt>
                  <c:pt idx="41">
                    <c:v>1.6999999999999997</c:v>
                  </c:pt>
                  <c:pt idx="42">
                    <c:v>1.9000000000000012</c:v>
                  </c:pt>
                  <c:pt idx="43">
                    <c:v>2.4</c:v>
                  </c:pt>
                  <c:pt idx="44">
                    <c:v>2.3999999999999995</c:v>
                  </c:pt>
                  <c:pt idx="45">
                    <c:v>2.9000000000000004</c:v>
                  </c:pt>
                  <c:pt idx="46">
                    <c:v>1.7999999999999998</c:v>
                  </c:pt>
                  <c:pt idx="47">
                    <c:v>2.1999999999999993</c:v>
                  </c:pt>
                  <c:pt idx="48">
                    <c:v>1.4000000000000004</c:v>
                  </c:pt>
                  <c:pt idx="49">
                    <c:v>2.7000000000000006</c:v>
                  </c:pt>
                  <c:pt idx="50">
                    <c:v>2</c:v>
                  </c:pt>
                  <c:pt idx="51">
                    <c:v>1.7000000000000002</c:v>
                  </c:pt>
                  <c:pt idx="52">
                    <c:v>1.1999999999999993</c:v>
                  </c:pt>
                  <c:pt idx="53">
                    <c:v>0.69999999999999929</c:v>
                  </c:pt>
                  <c:pt idx="54">
                    <c:v>0.70000000000000018</c:v>
                  </c:pt>
                  <c:pt idx="55">
                    <c:v>0.79999999999999893</c:v>
                  </c:pt>
                  <c:pt idx="56">
                    <c:v>1.1000000000000014</c:v>
                  </c:pt>
                  <c:pt idx="57">
                    <c:v>0.99999999999999822</c:v>
                  </c:pt>
                  <c:pt idx="58">
                    <c:v>1</c:v>
                  </c:pt>
                  <c:pt idx="59">
                    <c:v>1.7000000000000002</c:v>
                  </c:pt>
                  <c:pt idx="60">
                    <c:v>0.69999999999999929</c:v>
                  </c:pt>
                  <c:pt idx="61">
                    <c:v>0.3</c:v>
                  </c:pt>
                  <c:pt idx="62">
                    <c:v>1.1000000000000001</c:v>
                  </c:pt>
                  <c:pt idx="63">
                    <c:v>1.8</c:v>
                  </c:pt>
                  <c:pt idx="64">
                    <c:v>1.4</c:v>
                  </c:pt>
                  <c:pt idx="65">
                    <c:v>0.90000000000000036</c:v>
                  </c:pt>
                  <c:pt idx="66">
                    <c:v>0.79999999999999893</c:v>
                  </c:pt>
                  <c:pt idx="67">
                    <c:v>0.40000000000000036</c:v>
                  </c:pt>
                  <c:pt idx="68">
                    <c:v>1.2000000000000002</c:v>
                  </c:pt>
                  <c:pt idx="69">
                    <c:v>0.20000000000000107</c:v>
                  </c:pt>
                  <c:pt idx="70">
                    <c:v>0.99999999999999911</c:v>
                  </c:pt>
                  <c:pt idx="71">
                    <c:v>0.59999999999999964</c:v>
                  </c:pt>
                  <c:pt idx="72">
                    <c:v>1.1000000000000001</c:v>
                  </c:pt>
                  <c:pt idx="73">
                    <c:v>0.59999999999999964</c:v>
                  </c:pt>
                  <c:pt idx="74">
                    <c:v>1.5</c:v>
                  </c:pt>
                  <c:pt idx="75">
                    <c:v>0.90000000000000036</c:v>
                  </c:pt>
                </c:numCache>
              </c:numRef>
            </c:plus>
            <c:minus>
              <c:numRef>
                <c:f>Analysis1!$I$2:$I$77</c:f>
                <c:numCache>
                  <c:formatCode>General</c:formatCode>
                  <c:ptCount val="76"/>
                  <c:pt idx="0">
                    <c:v>3.8</c:v>
                  </c:pt>
                  <c:pt idx="1">
                    <c:v>4.4000000000000004</c:v>
                  </c:pt>
                  <c:pt idx="2">
                    <c:v>3.9999999999999996</c:v>
                  </c:pt>
                  <c:pt idx="3">
                    <c:v>3.2000000000000011</c:v>
                  </c:pt>
                  <c:pt idx="4">
                    <c:v>0.2</c:v>
                  </c:pt>
                  <c:pt idx="5">
                    <c:v>1.1000000000000001</c:v>
                  </c:pt>
                  <c:pt idx="6">
                    <c:v>0.79999999999999982</c:v>
                  </c:pt>
                  <c:pt idx="7">
                    <c:v>2.8000000000000007</c:v>
                  </c:pt>
                  <c:pt idx="8">
                    <c:v>1.6</c:v>
                  </c:pt>
                  <c:pt idx="9">
                    <c:v>2.5000000000000009</c:v>
                  </c:pt>
                  <c:pt idx="10">
                    <c:v>4.1999999999999993</c:v>
                  </c:pt>
                  <c:pt idx="11">
                    <c:v>4.5999999999999996</c:v>
                  </c:pt>
                  <c:pt idx="12">
                    <c:v>4.1000000000000005</c:v>
                  </c:pt>
                  <c:pt idx="13">
                    <c:v>3.3</c:v>
                  </c:pt>
                  <c:pt idx="14">
                    <c:v>3.5000000000000004</c:v>
                  </c:pt>
                  <c:pt idx="15">
                    <c:v>3.2</c:v>
                  </c:pt>
                  <c:pt idx="16">
                    <c:v>1.9000000000000004</c:v>
                  </c:pt>
                  <c:pt idx="17">
                    <c:v>2.9</c:v>
                  </c:pt>
                  <c:pt idx="18">
                    <c:v>2.2000000000000002</c:v>
                  </c:pt>
                  <c:pt idx="19">
                    <c:v>1.4999999999999996</c:v>
                  </c:pt>
                  <c:pt idx="20">
                    <c:v>2.9000000000000004</c:v>
                  </c:pt>
                  <c:pt idx="21">
                    <c:v>2.9</c:v>
                  </c:pt>
                  <c:pt idx="22">
                    <c:v>1.7999999999999998</c:v>
                  </c:pt>
                  <c:pt idx="23">
                    <c:v>1.9999999999999996</c:v>
                  </c:pt>
                  <c:pt idx="24">
                    <c:v>4.8999999999999986</c:v>
                  </c:pt>
                  <c:pt idx="25">
                    <c:v>1.0000000000000004</c:v>
                  </c:pt>
                  <c:pt idx="26">
                    <c:v>4.8000000000000007</c:v>
                  </c:pt>
                  <c:pt idx="27">
                    <c:v>3.0000000000000004</c:v>
                  </c:pt>
                  <c:pt idx="28">
                    <c:v>1.3</c:v>
                  </c:pt>
                  <c:pt idx="29">
                    <c:v>4.9000000000000004</c:v>
                  </c:pt>
                  <c:pt idx="30">
                    <c:v>2.899999999999999</c:v>
                  </c:pt>
                  <c:pt idx="31">
                    <c:v>2.8999999999999995</c:v>
                  </c:pt>
                  <c:pt idx="32">
                    <c:v>1.9999999999999991</c:v>
                  </c:pt>
                  <c:pt idx="33">
                    <c:v>0.5</c:v>
                  </c:pt>
                  <c:pt idx="34">
                    <c:v>3.1</c:v>
                  </c:pt>
                  <c:pt idx="35">
                    <c:v>2.8</c:v>
                  </c:pt>
                  <c:pt idx="36">
                    <c:v>2.5</c:v>
                  </c:pt>
                  <c:pt idx="37">
                    <c:v>3.2</c:v>
                  </c:pt>
                  <c:pt idx="38">
                    <c:v>2.8</c:v>
                  </c:pt>
                  <c:pt idx="39">
                    <c:v>2.8000000000000003</c:v>
                  </c:pt>
                  <c:pt idx="40">
                    <c:v>2.4000000000000004</c:v>
                  </c:pt>
                  <c:pt idx="41">
                    <c:v>2.3000000000000003</c:v>
                  </c:pt>
                  <c:pt idx="42">
                    <c:v>4.1999999999999993</c:v>
                  </c:pt>
                  <c:pt idx="43">
                    <c:v>2.2999999999999998</c:v>
                  </c:pt>
                  <c:pt idx="44">
                    <c:v>2.9</c:v>
                  </c:pt>
                  <c:pt idx="45">
                    <c:v>2.2000000000000002</c:v>
                  </c:pt>
                  <c:pt idx="46">
                    <c:v>0.60000000000000009</c:v>
                  </c:pt>
                  <c:pt idx="47">
                    <c:v>2.5</c:v>
                  </c:pt>
                  <c:pt idx="48">
                    <c:v>1.4999999999999998</c:v>
                  </c:pt>
                  <c:pt idx="49">
                    <c:v>1.9</c:v>
                  </c:pt>
                  <c:pt idx="50">
                    <c:v>2.8999999999999995</c:v>
                  </c:pt>
                  <c:pt idx="51">
                    <c:v>2.5999999999999996</c:v>
                  </c:pt>
                  <c:pt idx="52">
                    <c:v>4.0999999999999996</c:v>
                  </c:pt>
                  <c:pt idx="53">
                    <c:v>3.4000000000000004</c:v>
                  </c:pt>
                  <c:pt idx="54">
                    <c:v>3.2</c:v>
                  </c:pt>
                  <c:pt idx="55">
                    <c:v>4.3000000000000007</c:v>
                  </c:pt>
                  <c:pt idx="56">
                    <c:v>4.5999999999999996</c:v>
                  </c:pt>
                  <c:pt idx="57">
                    <c:v>4.7</c:v>
                  </c:pt>
                  <c:pt idx="58">
                    <c:v>4.0000000000000009</c:v>
                  </c:pt>
                  <c:pt idx="59">
                    <c:v>3.6999999999999997</c:v>
                  </c:pt>
                  <c:pt idx="60">
                    <c:v>3.6000000000000005</c:v>
                  </c:pt>
                  <c:pt idx="61">
                    <c:v>0</c:v>
                  </c:pt>
                  <c:pt idx="62">
                    <c:v>0.39999999999999991</c:v>
                  </c:pt>
                  <c:pt idx="63">
                    <c:v>1</c:v>
                  </c:pt>
                  <c:pt idx="64">
                    <c:v>0.60000000000000009</c:v>
                  </c:pt>
                  <c:pt idx="65">
                    <c:v>1.7999999999999998</c:v>
                  </c:pt>
                  <c:pt idx="66">
                    <c:v>1.4000000000000004</c:v>
                  </c:pt>
                  <c:pt idx="67">
                    <c:v>1.5999999999999996</c:v>
                  </c:pt>
                  <c:pt idx="68">
                    <c:v>3.5999999999999996</c:v>
                  </c:pt>
                  <c:pt idx="69">
                    <c:v>0.89999999999999858</c:v>
                  </c:pt>
                  <c:pt idx="70">
                    <c:v>2.2000000000000002</c:v>
                  </c:pt>
                  <c:pt idx="71">
                    <c:v>1.7000000000000011</c:v>
                  </c:pt>
                  <c:pt idx="72">
                    <c:v>1.7999999999999998</c:v>
                  </c:pt>
                  <c:pt idx="73">
                    <c:v>2.5999999999999996</c:v>
                  </c:pt>
                  <c:pt idx="74">
                    <c:v>1.8000000000000003</c:v>
                  </c:pt>
                  <c:pt idx="75">
                    <c:v>1.6999999999999993</c:v>
                  </c:pt>
                </c:numCache>
              </c:numRef>
            </c:minus>
          </c:errBars>
          <c:cat>
            <c:strRef>
              <c:f>Analysis1!$B$2:$B$16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Analysis1!$H$2:$H$16</c:f>
              <c:numCache>
                <c:formatCode>General</c:formatCode>
                <c:ptCount val="15"/>
                <c:pt idx="0">
                  <c:v>5.2</c:v>
                </c:pt>
                <c:pt idx="1">
                  <c:v>7.7</c:v>
                </c:pt>
                <c:pt idx="2">
                  <c:v>6.1</c:v>
                </c:pt>
                <c:pt idx="3">
                  <c:v>8.1000000000000014</c:v>
                </c:pt>
                <c:pt idx="4">
                  <c:v>0.2</c:v>
                </c:pt>
                <c:pt idx="5">
                  <c:v>1.5</c:v>
                </c:pt>
                <c:pt idx="6">
                  <c:v>8.5</c:v>
                </c:pt>
                <c:pt idx="7">
                  <c:v>7.9</c:v>
                </c:pt>
                <c:pt idx="8">
                  <c:v>4.4000000000000004</c:v>
                </c:pt>
                <c:pt idx="9">
                  <c:v>8.4</c:v>
                </c:pt>
                <c:pt idx="10">
                  <c:v>8.1999999999999993</c:v>
                </c:pt>
                <c:pt idx="11">
                  <c:v>8.1999999999999993</c:v>
                </c:pt>
                <c:pt idx="12">
                  <c:v>5.4</c:v>
                </c:pt>
                <c:pt idx="13">
                  <c:v>7</c:v>
                </c:pt>
                <c:pt idx="14">
                  <c:v>6.6000000000000005</c:v>
                </c:pt>
              </c:numCache>
            </c:numRef>
          </c:val>
        </c:ser>
        <c:dLbls>
          <c:showLegendKey val="0"/>
          <c:showVal val="0"/>
          <c:showCatName val="0"/>
          <c:showSerName val="0"/>
          <c:showPercent val="0"/>
          <c:showBubbleSize val="0"/>
        </c:dLbls>
        <c:gapWidth val="150"/>
        <c:axId val="246760960"/>
        <c:axId val="245678080"/>
      </c:barChart>
      <c:catAx>
        <c:axId val="246760960"/>
        <c:scaling>
          <c:orientation val="minMax"/>
        </c:scaling>
        <c:delete val="0"/>
        <c:axPos val="b"/>
        <c:majorTickMark val="out"/>
        <c:minorTickMark val="none"/>
        <c:tickLblPos val="nextTo"/>
        <c:txPr>
          <a:bodyPr/>
          <a:lstStyle/>
          <a:p>
            <a:pPr>
              <a:defRPr sz="1000"/>
            </a:pPr>
            <a:endParaRPr lang="en-US"/>
          </a:p>
        </c:txPr>
        <c:crossAx val="245678080"/>
        <c:crosses val="autoZero"/>
        <c:auto val="1"/>
        <c:lblAlgn val="ctr"/>
        <c:lblOffset val="100"/>
        <c:noMultiLvlLbl val="0"/>
      </c:catAx>
      <c:valAx>
        <c:axId val="245678080"/>
        <c:scaling>
          <c:orientation val="minMax"/>
        </c:scaling>
        <c:delete val="0"/>
        <c:axPos val="l"/>
        <c:numFmt formatCode="General" sourceLinked="1"/>
        <c:majorTickMark val="out"/>
        <c:minorTickMark val="none"/>
        <c:tickLblPos val="nextTo"/>
        <c:crossAx val="246760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Proportion of Time in Flight</a:t>
            </a:r>
            <a:r>
              <a:rPr lang="en-US" sz="1800" b="0" i="0" baseline="0">
                <a:effectLst/>
              </a:rPr>
              <a:t>: </a:t>
            </a:r>
            <a:r>
              <a:rPr lang="en-US" sz="1800" b="1" i="0" baseline="0">
                <a:effectLst/>
              </a:rPr>
              <a:t>Alcids</a:t>
            </a:r>
            <a:endParaRPr lang="en-US">
              <a:effectLst/>
            </a:endParaRPr>
          </a:p>
        </c:rich>
      </c:tx>
      <c:overlay val="0"/>
    </c:title>
    <c:autoTitleDeleted val="0"/>
    <c:plotArea>
      <c:layout/>
      <c:barChart>
        <c:barDir val="col"/>
        <c:grouping val="clustered"/>
        <c:varyColors val="0"/>
        <c:ser>
          <c:idx val="0"/>
          <c:order val="0"/>
          <c:tx>
            <c:strRef>
              <c:f>NFR.DFR.graphs!$C$1</c:f>
              <c:strCache>
                <c:ptCount val="1"/>
                <c:pt idx="0">
                  <c:v>Night</c:v>
                </c:pt>
              </c:strCache>
            </c:strRef>
          </c:tx>
          <c:spPr>
            <a:solidFill>
              <a:schemeClr val="tx2">
                <a:lumMod val="75000"/>
              </a:schemeClr>
            </a:solidFill>
          </c:spPr>
          <c:invertIfNegative val="0"/>
          <c:errBars>
            <c:errBarType val="both"/>
            <c:errValType val="cust"/>
            <c:noEndCap val="0"/>
            <c:plus>
              <c:numRef>
                <c:f>NFR.DFR.graphs!$E$67:$E$77</c:f>
                <c:numCache>
                  <c:formatCode>General</c:formatCode>
                  <c:ptCount val="11"/>
                  <c:pt idx="0">
                    <c:v>1</c:v>
                  </c:pt>
                  <c:pt idx="1">
                    <c:v>1</c:v>
                  </c:pt>
                  <c:pt idx="2">
                    <c:v>1</c:v>
                  </c:pt>
                  <c:pt idx="3">
                    <c:v>1</c:v>
                  </c:pt>
                  <c:pt idx="4">
                    <c:v>1</c:v>
                  </c:pt>
                  <c:pt idx="5">
                    <c:v>0.5</c:v>
                  </c:pt>
                  <c:pt idx="6">
                    <c:v>0.5</c:v>
                  </c:pt>
                  <c:pt idx="7">
                    <c:v>0.5</c:v>
                  </c:pt>
                  <c:pt idx="8">
                    <c:v>0.5</c:v>
                  </c:pt>
                  <c:pt idx="9">
                    <c:v>0.5</c:v>
                  </c:pt>
                  <c:pt idx="10">
                    <c:v>1</c:v>
                  </c:pt>
                </c:numCache>
              </c:numRef>
            </c:plus>
            <c:minus>
              <c:numRef>
                <c:f>NFR.DFR.graphs!$D$67:$D$77</c:f>
                <c:numCache>
                  <c:formatCode>General</c:formatCode>
                  <c:ptCount val="11"/>
                  <c:pt idx="0">
                    <c:v>1</c:v>
                  </c:pt>
                  <c:pt idx="1">
                    <c:v>1</c:v>
                  </c:pt>
                  <c:pt idx="2">
                    <c:v>1</c:v>
                  </c:pt>
                  <c:pt idx="3">
                    <c:v>1</c:v>
                  </c:pt>
                  <c:pt idx="4">
                    <c:v>1</c:v>
                  </c:pt>
                  <c:pt idx="5">
                    <c:v>0</c:v>
                  </c:pt>
                  <c:pt idx="6">
                    <c:v>0</c:v>
                  </c:pt>
                  <c:pt idx="7">
                    <c:v>0</c:v>
                  </c:pt>
                  <c:pt idx="8">
                    <c:v>0</c:v>
                  </c:pt>
                  <c:pt idx="9">
                    <c:v>0</c:v>
                  </c:pt>
                  <c:pt idx="10">
                    <c:v>1</c:v>
                  </c:pt>
                </c:numCache>
              </c:numRef>
            </c:minus>
          </c:errBars>
          <c:cat>
            <c:strRef>
              <c:f>NFR.DFR.graphs!$B$67:$B$77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NFR.DFR.graphs!$C$67:$C$77</c:f>
              <c:numCache>
                <c:formatCode>General</c:formatCode>
                <c:ptCount val="11"/>
                <c:pt idx="0">
                  <c:v>2</c:v>
                </c:pt>
                <c:pt idx="1">
                  <c:v>2</c:v>
                </c:pt>
                <c:pt idx="2">
                  <c:v>2</c:v>
                </c:pt>
                <c:pt idx="3">
                  <c:v>2</c:v>
                </c:pt>
                <c:pt idx="4">
                  <c:v>2</c:v>
                </c:pt>
                <c:pt idx="5">
                  <c:v>1</c:v>
                </c:pt>
                <c:pt idx="6">
                  <c:v>1</c:v>
                </c:pt>
                <c:pt idx="7">
                  <c:v>1</c:v>
                </c:pt>
                <c:pt idx="8">
                  <c:v>1</c:v>
                </c:pt>
                <c:pt idx="9">
                  <c:v>1</c:v>
                </c:pt>
                <c:pt idx="10">
                  <c:v>2</c:v>
                </c:pt>
              </c:numCache>
            </c:numRef>
          </c:val>
        </c:ser>
        <c:ser>
          <c:idx val="1"/>
          <c:order val="1"/>
          <c:tx>
            <c:strRef>
              <c:f>NFR.DFR.graphs!$F$1</c:f>
              <c:strCache>
                <c:ptCount val="1"/>
                <c:pt idx="0">
                  <c:v>Day</c:v>
                </c:pt>
              </c:strCache>
            </c:strRef>
          </c:tx>
          <c:spPr>
            <a:solidFill>
              <a:srgbClr val="FFFF00"/>
            </a:solidFill>
          </c:spPr>
          <c:invertIfNegative val="0"/>
          <c:dPt>
            <c:idx val="4"/>
            <c:invertIfNegative val="0"/>
            <c:bubble3D val="0"/>
            <c:spPr>
              <a:solidFill>
                <a:srgbClr val="FFC000"/>
              </a:solidFill>
            </c:spPr>
          </c:dPt>
          <c:dPt>
            <c:idx val="6"/>
            <c:invertIfNegative val="0"/>
            <c:bubble3D val="0"/>
            <c:spPr>
              <a:solidFill>
                <a:srgbClr val="FFC000"/>
              </a:solidFill>
            </c:spPr>
          </c:dPt>
          <c:dPt>
            <c:idx val="7"/>
            <c:invertIfNegative val="0"/>
            <c:bubble3D val="0"/>
            <c:spPr>
              <a:solidFill>
                <a:srgbClr val="FFC000"/>
              </a:solidFill>
            </c:spPr>
          </c:dPt>
          <c:dPt>
            <c:idx val="8"/>
            <c:invertIfNegative val="0"/>
            <c:bubble3D val="0"/>
            <c:spPr>
              <a:solidFill>
                <a:srgbClr val="FFC000"/>
              </a:solidFill>
            </c:spPr>
          </c:dPt>
          <c:errBars>
            <c:errBarType val="both"/>
            <c:errValType val="cust"/>
            <c:noEndCap val="0"/>
            <c:plus>
              <c:numRef>
                <c:f>NFR.DFR.graphs!$H$67:$H$77</c:f>
                <c:numCache>
                  <c:formatCode>General</c:formatCode>
                  <c:ptCount val="11"/>
                  <c:pt idx="0">
                    <c:v>0.5</c:v>
                  </c:pt>
                  <c:pt idx="1">
                    <c:v>0.5</c:v>
                  </c:pt>
                  <c:pt idx="2">
                    <c:v>0.5</c:v>
                  </c:pt>
                  <c:pt idx="3">
                    <c:v>0.5</c:v>
                  </c:pt>
                  <c:pt idx="4">
                    <c:v>0.5</c:v>
                  </c:pt>
                  <c:pt idx="5">
                    <c:v>0.5</c:v>
                  </c:pt>
                  <c:pt idx="6">
                    <c:v>0.5</c:v>
                  </c:pt>
                  <c:pt idx="7">
                    <c:v>0.5</c:v>
                  </c:pt>
                  <c:pt idx="8">
                    <c:v>0.5</c:v>
                  </c:pt>
                  <c:pt idx="9">
                    <c:v>0.5</c:v>
                  </c:pt>
                  <c:pt idx="10">
                    <c:v>0.5</c:v>
                  </c:pt>
                </c:numCache>
              </c:numRef>
            </c:plus>
            <c:minus>
              <c:numRef>
                <c:f>NFR.DFR.graphs!$G$67:$G$78</c:f>
                <c:numCache>
                  <c:formatCode>General</c:formatCode>
                  <c:ptCount val="12"/>
                  <c:pt idx="0">
                    <c:v>0</c:v>
                  </c:pt>
                  <c:pt idx="1">
                    <c:v>0</c:v>
                  </c:pt>
                  <c:pt idx="2">
                    <c:v>0</c:v>
                  </c:pt>
                  <c:pt idx="3">
                    <c:v>0</c:v>
                  </c:pt>
                  <c:pt idx="4">
                    <c:v>0</c:v>
                  </c:pt>
                  <c:pt idx="5">
                    <c:v>0</c:v>
                  </c:pt>
                  <c:pt idx="6">
                    <c:v>0</c:v>
                  </c:pt>
                  <c:pt idx="7">
                    <c:v>0</c:v>
                  </c:pt>
                  <c:pt idx="8">
                    <c:v>0</c:v>
                  </c:pt>
                  <c:pt idx="9">
                    <c:v>0</c:v>
                  </c:pt>
                  <c:pt idx="10">
                    <c:v>0</c:v>
                  </c:pt>
                </c:numCache>
              </c:numRef>
            </c:minus>
          </c:errBars>
          <c:cat>
            <c:strRef>
              <c:f>NFR.DFR.graphs!$B$67:$B$77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NFR.DFR.graphs!$F$67:$F$77</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er>
        <c:dLbls>
          <c:showLegendKey val="0"/>
          <c:showVal val="0"/>
          <c:showCatName val="0"/>
          <c:showSerName val="0"/>
          <c:showPercent val="0"/>
          <c:showBubbleSize val="0"/>
        </c:dLbls>
        <c:gapWidth val="150"/>
        <c:axId val="249324032"/>
        <c:axId val="248320512"/>
      </c:barChart>
      <c:catAx>
        <c:axId val="249324032"/>
        <c:scaling>
          <c:orientation val="minMax"/>
        </c:scaling>
        <c:delete val="0"/>
        <c:axPos val="b"/>
        <c:majorTickMark val="out"/>
        <c:minorTickMark val="none"/>
        <c:tickLblPos val="nextTo"/>
        <c:crossAx val="248320512"/>
        <c:crosses val="autoZero"/>
        <c:auto val="1"/>
        <c:lblAlgn val="ctr"/>
        <c:lblOffset val="100"/>
        <c:noMultiLvlLbl val="0"/>
      </c:catAx>
      <c:valAx>
        <c:axId val="248320512"/>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9324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Habitat Flexibility: Sea</a:t>
            </a:r>
            <a:r>
              <a:rPr lang="en-US" baseline="0"/>
              <a:t> ducks, Loons, Grebes</a:t>
            </a:r>
            <a:endParaRPr lang="en-US"/>
          </a:p>
        </c:rich>
      </c:tx>
      <c:overlay val="0"/>
    </c:title>
    <c:autoTitleDeleted val="0"/>
    <c:plotArea>
      <c:layout/>
      <c:barChart>
        <c:barDir val="col"/>
        <c:grouping val="clustered"/>
        <c:varyColors val="0"/>
        <c:ser>
          <c:idx val="0"/>
          <c:order val="0"/>
          <c:tx>
            <c:strRef>
              <c:f>HF.graphs!$C$1</c:f>
              <c:strCache>
                <c:ptCount val="1"/>
                <c:pt idx="0">
                  <c:v>HF Score</c:v>
                </c:pt>
              </c:strCache>
            </c:strRef>
          </c:tx>
          <c:invertIfNegative val="0"/>
          <c:errBars>
            <c:errBarType val="both"/>
            <c:errValType val="cust"/>
            <c:noEndCap val="0"/>
            <c:plus>
              <c:numRef>
                <c:f>HF.graphs!$G$2:$G$16</c:f>
                <c:numCache>
                  <c:formatCode>General</c:formatCode>
                  <c:ptCount val="15"/>
                  <c:pt idx="0">
                    <c:v>1</c:v>
                  </c:pt>
                  <c:pt idx="1">
                    <c:v>1</c:v>
                  </c:pt>
                  <c:pt idx="2">
                    <c:v>1.5</c:v>
                  </c:pt>
                  <c:pt idx="3">
                    <c:v>1</c:v>
                  </c:pt>
                  <c:pt idx="4">
                    <c:v>0.25</c:v>
                  </c:pt>
                  <c:pt idx="5">
                    <c:v>0.5</c:v>
                  </c:pt>
                  <c:pt idx="6">
                    <c:v>0.40000000000000036</c:v>
                  </c:pt>
                  <c:pt idx="7">
                    <c:v>1</c:v>
                  </c:pt>
                  <c:pt idx="8">
                    <c:v>0.40000000000000036</c:v>
                  </c:pt>
                  <c:pt idx="9">
                    <c:v>1</c:v>
                  </c:pt>
                  <c:pt idx="10">
                    <c:v>1.5</c:v>
                  </c:pt>
                  <c:pt idx="11">
                    <c:v>1.5</c:v>
                  </c:pt>
                  <c:pt idx="12">
                    <c:v>1.5</c:v>
                  </c:pt>
                  <c:pt idx="13">
                    <c:v>0.40000000000000036</c:v>
                  </c:pt>
                  <c:pt idx="14">
                    <c:v>0.29999999999999982</c:v>
                  </c:pt>
                </c:numCache>
              </c:numRef>
            </c:plus>
            <c:minus>
              <c:numRef>
                <c:f>HF.graphs!$E$2:$E$16</c:f>
                <c:numCache>
                  <c:formatCode>General</c:formatCode>
                  <c:ptCount val="15"/>
                  <c:pt idx="0">
                    <c:v>2</c:v>
                  </c:pt>
                  <c:pt idx="1">
                    <c:v>2</c:v>
                  </c:pt>
                  <c:pt idx="2">
                    <c:v>1.5</c:v>
                  </c:pt>
                  <c:pt idx="3">
                    <c:v>2</c:v>
                  </c:pt>
                  <c:pt idx="4">
                    <c:v>0</c:v>
                  </c:pt>
                  <c:pt idx="5">
                    <c:v>0</c:v>
                  </c:pt>
                  <c:pt idx="6">
                    <c:v>0.39999999999999991</c:v>
                  </c:pt>
                  <c:pt idx="7">
                    <c:v>2</c:v>
                  </c:pt>
                  <c:pt idx="8">
                    <c:v>0.39999999999999991</c:v>
                  </c:pt>
                  <c:pt idx="9">
                    <c:v>2</c:v>
                  </c:pt>
                  <c:pt idx="10">
                    <c:v>1.5</c:v>
                  </c:pt>
                  <c:pt idx="11">
                    <c:v>1.5</c:v>
                  </c:pt>
                  <c:pt idx="12">
                    <c:v>1.5</c:v>
                  </c:pt>
                  <c:pt idx="13">
                    <c:v>0.39999999999999991</c:v>
                  </c:pt>
                  <c:pt idx="14">
                    <c:v>0.29999999999999982</c:v>
                  </c:pt>
                </c:numCache>
              </c:numRef>
            </c:minus>
          </c:errBars>
          <c:cat>
            <c:strRef>
              <c:f>HF.graphs!$B$2:$B$16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HF.graphs!$C$2:$C$16</c:f>
              <c:numCache>
                <c:formatCode>General</c:formatCode>
                <c:ptCount val="15"/>
                <c:pt idx="0">
                  <c:v>4</c:v>
                </c:pt>
                <c:pt idx="1">
                  <c:v>4</c:v>
                </c:pt>
                <c:pt idx="2">
                  <c:v>3</c:v>
                </c:pt>
                <c:pt idx="3">
                  <c:v>4</c:v>
                </c:pt>
                <c:pt idx="4">
                  <c:v>1</c:v>
                </c:pt>
                <c:pt idx="5">
                  <c:v>1</c:v>
                </c:pt>
                <c:pt idx="6">
                  <c:v>4</c:v>
                </c:pt>
                <c:pt idx="7">
                  <c:v>4</c:v>
                </c:pt>
                <c:pt idx="8">
                  <c:v>4</c:v>
                </c:pt>
                <c:pt idx="9">
                  <c:v>4</c:v>
                </c:pt>
                <c:pt idx="10">
                  <c:v>3</c:v>
                </c:pt>
                <c:pt idx="11">
                  <c:v>3</c:v>
                </c:pt>
                <c:pt idx="12">
                  <c:v>3</c:v>
                </c:pt>
                <c:pt idx="13">
                  <c:v>4</c:v>
                </c:pt>
                <c:pt idx="14">
                  <c:v>3</c:v>
                </c:pt>
              </c:numCache>
            </c:numRef>
          </c:val>
        </c:ser>
        <c:dLbls>
          <c:showLegendKey val="0"/>
          <c:showVal val="0"/>
          <c:showCatName val="0"/>
          <c:showSerName val="0"/>
          <c:showPercent val="0"/>
          <c:showBubbleSize val="0"/>
        </c:dLbls>
        <c:gapWidth val="150"/>
        <c:axId val="249270272"/>
        <c:axId val="249398400"/>
      </c:barChart>
      <c:catAx>
        <c:axId val="249270272"/>
        <c:scaling>
          <c:orientation val="minMax"/>
        </c:scaling>
        <c:delete val="0"/>
        <c:axPos val="b"/>
        <c:majorTickMark val="out"/>
        <c:minorTickMark val="none"/>
        <c:tickLblPos val="nextTo"/>
        <c:crossAx val="249398400"/>
        <c:crosses val="autoZero"/>
        <c:auto val="1"/>
        <c:lblAlgn val="ctr"/>
        <c:lblOffset val="100"/>
        <c:noMultiLvlLbl val="0"/>
      </c:catAx>
      <c:valAx>
        <c:axId val="249398400"/>
        <c:scaling>
          <c:orientation val="minMax"/>
          <c:max val="5"/>
        </c:scaling>
        <c:delete val="0"/>
        <c:axPos val="l"/>
        <c:title>
          <c:tx>
            <c:rich>
              <a:bodyPr rot="0" vert="horz"/>
              <a:lstStyle/>
              <a:p>
                <a:pPr>
                  <a:defRPr/>
                </a:pPr>
                <a:r>
                  <a:rPr lang="en-US"/>
                  <a:t>Low</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High</a:t>
                </a:r>
              </a:p>
            </c:rich>
          </c:tx>
          <c:layout>
            <c:manualLayout>
              <c:xMode val="edge"/>
              <c:yMode val="edge"/>
              <c:x val="3.2476319350473612E-2"/>
              <c:y val="0.1404506869073798"/>
            </c:manualLayout>
          </c:layout>
          <c:overlay val="0"/>
        </c:title>
        <c:numFmt formatCode="General" sourceLinked="1"/>
        <c:majorTickMark val="out"/>
        <c:minorTickMark val="none"/>
        <c:tickLblPos val="nextTo"/>
        <c:crossAx val="249270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Habitat Flexibility: Procellariids</a:t>
            </a:r>
            <a:endParaRPr lang="en-US">
              <a:effectLst/>
            </a:endParaRPr>
          </a:p>
        </c:rich>
      </c:tx>
      <c:overlay val="0"/>
    </c:title>
    <c:autoTitleDeleted val="0"/>
    <c:plotArea>
      <c:layout/>
      <c:barChart>
        <c:barDir val="col"/>
        <c:grouping val="clustered"/>
        <c:varyColors val="0"/>
        <c:ser>
          <c:idx val="0"/>
          <c:order val="0"/>
          <c:tx>
            <c:strRef>
              <c:f>HF.graphs!$C$1</c:f>
              <c:strCache>
                <c:ptCount val="1"/>
                <c:pt idx="0">
                  <c:v>HF Score</c:v>
                </c:pt>
              </c:strCache>
            </c:strRef>
          </c:tx>
          <c:invertIfNegative val="0"/>
          <c:errBars>
            <c:errBarType val="both"/>
            <c:errValType val="cust"/>
            <c:noEndCap val="0"/>
            <c:plus>
              <c:numRef>
                <c:f>HF.graphs!$G$17:$G$35</c:f>
                <c:numCache>
                  <c:formatCode>General</c:formatCode>
                  <c:ptCount val="19"/>
                  <c:pt idx="0">
                    <c:v>0.5</c:v>
                  </c:pt>
                  <c:pt idx="1">
                    <c:v>0.5</c:v>
                  </c:pt>
                  <c:pt idx="2">
                    <c:v>0.5</c:v>
                  </c:pt>
                  <c:pt idx="3">
                    <c:v>0.5</c:v>
                  </c:pt>
                  <c:pt idx="4">
                    <c:v>0.10000000000000009</c:v>
                  </c:pt>
                  <c:pt idx="5">
                    <c:v>0.5</c:v>
                  </c:pt>
                  <c:pt idx="6">
                    <c:v>0.5</c:v>
                  </c:pt>
                  <c:pt idx="7">
                    <c:v>0.5</c:v>
                  </c:pt>
                  <c:pt idx="8">
                    <c:v>0.10000000000000009</c:v>
                  </c:pt>
                  <c:pt idx="9">
                    <c:v>1</c:v>
                  </c:pt>
                  <c:pt idx="10">
                    <c:v>0.10000000000000009</c:v>
                  </c:pt>
                  <c:pt idx="11">
                    <c:v>1.5</c:v>
                  </c:pt>
                  <c:pt idx="12">
                    <c:v>0.5</c:v>
                  </c:pt>
                  <c:pt idx="13">
                    <c:v>0.5</c:v>
                  </c:pt>
                  <c:pt idx="14">
                    <c:v>1</c:v>
                  </c:pt>
                  <c:pt idx="15">
                    <c:v>0.5</c:v>
                  </c:pt>
                  <c:pt idx="16">
                    <c:v>0.5</c:v>
                  </c:pt>
                  <c:pt idx="17">
                    <c:v>0.10000000000000009</c:v>
                  </c:pt>
                  <c:pt idx="18">
                    <c:v>0.5</c:v>
                  </c:pt>
                </c:numCache>
              </c:numRef>
            </c:plus>
            <c:minus>
              <c:numRef>
                <c:f>HF.graphs!$E$17:$E$35</c:f>
                <c:numCache>
                  <c:formatCode>General</c:formatCode>
                  <c:ptCount val="19"/>
                  <c:pt idx="0">
                    <c:v>0</c:v>
                  </c:pt>
                  <c:pt idx="1">
                    <c:v>0</c:v>
                  </c:pt>
                  <c:pt idx="2">
                    <c:v>0</c:v>
                  </c:pt>
                  <c:pt idx="3">
                    <c:v>0</c:v>
                  </c:pt>
                  <c:pt idx="4">
                    <c:v>0</c:v>
                  </c:pt>
                  <c:pt idx="5">
                    <c:v>0</c:v>
                  </c:pt>
                  <c:pt idx="6">
                    <c:v>0</c:v>
                  </c:pt>
                  <c:pt idx="7">
                    <c:v>0</c:v>
                  </c:pt>
                  <c:pt idx="8">
                    <c:v>0</c:v>
                  </c:pt>
                  <c:pt idx="9">
                    <c:v>1</c:v>
                  </c:pt>
                  <c:pt idx="10">
                    <c:v>0</c:v>
                  </c:pt>
                  <c:pt idx="11">
                    <c:v>1.5</c:v>
                  </c:pt>
                  <c:pt idx="12">
                    <c:v>0</c:v>
                  </c:pt>
                  <c:pt idx="13">
                    <c:v>0</c:v>
                  </c:pt>
                  <c:pt idx="14">
                    <c:v>1</c:v>
                  </c:pt>
                  <c:pt idx="15">
                    <c:v>0</c:v>
                  </c:pt>
                  <c:pt idx="16">
                    <c:v>0</c:v>
                  </c:pt>
                  <c:pt idx="17">
                    <c:v>0</c:v>
                  </c:pt>
                  <c:pt idx="18">
                    <c:v>0</c:v>
                  </c:pt>
                </c:numCache>
              </c:numRef>
            </c:minus>
          </c:errBars>
          <c:cat>
            <c:strRef>
              <c:f>HF.graphs!$B$17:$B$35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HF.graphs!$C$17:$C$35</c:f>
              <c:numCache>
                <c:formatCode>General</c:formatCode>
                <c:ptCount val="19"/>
                <c:pt idx="0">
                  <c:v>1</c:v>
                </c:pt>
                <c:pt idx="1">
                  <c:v>1</c:v>
                </c:pt>
                <c:pt idx="2">
                  <c:v>1</c:v>
                </c:pt>
                <c:pt idx="3">
                  <c:v>1</c:v>
                </c:pt>
                <c:pt idx="4">
                  <c:v>1</c:v>
                </c:pt>
                <c:pt idx="5">
                  <c:v>1</c:v>
                </c:pt>
                <c:pt idx="6">
                  <c:v>1</c:v>
                </c:pt>
                <c:pt idx="7">
                  <c:v>1</c:v>
                </c:pt>
                <c:pt idx="8">
                  <c:v>1</c:v>
                </c:pt>
                <c:pt idx="9">
                  <c:v>2</c:v>
                </c:pt>
                <c:pt idx="10">
                  <c:v>1</c:v>
                </c:pt>
                <c:pt idx="11">
                  <c:v>3</c:v>
                </c:pt>
                <c:pt idx="12">
                  <c:v>1</c:v>
                </c:pt>
                <c:pt idx="13">
                  <c:v>1</c:v>
                </c:pt>
                <c:pt idx="14">
                  <c:v>2</c:v>
                </c:pt>
                <c:pt idx="15">
                  <c:v>1</c:v>
                </c:pt>
                <c:pt idx="16">
                  <c:v>1</c:v>
                </c:pt>
                <c:pt idx="17">
                  <c:v>1</c:v>
                </c:pt>
                <c:pt idx="18">
                  <c:v>1</c:v>
                </c:pt>
              </c:numCache>
            </c:numRef>
          </c:val>
        </c:ser>
        <c:dLbls>
          <c:showLegendKey val="0"/>
          <c:showVal val="0"/>
          <c:showCatName val="0"/>
          <c:showSerName val="0"/>
          <c:showPercent val="0"/>
          <c:showBubbleSize val="0"/>
        </c:dLbls>
        <c:gapWidth val="150"/>
        <c:axId val="249273344"/>
        <c:axId val="249400704"/>
      </c:barChart>
      <c:catAx>
        <c:axId val="249273344"/>
        <c:scaling>
          <c:orientation val="minMax"/>
        </c:scaling>
        <c:delete val="0"/>
        <c:axPos val="b"/>
        <c:majorTickMark val="out"/>
        <c:minorTickMark val="none"/>
        <c:tickLblPos val="nextTo"/>
        <c:crossAx val="249400704"/>
        <c:crosses val="autoZero"/>
        <c:auto val="1"/>
        <c:lblAlgn val="ctr"/>
        <c:lblOffset val="100"/>
        <c:noMultiLvlLbl val="0"/>
      </c:catAx>
      <c:valAx>
        <c:axId val="249400704"/>
        <c:scaling>
          <c:orientation val="minMax"/>
          <c:max val="5"/>
        </c:scaling>
        <c:delete val="0"/>
        <c:axPos val="l"/>
        <c:title>
          <c:tx>
            <c:rich>
              <a:bodyPr rot="0" vert="horz"/>
              <a:lstStyle/>
              <a:p>
                <a:pPr>
                  <a:defRPr/>
                </a:pPr>
                <a:r>
                  <a:rPr lang="en-US" sz="1000" b="1" i="0" baseline="0">
                    <a:effectLst/>
                  </a:rPr>
                  <a:t>Low</a:t>
                </a:r>
              </a:p>
              <a:p>
                <a:pPr>
                  <a:defRPr/>
                </a:pPr>
                <a:endParaRPr lang="en-US" sz="1000" b="1" i="0" baseline="0">
                  <a:effectLst/>
                </a:endParaRPr>
              </a:p>
              <a:p>
                <a:pPr>
                  <a:defRPr/>
                </a:pPr>
                <a:endParaRPr lang="en-US" sz="1000" b="1" i="0" baseline="0">
                  <a:effectLst/>
                </a:endParaRPr>
              </a:p>
              <a:p>
                <a:pPr>
                  <a:defRPr/>
                </a:pPr>
                <a:endParaRPr lang="en-US" sz="1000" b="1" i="0" baseline="0">
                  <a:effectLst/>
                </a:endParaRPr>
              </a:p>
              <a:p>
                <a:pPr>
                  <a:defRPr/>
                </a:pPr>
                <a:endParaRPr lang="en-US" sz="1000" b="1" i="0" baseline="0">
                  <a:effectLst/>
                </a:endParaRPr>
              </a:p>
              <a:p>
                <a:pPr>
                  <a:defRPr/>
                </a:pPr>
                <a:endParaRPr lang="en-US" sz="1000" b="1" i="0" baseline="0">
                  <a:effectLst/>
                </a:endParaRPr>
              </a:p>
              <a:p>
                <a:pPr>
                  <a:defRPr/>
                </a:pPr>
                <a:endParaRPr lang="en-US" sz="1000" b="1" i="0" baseline="0">
                  <a:effectLst/>
                </a:endParaRPr>
              </a:p>
              <a:p>
                <a:pPr>
                  <a:defRPr/>
                </a:pPr>
                <a:endParaRPr lang="en-US" sz="1000" b="1" i="0" baseline="0">
                  <a:effectLst/>
                </a:endParaRPr>
              </a:p>
              <a:p>
                <a:pPr>
                  <a:defRPr/>
                </a:pPr>
                <a:endParaRPr lang="en-US" sz="1000">
                  <a:effectLst/>
                </a:endParaRPr>
              </a:p>
              <a:p>
                <a:pPr>
                  <a:defRPr/>
                </a:pPr>
                <a:r>
                  <a:rPr lang="en-US" sz="1000" b="1" i="0" baseline="0">
                    <a:effectLst/>
                  </a:rPr>
                  <a:t>High</a:t>
                </a:r>
                <a:endParaRPr lang="en-US" sz="1000">
                  <a:effectLst/>
                </a:endParaRPr>
              </a:p>
            </c:rich>
          </c:tx>
          <c:layout>
            <c:manualLayout>
              <c:xMode val="edge"/>
              <c:yMode val="edge"/>
              <c:x val="2.535421327367636E-2"/>
              <c:y val="0.14445464536831465"/>
            </c:manualLayout>
          </c:layout>
          <c:overlay val="0"/>
        </c:title>
        <c:numFmt formatCode="General" sourceLinked="1"/>
        <c:majorTickMark val="out"/>
        <c:minorTickMark val="none"/>
        <c:tickLblPos val="nextTo"/>
        <c:crossAx val="249273344"/>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i="0" baseline="0">
                <a:effectLst/>
              </a:rPr>
              <a:t>Habitat Flexibility: Pelicans, Cormorants, Phalaropes</a:t>
            </a:r>
            <a:endParaRPr lang="en-US" sz="1600">
              <a:effectLst/>
            </a:endParaRPr>
          </a:p>
        </c:rich>
      </c:tx>
      <c:overlay val="0"/>
    </c:title>
    <c:autoTitleDeleted val="0"/>
    <c:plotArea>
      <c:layout/>
      <c:barChart>
        <c:barDir val="col"/>
        <c:grouping val="clustered"/>
        <c:varyColors val="0"/>
        <c:ser>
          <c:idx val="0"/>
          <c:order val="0"/>
          <c:tx>
            <c:strRef>
              <c:f>HF.graphs!$C$1</c:f>
              <c:strCache>
                <c:ptCount val="1"/>
                <c:pt idx="0">
                  <c:v>HF Score</c:v>
                </c:pt>
              </c:strCache>
            </c:strRef>
          </c:tx>
          <c:invertIfNegative val="0"/>
          <c:errBars>
            <c:errBarType val="both"/>
            <c:errValType val="cust"/>
            <c:noEndCap val="0"/>
            <c:plus>
              <c:numRef>
                <c:f>HF.graphs!$G$36:$G$42</c:f>
                <c:numCache>
                  <c:formatCode>General</c:formatCode>
                  <c:ptCount val="7"/>
                  <c:pt idx="0">
                    <c:v>1</c:v>
                  </c:pt>
                  <c:pt idx="1">
                    <c:v>1</c:v>
                  </c:pt>
                  <c:pt idx="2">
                    <c:v>0.20000000000000018</c:v>
                  </c:pt>
                  <c:pt idx="3">
                    <c:v>0.20000000000000018</c:v>
                  </c:pt>
                  <c:pt idx="4">
                    <c:v>0.20000000000000018</c:v>
                  </c:pt>
                  <c:pt idx="5">
                    <c:v>0.5</c:v>
                  </c:pt>
                  <c:pt idx="6">
                    <c:v>0.5</c:v>
                  </c:pt>
                </c:numCache>
              </c:numRef>
            </c:plus>
            <c:minus>
              <c:numRef>
                <c:f>HF.graphs!$E$36:$E$42</c:f>
                <c:numCache>
                  <c:formatCode>General</c:formatCode>
                  <c:ptCount val="7"/>
                  <c:pt idx="0">
                    <c:v>2</c:v>
                  </c:pt>
                  <c:pt idx="1">
                    <c:v>2</c:v>
                  </c:pt>
                  <c:pt idx="2">
                    <c:v>0.19999999999999996</c:v>
                  </c:pt>
                  <c:pt idx="3">
                    <c:v>0.19999999999999996</c:v>
                  </c:pt>
                  <c:pt idx="4">
                    <c:v>0.19999999999999996</c:v>
                  </c:pt>
                  <c:pt idx="5">
                    <c:v>0.5</c:v>
                  </c:pt>
                  <c:pt idx="6">
                    <c:v>0.5</c:v>
                  </c:pt>
                </c:numCache>
              </c:numRef>
            </c:minus>
          </c:errBars>
          <c:cat>
            <c:strRef>
              <c:f>HF.graphs!$B$36:$B$42</c:f>
              <c:strCache>
                <c:ptCount val="7"/>
                <c:pt idx="0">
                  <c:v>Brown_Pelican</c:v>
                </c:pt>
                <c:pt idx="1">
                  <c:v>AmericanWhitePelican</c:v>
                </c:pt>
                <c:pt idx="2">
                  <c:v>Brandt's_Cormorant</c:v>
                </c:pt>
                <c:pt idx="3">
                  <c:v>DCCO</c:v>
                </c:pt>
                <c:pt idx="4">
                  <c:v>Pelagic_Cormorant</c:v>
                </c:pt>
                <c:pt idx="5">
                  <c:v>Red_Phalarope</c:v>
                </c:pt>
                <c:pt idx="6">
                  <c:v>Red-necked_Phalarope</c:v>
                </c:pt>
              </c:strCache>
            </c:strRef>
          </c:cat>
          <c:val>
            <c:numRef>
              <c:f>HF.graphs!$C$36:$C$42</c:f>
              <c:numCache>
                <c:formatCode>General</c:formatCode>
                <c:ptCount val="7"/>
                <c:pt idx="0">
                  <c:v>4</c:v>
                </c:pt>
                <c:pt idx="1">
                  <c:v>4</c:v>
                </c:pt>
                <c:pt idx="2">
                  <c:v>2</c:v>
                </c:pt>
                <c:pt idx="3">
                  <c:v>2</c:v>
                </c:pt>
                <c:pt idx="4">
                  <c:v>2</c:v>
                </c:pt>
                <c:pt idx="5">
                  <c:v>2</c:v>
                </c:pt>
                <c:pt idx="6">
                  <c:v>2</c:v>
                </c:pt>
              </c:numCache>
            </c:numRef>
          </c:val>
        </c:ser>
        <c:dLbls>
          <c:showLegendKey val="0"/>
          <c:showVal val="0"/>
          <c:showCatName val="0"/>
          <c:showSerName val="0"/>
          <c:showPercent val="0"/>
          <c:showBubbleSize val="0"/>
        </c:dLbls>
        <c:gapWidth val="150"/>
        <c:axId val="249272320"/>
        <c:axId val="249403008"/>
      </c:barChart>
      <c:catAx>
        <c:axId val="249272320"/>
        <c:scaling>
          <c:orientation val="minMax"/>
        </c:scaling>
        <c:delete val="0"/>
        <c:axPos val="b"/>
        <c:majorTickMark val="out"/>
        <c:minorTickMark val="none"/>
        <c:tickLblPos val="nextTo"/>
        <c:crossAx val="249403008"/>
        <c:crosses val="autoZero"/>
        <c:auto val="1"/>
        <c:lblAlgn val="ctr"/>
        <c:lblOffset val="100"/>
        <c:noMultiLvlLbl val="0"/>
      </c:catAx>
      <c:valAx>
        <c:axId val="249403008"/>
        <c:scaling>
          <c:orientation val="minMax"/>
          <c:max val="5"/>
        </c:scaling>
        <c:delete val="0"/>
        <c:axPos val="l"/>
        <c:title>
          <c:tx>
            <c:rich>
              <a:bodyPr rot="0" vert="horz"/>
              <a:lstStyle/>
              <a:p>
                <a:pPr>
                  <a:defRPr/>
                </a:pPr>
                <a:r>
                  <a:rPr lang="en-US"/>
                  <a:t>Low</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High</a:t>
                </a:r>
              </a:p>
            </c:rich>
          </c:tx>
          <c:layout>
            <c:manualLayout>
              <c:xMode val="edge"/>
              <c:yMode val="edge"/>
              <c:x val="3.7296033384354922E-2"/>
              <c:y val="0.20980396752153102"/>
            </c:manualLayout>
          </c:layout>
          <c:overlay val="0"/>
        </c:title>
        <c:numFmt formatCode="General" sourceLinked="1"/>
        <c:majorTickMark val="out"/>
        <c:minorTickMark val="none"/>
        <c:tickLblPos val="nextTo"/>
        <c:crossAx val="249272320"/>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Habitat Flexibility: Gulls, Terns, Jaegers, Skuas</a:t>
            </a:r>
            <a:endParaRPr lang="en-US">
              <a:effectLst/>
            </a:endParaRPr>
          </a:p>
        </c:rich>
      </c:tx>
      <c:layout>
        <c:manualLayout>
          <c:xMode val="edge"/>
          <c:yMode val="edge"/>
          <c:x val="0.43825382398335855"/>
          <c:y val="3.4732266792428065E-2"/>
        </c:manualLayout>
      </c:layout>
      <c:overlay val="0"/>
    </c:title>
    <c:autoTitleDeleted val="0"/>
    <c:plotArea>
      <c:layout/>
      <c:barChart>
        <c:barDir val="col"/>
        <c:grouping val="clustered"/>
        <c:varyColors val="0"/>
        <c:ser>
          <c:idx val="0"/>
          <c:order val="0"/>
          <c:tx>
            <c:strRef>
              <c:f>HF.graphs!$C$1</c:f>
              <c:strCache>
                <c:ptCount val="1"/>
                <c:pt idx="0">
                  <c:v>HF Score</c:v>
                </c:pt>
              </c:strCache>
            </c:strRef>
          </c:tx>
          <c:invertIfNegative val="0"/>
          <c:errBars>
            <c:errBarType val="both"/>
            <c:errValType val="cust"/>
            <c:noEndCap val="0"/>
            <c:plus>
              <c:numRef>
                <c:f>HF.graphs!$G$43:$G$66</c:f>
                <c:numCache>
                  <c:formatCode>General</c:formatCode>
                  <c:ptCount val="24"/>
                  <c:pt idx="0">
                    <c:v>0.20000000000000018</c:v>
                  </c:pt>
                  <c:pt idx="1">
                    <c:v>0.5</c:v>
                  </c:pt>
                  <c:pt idx="2">
                    <c:v>0.5</c:v>
                  </c:pt>
                  <c:pt idx="3">
                    <c:v>0.5</c:v>
                  </c:pt>
                  <c:pt idx="4">
                    <c:v>0.5</c:v>
                  </c:pt>
                  <c:pt idx="5">
                    <c:v>0.5</c:v>
                  </c:pt>
                  <c:pt idx="6">
                    <c:v>0.5</c:v>
                  </c:pt>
                  <c:pt idx="7">
                    <c:v>0.10000000000000009</c:v>
                  </c:pt>
                  <c:pt idx="8">
                    <c:v>0.5</c:v>
                  </c:pt>
                  <c:pt idx="9">
                    <c:v>0.25</c:v>
                  </c:pt>
                  <c:pt idx="10">
                    <c:v>0.10000000000000009</c:v>
                  </c:pt>
                  <c:pt idx="11">
                    <c:v>1.5</c:v>
                  </c:pt>
                  <c:pt idx="12">
                    <c:v>0.29999999999999982</c:v>
                  </c:pt>
                  <c:pt idx="13">
                    <c:v>0.29999999999999982</c:v>
                  </c:pt>
                  <c:pt idx="14">
                    <c:v>1</c:v>
                  </c:pt>
                  <c:pt idx="15">
                    <c:v>1.5</c:v>
                  </c:pt>
                  <c:pt idx="16">
                    <c:v>1.5</c:v>
                  </c:pt>
                  <c:pt idx="17">
                    <c:v>1.5</c:v>
                  </c:pt>
                  <c:pt idx="18">
                    <c:v>1</c:v>
                  </c:pt>
                  <c:pt idx="19">
                    <c:v>1</c:v>
                  </c:pt>
                  <c:pt idx="20">
                    <c:v>1</c:v>
                  </c:pt>
                  <c:pt idx="21">
                    <c:v>0.20000000000000018</c:v>
                  </c:pt>
                  <c:pt idx="22">
                    <c:v>1</c:v>
                  </c:pt>
                  <c:pt idx="23">
                    <c:v>1</c:v>
                  </c:pt>
                </c:numCache>
              </c:numRef>
            </c:plus>
            <c:minus>
              <c:numRef>
                <c:f>HF.graphs!$E$43:$E$66</c:f>
                <c:numCache>
                  <c:formatCode>General</c:formatCode>
                  <c:ptCount val="24"/>
                  <c:pt idx="0">
                    <c:v>0.19999999999999996</c:v>
                  </c:pt>
                  <c:pt idx="1">
                    <c:v>0.5</c:v>
                  </c:pt>
                  <c:pt idx="2">
                    <c:v>0.5</c:v>
                  </c:pt>
                  <c:pt idx="3">
                    <c:v>0</c:v>
                  </c:pt>
                  <c:pt idx="4">
                    <c:v>0</c:v>
                  </c:pt>
                  <c:pt idx="5">
                    <c:v>0</c:v>
                  </c:pt>
                  <c:pt idx="6">
                    <c:v>0</c:v>
                  </c:pt>
                  <c:pt idx="7">
                    <c:v>0</c:v>
                  </c:pt>
                  <c:pt idx="8">
                    <c:v>0</c:v>
                  </c:pt>
                  <c:pt idx="9">
                    <c:v>0</c:v>
                  </c:pt>
                  <c:pt idx="10">
                    <c:v>0</c:v>
                  </c:pt>
                  <c:pt idx="11">
                    <c:v>1.5</c:v>
                  </c:pt>
                  <c:pt idx="12">
                    <c:v>0.29999999999999982</c:v>
                  </c:pt>
                  <c:pt idx="13">
                    <c:v>0.29999999999999982</c:v>
                  </c:pt>
                  <c:pt idx="14">
                    <c:v>2</c:v>
                  </c:pt>
                  <c:pt idx="15">
                    <c:v>1.5</c:v>
                  </c:pt>
                  <c:pt idx="16">
                    <c:v>1.5</c:v>
                  </c:pt>
                  <c:pt idx="17">
                    <c:v>1.5</c:v>
                  </c:pt>
                  <c:pt idx="18">
                    <c:v>1</c:v>
                  </c:pt>
                  <c:pt idx="19">
                    <c:v>2</c:v>
                  </c:pt>
                  <c:pt idx="20">
                    <c:v>1</c:v>
                  </c:pt>
                  <c:pt idx="21">
                    <c:v>0.19999999999999996</c:v>
                  </c:pt>
                  <c:pt idx="22">
                    <c:v>1</c:v>
                  </c:pt>
                  <c:pt idx="23">
                    <c:v>1</c:v>
                  </c:pt>
                </c:numCache>
              </c:numRef>
            </c:minus>
          </c:errBars>
          <c:cat>
            <c:strRef>
              <c:f>HF.graphs!$B$43:$B$66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HF.graphs!$C$43:$C$66</c:f>
              <c:numCache>
                <c:formatCode>General</c:formatCode>
                <c:ptCount val="24"/>
                <c:pt idx="0">
                  <c:v>2</c:v>
                </c:pt>
                <c:pt idx="1">
                  <c:v>2</c:v>
                </c:pt>
                <c:pt idx="2">
                  <c:v>2</c:v>
                </c:pt>
                <c:pt idx="3">
                  <c:v>1</c:v>
                </c:pt>
                <c:pt idx="4">
                  <c:v>1</c:v>
                </c:pt>
                <c:pt idx="5">
                  <c:v>1</c:v>
                </c:pt>
                <c:pt idx="6">
                  <c:v>1</c:v>
                </c:pt>
                <c:pt idx="7">
                  <c:v>1</c:v>
                </c:pt>
                <c:pt idx="8">
                  <c:v>1</c:v>
                </c:pt>
                <c:pt idx="9">
                  <c:v>1</c:v>
                </c:pt>
                <c:pt idx="10">
                  <c:v>1</c:v>
                </c:pt>
                <c:pt idx="11">
                  <c:v>3</c:v>
                </c:pt>
                <c:pt idx="12">
                  <c:v>3</c:v>
                </c:pt>
                <c:pt idx="13">
                  <c:v>3</c:v>
                </c:pt>
                <c:pt idx="14">
                  <c:v>4</c:v>
                </c:pt>
                <c:pt idx="15">
                  <c:v>3</c:v>
                </c:pt>
                <c:pt idx="16">
                  <c:v>3</c:v>
                </c:pt>
                <c:pt idx="17">
                  <c:v>3</c:v>
                </c:pt>
                <c:pt idx="18">
                  <c:v>2</c:v>
                </c:pt>
                <c:pt idx="19">
                  <c:v>4</c:v>
                </c:pt>
                <c:pt idx="20">
                  <c:v>2</c:v>
                </c:pt>
                <c:pt idx="21">
                  <c:v>2</c:v>
                </c:pt>
                <c:pt idx="22">
                  <c:v>2</c:v>
                </c:pt>
                <c:pt idx="23">
                  <c:v>2</c:v>
                </c:pt>
              </c:numCache>
            </c:numRef>
          </c:val>
        </c:ser>
        <c:dLbls>
          <c:showLegendKey val="0"/>
          <c:showVal val="0"/>
          <c:showCatName val="0"/>
          <c:showSerName val="0"/>
          <c:showPercent val="0"/>
          <c:showBubbleSize val="0"/>
        </c:dLbls>
        <c:gapWidth val="150"/>
        <c:axId val="249271808"/>
        <c:axId val="248890496"/>
      </c:barChart>
      <c:catAx>
        <c:axId val="249271808"/>
        <c:scaling>
          <c:orientation val="minMax"/>
        </c:scaling>
        <c:delete val="0"/>
        <c:axPos val="b"/>
        <c:majorTickMark val="out"/>
        <c:minorTickMark val="none"/>
        <c:tickLblPos val="nextTo"/>
        <c:crossAx val="248890496"/>
        <c:crosses val="autoZero"/>
        <c:auto val="1"/>
        <c:lblAlgn val="ctr"/>
        <c:lblOffset val="100"/>
        <c:noMultiLvlLbl val="0"/>
      </c:catAx>
      <c:valAx>
        <c:axId val="248890496"/>
        <c:scaling>
          <c:orientation val="minMax"/>
          <c:max val="5"/>
        </c:scaling>
        <c:delete val="0"/>
        <c:axPos val="l"/>
        <c:title>
          <c:tx>
            <c:rich>
              <a:bodyPr rot="0" vert="horz"/>
              <a:lstStyle/>
              <a:p>
                <a:pPr>
                  <a:defRPr/>
                </a:pPr>
                <a:r>
                  <a:rPr lang="en-US"/>
                  <a:t>Low</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High</a:t>
                </a:r>
              </a:p>
            </c:rich>
          </c:tx>
          <c:layout>
            <c:manualLayout>
              <c:xMode val="edge"/>
              <c:yMode val="edge"/>
              <c:x val="2.0171456319849623E-2"/>
              <c:y val="0.13922837848021569"/>
            </c:manualLayout>
          </c:layout>
          <c:overlay val="0"/>
        </c:title>
        <c:numFmt formatCode="General" sourceLinked="1"/>
        <c:majorTickMark val="out"/>
        <c:minorTickMark val="none"/>
        <c:tickLblPos val="nextTo"/>
        <c:crossAx val="249271808"/>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Habitat Flexibility: Alcids</a:t>
            </a:r>
            <a:endParaRPr lang="en-US">
              <a:effectLst/>
            </a:endParaRPr>
          </a:p>
        </c:rich>
      </c:tx>
      <c:overlay val="0"/>
    </c:title>
    <c:autoTitleDeleted val="0"/>
    <c:plotArea>
      <c:layout/>
      <c:barChart>
        <c:barDir val="col"/>
        <c:grouping val="clustered"/>
        <c:varyColors val="0"/>
        <c:ser>
          <c:idx val="0"/>
          <c:order val="0"/>
          <c:tx>
            <c:strRef>
              <c:f>HF.graphs!$C$1</c:f>
              <c:strCache>
                <c:ptCount val="1"/>
                <c:pt idx="0">
                  <c:v>HF Score</c:v>
                </c:pt>
              </c:strCache>
            </c:strRef>
          </c:tx>
          <c:invertIfNegative val="0"/>
          <c:errBars>
            <c:errBarType val="both"/>
            <c:errValType val="cust"/>
            <c:noEndCap val="0"/>
            <c:plus>
              <c:numRef>
                <c:f>HF.graphs!$G$67:$G$77</c:f>
                <c:numCache>
                  <c:formatCode>General</c:formatCode>
                  <c:ptCount val="11"/>
                  <c:pt idx="0">
                    <c:v>0.75</c:v>
                  </c:pt>
                  <c:pt idx="1">
                    <c:v>0.75</c:v>
                  </c:pt>
                  <c:pt idx="2">
                    <c:v>1</c:v>
                  </c:pt>
                  <c:pt idx="3">
                    <c:v>1</c:v>
                  </c:pt>
                  <c:pt idx="4">
                    <c:v>0.29999999999999982</c:v>
                  </c:pt>
                  <c:pt idx="5">
                    <c:v>0.75</c:v>
                  </c:pt>
                  <c:pt idx="6">
                    <c:v>0.75</c:v>
                  </c:pt>
                  <c:pt idx="7">
                    <c:v>0.75</c:v>
                  </c:pt>
                  <c:pt idx="8">
                    <c:v>0.75</c:v>
                  </c:pt>
                  <c:pt idx="9">
                    <c:v>0.5</c:v>
                  </c:pt>
                  <c:pt idx="10">
                    <c:v>0.75</c:v>
                  </c:pt>
                </c:numCache>
              </c:numRef>
            </c:plus>
            <c:minus>
              <c:numRef>
                <c:f>HF.graphs!$E$67:$E$77</c:f>
                <c:numCache>
                  <c:formatCode>General</c:formatCode>
                  <c:ptCount val="11"/>
                  <c:pt idx="0">
                    <c:v>0.75</c:v>
                  </c:pt>
                  <c:pt idx="1">
                    <c:v>0.75</c:v>
                  </c:pt>
                  <c:pt idx="2">
                    <c:v>1</c:v>
                  </c:pt>
                  <c:pt idx="3">
                    <c:v>2</c:v>
                  </c:pt>
                  <c:pt idx="4">
                    <c:v>0.29999999999999982</c:v>
                  </c:pt>
                  <c:pt idx="5">
                    <c:v>0.75</c:v>
                  </c:pt>
                  <c:pt idx="6">
                    <c:v>0.75</c:v>
                  </c:pt>
                  <c:pt idx="7">
                    <c:v>0.75</c:v>
                  </c:pt>
                  <c:pt idx="8">
                    <c:v>0.75</c:v>
                  </c:pt>
                  <c:pt idx="9">
                    <c:v>0.5</c:v>
                  </c:pt>
                  <c:pt idx="10">
                    <c:v>0.75</c:v>
                  </c:pt>
                </c:numCache>
              </c:numRef>
            </c:minus>
          </c:errBars>
          <c:cat>
            <c:strRef>
              <c:f>HF.graphs!$B$67:$B$77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HF.graphs!$C$67:$C$77</c:f>
              <c:numCache>
                <c:formatCode>General</c:formatCode>
                <c:ptCount val="11"/>
                <c:pt idx="0">
                  <c:v>3</c:v>
                </c:pt>
                <c:pt idx="1">
                  <c:v>3</c:v>
                </c:pt>
                <c:pt idx="2">
                  <c:v>4</c:v>
                </c:pt>
                <c:pt idx="3">
                  <c:v>4</c:v>
                </c:pt>
                <c:pt idx="4">
                  <c:v>3</c:v>
                </c:pt>
                <c:pt idx="5">
                  <c:v>3</c:v>
                </c:pt>
                <c:pt idx="6">
                  <c:v>3</c:v>
                </c:pt>
                <c:pt idx="7">
                  <c:v>3</c:v>
                </c:pt>
                <c:pt idx="8">
                  <c:v>3</c:v>
                </c:pt>
                <c:pt idx="9">
                  <c:v>2</c:v>
                </c:pt>
                <c:pt idx="10">
                  <c:v>3</c:v>
                </c:pt>
              </c:numCache>
            </c:numRef>
          </c:val>
        </c:ser>
        <c:dLbls>
          <c:showLegendKey val="0"/>
          <c:showVal val="0"/>
          <c:showCatName val="0"/>
          <c:showSerName val="0"/>
          <c:showPercent val="0"/>
          <c:showBubbleSize val="0"/>
        </c:dLbls>
        <c:gapWidth val="150"/>
        <c:axId val="249272832"/>
        <c:axId val="248891648"/>
      </c:barChart>
      <c:catAx>
        <c:axId val="249272832"/>
        <c:scaling>
          <c:orientation val="minMax"/>
        </c:scaling>
        <c:delete val="0"/>
        <c:axPos val="b"/>
        <c:majorTickMark val="out"/>
        <c:minorTickMark val="none"/>
        <c:tickLblPos val="nextTo"/>
        <c:crossAx val="248891648"/>
        <c:crosses val="autoZero"/>
        <c:auto val="1"/>
        <c:lblAlgn val="ctr"/>
        <c:lblOffset val="100"/>
        <c:noMultiLvlLbl val="0"/>
      </c:catAx>
      <c:valAx>
        <c:axId val="248891648"/>
        <c:scaling>
          <c:orientation val="minMax"/>
          <c:max val="5"/>
        </c:scaling>
        <c:delete val="0"/>
        <c:axPos val="l"/>
        <c:title>
          <c:tx>
            <c:rich>
              <a:bodyPr rot="0" vert="horz"/>
              <a:lstStyle/>
              <a:p>
                <a:pPr>
                  <a:defRPr/>
                </a:pPr>
                <a:r>
                  <a:rPr lang="en-US"/>
                  <a:t>Low</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High</a:t>
                </a:r>
              </a:p>
            </c:rich>
          </c:tx>
          <c:layout>
            <c:manualLayout>
              <c:xMode val="edge"/>
              <c:yMode val="edge"/>
              <c:x val="2.9235184231811005E-2"/>
              <c:y val="0.12505368647100928"/>
            </c:manualLayout>
          </c:layout>
          <c:overlay val="0"/>
        </c:title>
        <c:numFmt formatCode="General" sourceLinked="1"/>
        <c:majorTickMark val="out"/>
        <c:minorTickMark val="none"/>
        <c:tickLblPos val="nextTo"/>
        <c:crossAx val="249272832"/>
        <c:crosses val="autoZero"/>
        <c:crossBetween val="between"/>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Proportion</a:t>
            </a:r>
            <a:r>
              <a:rPr lang="en-US" baseline="0"/>
              <a:t> of time in RSZ</a:t>
            </a:r>
            <a:endParaRPr lang="en-US"/>
          </a:p>
        </c:rich>
      </c:tx>
      <c:overlay val="0"/>
    </c:title>
    <c:autoTitleDeleted val="0"/>
    <c:plotArea>
      <c:layout/>
      <c:barChart>
        <c:barDir val="col"/>
        <c:grouping val="clustered"/>
        <c:varyColors val="0"/>
        <c:ser>
          <c:idx val="0"/>
          <c:order val="0"/>
          <c:tx>
            <c:strRef>
              <c:f>'RSZ.graphs'!$C$1</c:f>
              <c:strCache>
                <c:ptCount val="1"/>
                <c:pt idx="0">
                  <c:v>RSZtime Score</c:v>
                </c:pt>
              </c:strCache>
            </c:strRef>
          </c:tx>
          <c:spPr>
            <a:solidFill>
              <a:schemeClr val="accent2">
                <a:lumMod val="75000"/>
              </a:schemeClr>
            </a:solidFill>
          </c:spPr>
          <c:invertIfNegative val="0"/>
          <c:errBars>
            <c:errBarType val="both"/>
            <c:errValType val="cust"/>
            <c:noEndCap val="0"/>
            <c:plus>
              <c:numRef>
                <c:f>'RSZ.graphs'!$L$2:$L$16</c:f>
                <c:numCache>
                  <c:formatCode>General</c:formatCode>
                  <c:ptCount val="15"/>
                  <c:pt idx="0">
                    <c:v>0.75</c:v>
                  </c:pt>
                  <c:pt idx="1">
                    <c:v>1.5</c:v>
                  </c:pt>
                  <c:pt idx="2">
                    <c:v>1.5</c:v>
                  </c:pt>
                  <c:pt idx="3">
                    <c:v>0</c:v>
                  </c:pt>
                  <c:pt idx="4">
                    <c:v>0</c:v>
                  </c:pt>
                  <c:pt idx="5">
                    <c:v>0</c:v>
                  </c:pt>
                  <c:pt idx="6">
                    <c:v>0.5</c:v>
                  </c:pt>
                  <c:pt idx="7">
                    <c:v>0.5</c:v>
                  </c:pt>
                  <c:pt idx="8">
                    <c:v>1.5</c:v>
                  </c:pt>
                  <c:pt idx="9">
                    <c:v>0.5</c:v>
                  </c:pt>
                  <c:pt idx="10">
                    <c:v>0</c:v>
                  </c:pt>
                  <c:pt idx="11">
                    <c:v>0</c:v>
                  </c:pt>
                  <c:pt idx="12">
                    <c:v>0</c:v>
                  </c:pt>
                  <c:pt idx="13">
                    <c:v>0</c:v>
                  </c:pt>
                  <c:pt idx="14">
                    <c:v>0</c:v>
                  </c:pt>
                </c:numCache>
              </c:numRef>
            </c:plus>
            <c:minus>
              <c:numRef>
                <c:f>'RSZ.graphs'!$K$2:$K$16</c:f>
                <c:numCache>
                  <c:formatCode>General</c:formatCode>
                  <c:ptCount val="15"/>
                  <c:pt idx="0">
                    <c:v>0.75</c:v>
                  </c:pt>
                  <c:pt idx="1">
                    <c:v>1.5</c:v>
                  </c:pt>
                  <c:pt idx="2">
                    <c:v>1.5</c:v>
                  </c:pt>
                  <c:pt idx="3">
                    <c:v>1.25</c:v>
                  </c:pt>
                  <c:pt idx="4">
                    <c:v>2.5</c:v>
                  </c:pt>
                  <c:pt idx="5">
                    <c:v>2.5</c:v>
                  </c:pt>
                  <c:pt idx="6">
                    <c:v>0</c:v>
                  </c:pt>
                  <c:pt idx="7">
                    <c:v>0</c:v>
                  </c:pt>
                  <c:pt idx="8">
                    <c:v>1.5</c:v>
                  </c:pt>
                  <c:pt idx="9">
                    <c:v>0</c:v>
                  </c:pt>
                  <c:pt idx="10">
                    <c:v>2.5</c:v>
                  </c:pt>
                  <c:pt idx="11">
                    <c:v>2.5</c:v>
                  </c:pt>
                  <c:pt idx="12">
                    <c:v>2.5</c:v>
                  </c:pt>
                  <c:pt idx="13">
                    <c:v>2.5</c:v>
                  </c:pt>
                  <c:pt idx="14">
                    <c:v>2.5</c:v>
                  </c:pt>
                </c:numCache>
              </c:numRef>
            </c:minus>
          </c:errBars>
          <c:cat>
            <c:strRef>
              <c:f>'RSZ.graphs'!$B$2:$B$16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'RSZ.graphs'!$F$2:$F$16</c:f>
              <c:numCache>
                <c:formatCode>General</c:formatCode>
                <c:ptCount val="15"/>
                <c:pt idx="0">
                  <c:v>3</c:v>
                </c:pt>
                <c:pt idx="1">
                  <c:v>3</c:v>
                </c:pt>
                <c:pt idx="2">
                  <c:v>3</c:v>
                </c:pt>
                <c:pt idx="3">
                  <c:v>5</c:v>
                </c:pt>
                <c:pt idx="4">
                  <c:v>5</c:v>
                </c:pt>
                <c:pt idx="5">
                  <c:v>5</c:v>
                </c:pt>
                <c:pt idx="6">
                  <c:v>1</c:v>
                </c:pt>
                <c:pt idx="7">
                  <c:v>1</c:v>
                </c:pt>
                <c:pt idx="8">
                  <c:v>3</c:v>
                </c:pt>
                <c:pt idx="9">
                  <c:v>1</c:v>
                </c:pt>
                <c:pt idx="10">
                  <c:v>5</c:v>
                </c:pt>
                <c:pt idx="11">
                  <c:v>5</c:v>
                </c:pt>
                <c:pt idx="12">
                  <c:v>5</c:v>
                </c:pt>
                <c:pt idx="13">
                  <c:v>5</c:v>
                </c:pt>
                <c:pt idx="14">
                  <c:v>5</c:v>
                </c:pt>
              </c:numCache>
            </c:numRef>
          </c:val>
        </c:ser>
        <c:dLbls>
          <c:showLegendKey val="0"/>
          <c:showVal val="0"/>
          <c:showCatName val="0"/>
          <c:showSerName val="0"/>
          <c:showPercent val="0"/>
          <c:showBubbleSize val="0"/>
        </c:dLbls>
        <c:gapWidth val="150"/>
        <c:axId val="245829632"/>
        <c:axId val="248893376"/>
      </c:barChart>
      <c:catAx>
        <c:axId val="245829632"/>
        <c:scaling>
          <c:orientation val="minMax"/>
        </c:scaling>
        <c:delete val="0"/>
        <c:axPos val="b"/>
        <c:majorTickMark val="out"/>
        <c:minorTickMark val="none"/>
        <c:tickLblPos val="nextTo"/>
        <c:crossAx val="248893376"/>
        <c:crosses val="autoZero"/>
        <c:auto val="1"/>
        <c:lblAlgn val="ctr"/>
        <c:lblOffset val="100"/>
        <c:noMultiLvlLbl val="0"/>
      </c:catAx>
      <c:valAx>
        <c:axId val="248893376"/>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5829632"/>
        <c:crosses val="autoZero"/>
        <c:crossBetween val="between"/>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Proportion of time in RSZ</a:t>
            </a:r>
            <a:endParaRPr lang="en-US">
              <a:effectLst/>
            </a:endParaRPr>
          </a:p>
        </c:rich>
      </c:tx>
      <c:overlay val="0"/>
    </c:title>
    <c:autoTitleDeleted val="0"/>
    <c:plotArea>
      <c:layout/>
      <c:barChart>
        <c:barDir val="col"/>
        <c:grouping val="clustered"/>
        <c:varyColors val="0"/>
        <c:ser>
          <c:idx val="0"/>
          <c:order val="0"/>
          <c:tx>
            <c:strRef>
              <c:f>'RSZ.graphs'!$C$1</c:f>
              <c:strCache>
                <c:ptCount val="1"/>
                <c:pt idx="0">
                  <c:v>RSZtime Score</c:v>
                </c:pt>
              </c:strCache>
            </c:strRef>
          </c:tx>
          <c:spPr>
            <a:solidFill>
              <a:schemeClr val="accent2">
                <a:lumMod val="75000"/>
              </a:schemeClr>
            </a:solidFill>
          </c:spPr>
          <c:invertIfNegative val="0"/>
          <c:errBars>
            <c:errBarType val="both"/>
            <c:errValType val="cust"/>
            <c:noEndCap val="0"/>
            <c:plus>
              <c:numRef>
                <c:f>'RSZ.graphs'!$L$17:$L$35</c:f>
                <c:numCache>
                  <c:formatCode>General</c:formatCode>
                  <c:ptCount val="19"/>
                  <c:pt idx="0">
                    <c:v>1.5</c:v>
                  </c:pt>
                  <c:pt idx="1">
                    <c:v>1.5</c:v>
                  </c:pt>
                  <c:pt idx="2">
                    <c:v>1.5</c:v>
                  </c:pt>
                  <c:pt idx="3">
                    <c:v>0.5</c:v>
                  </c:pt>
                  <c:pt idx="4">
                    <c:v>0.5</c:v>
                  </c:pt>
                  <c:pt idx="5">
                    <c:v>0.5</c:v>
                  </c:pt>
                  <c:pt idx="6">
                    <c:v>0.5</c:v>
                  </c:pt>
                  <c:pt idx="7">
                    <c:v>0.5</c:v>
                  </c:pt>
                  <c:pt idx="8">
                    <c:v>0.10000000000000009</c:v>
                  </c:pt>
                  <c:pt idx="9">
                    <c:v>0.5</c:v>
                  </c:pt>
                  <c:pt idx="10">
                    <c:v>0.10000000000000009</c:v>
                  </c:pt>
                  <c:pt idx="11">
                    <c:v>0.5</c:v>
                  </c:pt>
                  <c:pt idx="12">
                    <c:v>0.5</c:v>
                  </c:pt>
                  <c:pt idx="13">
                    <c:v>0.5</c:v>
                  </c:pt>
                  <c:pt idx="14">
                    <c:v>0.5</c:v>
                  </c:pt>
                  <c:pt idx="15">
                    <c:v>0.5</c:v>
                  </c:pt>
                  <c:pt idx="16">
                    <c:v>0.5</c:v>
                  </c:pt>
                  <c:pt idx="17">
                    <c:v>0.10000000000000009</c:v>
                  </c:pt>
                  <c:pt idx="18">
                    <c:v>0.5</c:v>
                  </c:pt>
                </c:numCache>
              </c:numRef>
            </c:plus>
            <c:minus>
              <c:numRef>
                <c:f>'RSZ.graphs'!$K$17:$K$35</c:f>
                <c:numCache>
                  <c:formatCode>General</c:formatCode>
                  <c:ptCount val="19"/>
                  <c:pt idx="0">
                    <c:v>1.5</c:v>
                  </c:pt>
                  <c:pt idx="1">
                    <c:v>1.5</c:v>
                  </c:pt>
                  <c:pt idx="2">
                    <c:v>1.5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minus>
          </c:errBars>
          <c:cat>
            <c:strRef>
              <c:f>'RSZ.graphs'!$B$17:$B$35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'RSZ.graphs'!$F$17:$F$35</c:f>
              <c:numCache>
                <c:formatCode>General</c:formatCode>
                <c:ptCount val="19"/>
                <c:pt idx="0">
                  <c:v>3</c:v>
                </c:pt>
                <c:pt idx="1">
                  <c:v>3</c:v>
                </c:pt>
                <c:pt idx="2">
                  <c:v>3</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ser>
        <c:dLbls>
          <c:showLegendKey val="0"/>
          <c:showVal val="0"/>
          <c:showCatName val="0"/>
          <c:showSerName val="0"/>
          <c:showPercent val="0"/>
          <c:showBubbleSize val="0"/>
        </c:dLbls>
        <c:gapWidth val="150"/>
        <c:axId val="249326080"/>
        <c:axId val="248895680"/>
      </c:barChart>
      <c:catAx>
        <c:axId val="249326080"/>
        <c:scaling>
          <c:orientation val="minMax"/>
        </c:scaling>
        <c:delete val="0"/>
        <c:axPos val="b"/>
        <c:majorTickMark val="out"/>
        <c:minorTickMark val="none"/>
        <c:tickLblPos val="nextTo"/>
        <c:crossAx val="248895680"/>
        <c:crosses val="autoZero"/>
        <c:auto val="1"/>
        <c:lblAlgn val="ctr"/>
        <c:lblOffset val="100"/>
        <c:noMultiLvlLbl val="0"/>
      </c:catAx>
      <c:valAx>
        <c:axId val="248895680"/>
        <c:scaling>
          <c:orientation val="minMax"/>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9326080"/>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Proportion of time in RSZ</a:t>
            </a:r>
            <a:endParaRPr lang="en-US">
              <a:effectLst/>
            </a:endParaRPr>
          </a:p>
        </c:rich>
      </c:tx>
      <c:overlay val="0"/>
    </c:title>
    <c:autoTitleDeleted val="0"/>
    <c:plotArea>
      <c:layout/>
      <c:barChart>
        <c:barDir val="col"/>
        <c:grouping val="clustered"/>
        <c:varyColors val="0"/>
        <c:ser>
          <c:idx val="0"/>
          <c:order val="0"/>
          <c:tx>
            <c:strRef>
              <c:f>'RSZ.graphs'!$C$1</c:f>
              <c:strCache>
                <c:ptCount val="1"/>
                <c:pt idx="0">
                  <c:v>RSZtime Score</c:v>
                </c:pt>
              </c:strCache>
            </c:strRef>
          </c:tx>
          <c:spPr>
            <a:solidFill>
              <a:schemeClr val="accent2">
                <a:lumMod val="75000"/>
              </a:schemeClr>
            </a:solidFill>
          </c:spPr>
          <c:invertIfNegative val="0"/>
          <c:errBars>
            <c:errBarType val="both"/>
            <c:errValType val="cust"/>
            <c:noEndCap val="0"/>
            <c:plus>
              <c:numRef>
                <c:f>'RSZ.graphs'!$L$36:$L$42</c:f>
                <c:numCache>
                  <c:formatCode>General</c:formatCode>
                  <c:ptCount val="7"/>
                  <c:pt idx="0">
                    <c:v>0</c:v>
                  </c:pt>
                  <c:pt idx="1">
                    <c:v>0</c:v>
                  </c:pt>
                  <c:pt idx="2">
                    <c:v>0.75</c:v>
                  </c:pt>
                  <c:pt idx="3">
                    <c:v>1.5</c:v>
                  </c:pt>
                  <c:pt idx="4">
                    <c:v>0.75</c:v>
                  </c:pt>
                  <c:pt idx="5">
                    <c:v>0.5</c:v>
                  </c:pt>
                  <c:pt idx="6">
                    <c:v>0.5</c:v>
                  </c:pt>
                </c:numCache>
              </c:numRef>
            </c:plus>
            <c:minus>
              <c:numRef>
                <c:f>'RSZ.graphs'!$K$36:$K$42</c:f>
                <c:numCache>
                  <c:formatCode>General</c:formatCode>
                  <c:ptCount val="7"/>
                  <c:pt idx="0">
                    <c:v>2.5</c:v>
                  </c:pt>
                  <c:pt idx="1">
                    <c:v>2.5</c:v>
                  </c:pt>
                  <c:pt idx="2">
                    <c:v>0.75</c:v>
                  </c:pt>
                  <c:pt idx="3">
                    <c:v>1.5</c:v>
                  </c:pt>
                  <c:pt idx="4">
                    <c:v>0.75</c:v>
                  </c:pt>
                  <c:pt idx="5">
                    <c:v>0</c:v>
                  </c:pt>
                  <c:pt idx="6">
                    <c:v>0</c:v>
                  </c:pt>
                </c:numCache>
              </c:numRef>
            </c:minus>
          </c:errBars>
          <c:cat>
            <c:strRef>
              <c:f>'RSZ.graphs'!$B$36:$B$42</c:f>
              <c:strCache>
                <c:ptCount val="7"/>
                <c:pt idx="0">
                  <c:v>Brown_Pelican</c:v>
                </c:pt>
                <c:pt idx="1">
                  <c:v>American_White_Pelican</c:v>
                </c:pt>
                <c:pt idx="2">
                  <c:v>Brandt's_Cormorant</c:v>
                </c:pt>
                <c:pt idx="3">
                  <c:v>DCCO</c:v>
                </c:pt>
                <c:pt idx="4">
                  <c:v>Pelagic_Cormorant</c:v>
                </c:pt>
                <c:pt idx="5">
                  <c:v>Red_Phalarope</c:v>
                </c:pt>
                <c:pt idx="6">
                  <c:v>Red-necked_Phalarope</c:v>
                </c:pt>
              </c:strCache>
            </c:strRef>
          </c:cat>
          <c:val>
            <c:numRef>
              <c:f>'RSZ.graphs'!$F$36:$F$42</c:f>
              <c:numCache>
                <c:formatCode>General</c:formatCode>
                <c:ptCount val="7"/>
                <c:pt idx="0">
                  <c:v>5</c:v>
                </c:pt>
                <c:pt idx="1">
                  <c:v>5</c:v>
                </c:pt>
                <c:pt idx="2">
                  <c:v>3</c:v>
                </c:pt>
                <c:pt idx="3">
                  <c:v>3</c:v>
                </c:pt>
                <c:pt idx="4">
                  <c:v>3</c:v>
                </c:pt>
                <c:pt idx="5">
                  <c:v>1</c:v>
                </c:pt>
                <c:pt idx="6">
                  <c:v>1</c:v>
                </c:pt>
              </c:numCache>
            </c:numRef>
          </c:val>
        </c:ser>
        <c:dLbls>
          <c:showLegendKey val="0"/>
          <c:showVal val="0"/>
          <c:showCatName val="0"/>
          <c:showSerName val="0"/>
          <c:showPercent val="0"/>
          <c:showBubbleSize val="0"/>
        </c:dLbls>
        <c:gapWidth val="150"/>
        <c:axId val="250058752"/>
        <c:axId val="249562240"/>
      </c:barChart>
      <c:catAx>
        <c:axId val="250058752"/>
        <c:scaling>
          <c:orientation val="minMax"/>
        </c:scaling>
        <c:delete val="0"/>
        <c:axPos val="b"/>
        <c:majorTickMark val="out"/>
        <c:minorTickMark val="none"/>
        <c:tickLblPos val="nextTo"/>
        <c:crossAx val="249562240"/>
        <c:crosses val="autoZero"/>
        <c:auto val="1"/>
        <c:lblAlgn val="ctr"/>
        <c:lblOffset val="100"/>
        <c:noMultiLvlLbl val="0"/>
      </c:catAx>
      <c:valAx>
        <c:axId val="249562240"/>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50058752"/>
        <c:crosses val="autoZero"/>
        <c:crossBetween val="between"/>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Proportion of time in RSZ</a:t>
            </a:r>
            <a:endParaRPr lang="en-US">
              <a:effectLst/>
            </a:endParaRPr>
          </a:p>
        </c:rich>
      </c:tx>
      <c:overlay val="0"/>
    </c:title>
    <c:autoTitleDeleted val="0"/>
    <c:plotArea>
      <c:layout/>
      <c:barChart>
        <c:barDir val="col"/>
        <c:grouping val="clustered"/>
        <c:varyColors val="0"/>
        <c:ser>
          <c:idx val="0"/>
          <c:order val="0"/>
          <c:tx>
            <c:strRef>
              <c:f>'RSZ.graphs'!$C$1</c:f>
              <c:strCache>
                <c:ptCount val="1"/>
                <c:pt idx="0">
                  <c:v>RSZtime Score</c:v>
                </c:pt>
              </c:strCache>
            </c:strRef>
          </c:tx>
          <c:spPr>
            <a:solidFill>
              <a:schemeClr val="accent2">
                <a:lumMod val="75000"/>
              </a:schemeClr>
            </a:solidFill>
          </c:spPr>
          <c:invertIfNegative val="0"/>
          <c:errBars>
            <c:errBarType val="both"/>
            <c:errValType val="cust"/>
            <c:noEndCap val="0"/>
            <c:plus>
              <c:numRef>
                <c:f>'RSZ.graphs'!$L$43:$L$66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1.5</c:v>
                  </c:pt>
                </c:numCache>
              </c:numRef>
            </c:plus>
            <c:minus>
              <c:numRef>
                <c:f>'RSZ.graphs'!$K$43:$K$66</c:f>
                <c:numCache>
                  <c:formatCode>General</c:formatCode>
                  <c:ptCount val="24"/>
                  <c:pt idx="0">
                    <c:v>1.25</c:v>
                  </c:pt>
                  <c:pt idx="1">
                    <c:v>1.25</c:v>
                  </c:pt>
                  <c:pt idx="2">
                    <c:v>1.25</c:v>
                  </c:pt>
                  <c:pt idx="3">
                    <c:v>1.25</c:v>
                  </c:pt>
                  <c:pt idx="4">
                    <c:v>1.25</c:v>
                  </c:pt>
                  <c:pt idx="5">
                    <c:v>1.25</c:v>
                  </c:pt>
                  <c:pt idx="6">
                    <c:v>1.25</c:v>
                  </c:pt>
                  <c:pt idx="7">
                    <c:v>0.5</c:v>
                  </c:pt>
                  <c:pt idx="8">
                    <c:v>0.5</c:v>
                  </c:pt>
                  <c:pt idx="9">
                    <c:v>0.5</c:v>
                  </c:pt>
                  <c:pt idx="10">
                    <c:v>0.5</c:v>
                  </c:pt>
                  <c:pt idx="11">
                    <c:v>2.5</c:v>
                  </c:pt>
                  <c:pt idx="12">
                    <c:v>2.5</c:v>
                  </c:pt>
                  <c:pt idx="13">
                    <c:v>2.5</c:v>
                  </c:pt>
                  <c:pt idx="14">
                    <c:v>2.5</c:v>
                  </c:pt>
                  <c:pt idx="15">
                    <c:v>2.5</c:v>
                  </c:pt>
                  <c:pt idx="16">
                    <c:v>2.5</c:v>
                  </c:pt>
                  <c:pt idx="17">
                    <c:v>1.25</c:v>
                  </c:pt>
                  <c:pt idx="18">
                    <c:v>2.5</c:v>
                  </c:pt>
                  <c:pt idx="19">
                    <c:v>2.5</c:v>
                  </c:pt>
                  <c:pt idx="20">
                    <c:v>1.25</c:v>
                  </c:pt>
                  <c:pt idx="21">
                    <c:v>1.25</c:v>
                  </c:pt>
                  <c:pt idx="22">
                    <c:v>1.25</c:v>
                  </c:pt>
                  <c:pt idx="23">
                    <c:v>1.5</c:v>
                  </c:pt>
                </c:numCache>
              </c:numRef>
            </c:minus>
          </c:errBars>
          <c:cat>
            <c:strRef>
              <c:f>'RSZ.graphs'!$B$43:$B$66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'RSZ.graphs'!$F$43:$F$66</c:f>
              <c:numCache>
                <c:formatCode>General</c:formatCode>
                <c:ptCount val="24"/>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3</c:v>
                </c:pt>
              </c:numCache>
            </c:numRef>
          </c:val>
        </c:ser>
        <c:dLbls>
          <c:showLegendKey val="0"/>
          <c:showVal val="0"/>
          <c:showCatName val="0"/>
          <c:showSerName val="0"/>
          <c:showPercent val="0"/>
          <c:showBubbleSize val="0"/>
        </c:dLbls>
        <c:gapWidth val="150"/>
        <c:axId val="250058240"/>
        <c:axId val="249566272"/>
      </c:barChart>
      <c:catAx>
        <c:axId val="250058240"/>
        <c:scaling>
          <c:orientation val="minMax"/>
        </c:scaling>
        <c:delete val="0"/>
        <c:axPos val="b"/>
        <c:majorTickMark val="out"/>
        <c:minorTickMark val="none"/>
        <c:tickLblPos val="nextTo"/>
        <c:crossAx val="249566272"/>
        <c:crosses val="autoZero"/>
        <c:auto val="1"/>
        <c:lblAlgn val="ctr"/>
        <c:lblOffset val="100"/>
        <c:noMultiLvlLbl val="0"/>
      </c:catAx>
      <c:valAx>
        <c:axId val="249566272"/>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5005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Final Ranking Score: Procelariids</a:t>
            </a:r>
            <a:endParaRPr lang="en-US">
              <a:effectLst/>
            </a:endParaRPr>
          </a:p>
        </c:rich>
      </c:tx>
      <c:overlay val="0"/>
    </c:title>
    <c:autoTitleDeleted val="0"/>
    <c:plotArea>
      <c:layout/>
      <c:barChart>
        <c:barDir val="col"/>
        <c:grouping val="clustered"/>
        <c:varyColors val="0"/>
        <c:ser>
          <c:idx val="0"/>
          <c:order val="0"/>
          <c:tx>
            <c:strRef>
              <c:f>Analysis1!$C$1</c:f>
              <c:strCache>
                <c:ptCount val="1"/>
                <c:pt idx="0">
                  <c:v>Collision</c:v>
                </c:pt>
              </c:strCache>
            </c:strRef>
          </c:tx>
          <c:invertIfNegative val="0"/>
          <c:errBars>
            <c:errBarType val="both"/>
            <c:errValType val="cust"/>
            <c:noEndCap val="0"/>
            <c:plus>
              <c:numRef>
                <c:f>Analysis1!$G$17:$G$35</c:f>
                <c:numCache>
                  <c:formatCode>General</c:formatCode>
                  <c:ptCount val="19"/>
                  <c:pt idx="0">
                    <c:v>1.0999999999999996</c:v>
                  </c:pt>
                  <c:pt idx="1">
                    <c:v>1</c:v>
                  </c:pt>
                  <c:pt idx="2">
                    <c:v>1.3000000000000007</c:v>
                  </c:pt>
                  <c:pt idx="3">
                    <c:v>2.1999999999999997</c:v>
                  </c:pt>
                  <c:pt idx="4">
                    <c:v>1.0999999999999996</c:v>
                  </c:pt>
                  <c:pt idx="5">
                    <c:v>2.4000000000000004</c:v>
                  </c:pt>
                  <c:pt idx="6">
                    <c:v>2.2999999999999998</c:v>
                  </c:pt>
                  <c:pt idx="7">
                    <c:v>1.9</c:v>
                  </c:pt>
                  <c:pt idx="8">
                    <c:v>1.2999999999999998</c:v>
                  </c:pt>
                  <c:pt idx="9">
                    <c:v>2.5</c:v>
                  </c:pt>
                  <c:pt idx="10">
                    <c:v>0.89999999999999991</c:v>
                  </c:pt>
                  <c:pt idx="11">
                    <c:v>1.5000000000000004</c:v>
                  </c:pt>
                  <c:pt idx="12">
                    <c:v>1.4000000000000004</c:v>
                  </c:pt>
                  <c:pt idx="13">
                    <c:v>1.1000000000000001</c:v>
                  </c:pt>
                  <c:pt idx="14">
                    <c:v>2.1000000000000014</c:v>
                  </c:pt>
                  <c:pt idx="15">
                    <c:v>2.3999999999999995</c:v>
                  </c:pt>
                  <c:pt idx="16">
                    <c:v>2.3999999999999995</c:v>
                  </c:pt>
                  <c:pt idx="17">
                    <c:v>1.7000000000000002</c:v>
                  </c:pt>
                  <c:pt idx="18">
                    <c:v>0.6</c:v>
                  </c:pt>
                </c:numCache>
              </c:numRef>
            </c:plus>
            <c:minus>
              <c:numRef>
                <c:f>Analysis1!$E$17:$E$35</c:f>
                <c:numCache>
                  <c:formatCode>General</c:formatCode>
                  <c:ptCount val="19"/>
                  <c:pt idx="0">
                    <c:v>0.10000000000000053</c:v>
                  </c:pt>
                  <c:pt idx="1">
                    <c:v>0</c:v>
                  </c:pt>
                  <c:pt idx="2">
                    <c:v>9.9999999999998757E-2</c:v>
                  </c:pt>
                  <c:pt idx="3">
                    <c:v>1.7000000000000002</c:v>
                  </c:pt>
                  <c:pt idx="4">
                    <c:v>0</c:v>
                  </c:pt>
                  <c:pt idx="5">
                    <c:v>1.1999999999999997</c:v>
                  </c:pt>
                  <c:pt idx="6">
                    <c:v>1.4</c:v>
                  </c:pt>
                  <c:pt idx="7">
                    <c:v>1</c:v>
                  </c:pt>
                  <c:pt idx="8">
                    <c:v>2</c:v>
                  </c:pt>
                  <c:pt idx="9">
                    <c:v>1.3000000000000003</c:v>
                  </c:pt>
                  <c:pt idx="10">
                    <c:v>1.4999999999999998</c:v>
                  </c:pt>
                  <c:pt idx="11">
                    <c:v>1.4</c:v>
                  </c:pt>
                  <c:pt idx="12">
                    <c:v>1.3999999999999995</c:v>
                  </c:pt>
                  <c:pt idx="13">
                    <c:v>0.79999999999999993</c:v>
                  </c:pt>
                  <c:pt idx="14">
                    <c:v>0.99999999999999911</c:v>
                  </c:pt>
                  <c:pt idx="15">
                    <c:v>0.79999999999999982</c:v>
                  </c:pt>
                  <c:pt idx="16">
                    <c:v>1.4000000000000004</c:v>
                  </c:pt>
                  <c:pt idx="17">
                    <c:v>1.9000000000000004</c:v>
                  </c:pt>
                  <c:pt idx="18">
                    <c:v>0</c:v>
                  </c:pt>
                </c:numCache>
              </c:numRef>
            </c:minus>
          </c:errBars>
          <c:cat>
            <c:strRef>
              <c:f>Analysis1!$B$17:$B$35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Analysis1!$C$17:$C$35</c:f>
              <c:numCache>
                <c:formatCode>General</c:formatCode>
                <c:ptCount val="19"/>
                <c:pt idx="0">
                  <c:v>5.6000000000000005</c:v>
                </c:pt>
                <c:pt idx="1">
                  <c:v>4.2</c:v>
                </c:pt>
                <c:pt idx="2">
                  <c:v>5.6999999999999993</c:v>
                </c:pt>
                <c:pt idx="3">
                  <c:v>2.8000000000000003</c:v>
                </c:pt>
                <c:pt idx="4">
                  <c:v>3</c:v>
                </c:pt>
                <c:pt idx="5">
                  <c:v>4.0999999999999996</c:v>
                </c:pt>
                <c:pt idx="6">
                  <c:v>3.7</c:v>
                </c:pt>
                <c:pt idx="7">
                  <c:v>1.6</c:v>
                </c:pt>
                <c:pt idx="8">
                  <c:v>3.2</c:v>
                </c:pt>
                <c:pt idx="9">
                  <c:v>3.9000000000000004</c:v>
                </c:pt>
                <c:pt idx="10">
                  <c:v>2.9</c:v>
                </c:pt>
                <c:pt idx="11">
                  <c:v>3.1</c:v>
                </c:pt>
                <c:pt idx="12">
                  <c:v>5.0999999999999996</c:v>
                </c:pt>
                <c:pt idx="13">
                  <c:v>1.5</c:v>
                </c:pt>
                <c:pt idx="14">
                  <c:v>4.6999999999999993</c:v>
                </c:pt>
                <c:pt idx="15">
                  <c:v>4.8</c:v>
                </c:pt>
                <c:pt idx="16">
                  <c:v>3.9000000000000004</c:v>
                </c:pt>
                <c:pt idx="17">
                  <c:v>4.9000000000000004</c:v>
                </c:pt>
                <c:pt idx="18">
                  <c:v>0.70000000000000007</c:v>
                </c:pt>
              </c:numCache>
            </c:numRef>
          </c:val>
        </c:ser>
        <c:ser>
          <c:idx val="1"/>
          <c:order val="1"/>
          <c:tx>
            <c:strRef>
              <c:f>Analysis1!$H$1</c:f>
              <c:strCache>
                <c:ptCount val="1"/>
                <c:pt idx="0">
                  <c:v>Displacement</c:v>
                </c:pt>
              </c:strCache>
            </c:strRef>
          </c:tx>
          <c:invertIfNegative val="0"/>
          <c:errBars>
            <c:errBarType val="both"/>
            <c:errValType val="cust"/>
            <c:noEndCap val="0"/>
            <c:plus>
              <c:numRef>
                <c:f>Analysis1!$K$17:$K$35</c:f>
                <c:numCache>
                  <c:formatCode>General</c:formatCode>
                  <c:ptCount val="19"/>
                  <c:pt idx="0">
                    <c:v>1.6000000000000005</c:v>
                  </c:pt>
                  <c:pt idx="1">
                    <c:v>1.6999999999999993</c:v>
                  </c:pt>
                  <c:pt idx="2">
                    <c:v>1.3999999999999995</c:v>
                  </c:pt>
                  <c:pt idx="3">
                    <c:v>1.7999999999999994</c:v>
                  </c:pt>
                  <c:pt idx="4">
                    <c:v>0.59999999999999964</c:v>
                  </c:pt>
                  <c:pt idx="5">
                    <c:v>1.2999999999999998</c:v>
                  </c:pt>
                  <c:pt idx="6">
                    <c:v>1.3999999999999995</c:v>
                  </c:pt>
                  <c:pt idx="7">
                    <c:v>1.1999999999999997</c:v>
                  </c:pt>
                  <c:pt idx="8">
                    <c:v>0.5</c:v>
                  </c:pt>
                  <c:pt idx="9">
                    <c:v>1</c:v>
                  </c:pt>
                  <c:pt idx="10">
                    <c:v>0.79999999999999982</c:v>
                  </c:pt>
                  <c:pt idx="11">
                    <c:v>0.99999999999999911</c:v>
                  </c:pt>
                  <c:pt idx="12">
                    <c:v>1.5</c:v>
                  </c:pt>
                  <c:pt idx="13">
                    <c:v>1.2999999999999998</c:v>
                  </c:pt>
                  <c:pt idx="14">
                    <c:v>1.0999999999999996</c:v>
                  </c:pt>
                  <c:pt idx="15">
                    <c:v>1.6000000000000005</c:v>
                  </c:pt>
                  <c:pt idx="16">
                    <c:v>1.5000000000000009</c:v>
                  </c:pt>
                  <c:pt idx="17">
                    <c:v>0.80000000000000071</c:v>
                  </c:pt>
                  <c:pt idx="18">
                    <c:v>1.2000000000000002</c:v>
                  </c:pt>
                </c:numCache>
              </c:numRef>
            </c:plus>
            <c:minus>
              <c:numRef>
                <c:f>Analysis1!$I$17:$I$35</c:f>
                <c:numCache>
                  <c:formatCode>General</c:formatCode>
                  <c:ptCount val="19"/>
                  <c:pt idx="0">
                    <c:v>3.2</c:v>
                  </c:pt>
                  <c:pt idx="1">
                    <c:v>1.9000000000000004</c:v>
                  </c:pt>
                  <c:pt idx="2">
                    <c:v>2.9</c:v>
                  </c:pt>
                  <c:pt idx="3">
                    <c:v>2.2000000000000002</c:v>
                  </c:pt>
                  <c:pt idx="4">
                    <c:v>1.4999999999999996</c:v>
                  </c:pt>
                  <c:pt idx="5">
                    <c:v>2.9000000000000004</c:v>
                  </c:pt>
                  <c:pt idx="6">
                    <c:v>2.9</c:v>
                  </c:pt>
                  <c:pt idx="7">
                    <c:v>1.7999999999999998</c:v>
                  </c:pt>
                  <c:pt idx="8">
                    <c:v>1.9999999999999996</c:v>
                  </c:pt>
                  <c:pt idx="9">
                    <c:v>4.8999999999999986</c:v>
                  </c:pt>
                  <c:pt idx="10">
                    <c:v>1.0000000000000004</c:v>
                  </c:pt>
                  <c:pt idx="11">
                    <c:v>4.8000000000000007</c:v>
                  </c:pt>
                  <c:pt idx="12">
                    <c:v>3.0000000000000004</c:v>
                  </c:pt>
                  <c:pt idx="13">
                    <c:v>1.3</c:v>
                  </c:pt>
                  <c:pt idx="14">
                    <c:v>4.9000000000000004</c:v>
                  </c:pt>
                  <c:pt idx="15">
                    <c:v>2.899999999999999</c:v>
                  </c:pt>
                  <c:pt idx="16">
                    <c:v>2.8999999999999995</c:v>
                  </c:pt>
                  <c:pt idx="17">
                    <c:v>1.9999999999999991</c:v>
                  </c:pt>
                  <c:pt idx="18">
                    <c:v>0.5</c:v>
                  </c:pt>
                </c:numCache>
              </c:numRef>
            </c:minus>
          </c:errBars>
          <c:cat>
            <c:strRef>
              <c:f>Analysis1!$B$17:$B$35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Analysis1!$H$17:$H$35</c:f>
              <c:numCache>
                <c:formatCode>General</c:formatCode>
                <c:ptCount val="19"/>
                <c:pt idx="0">
                  <c:v>5.2</c:v>
                </c:pt>
                <c:pt idx="1">
                  <c:v>3.4000000000000004</c:v>
                </c:pt>
                <c:pt idx="2">
                  <c:v>5.5</c:v>
                </c:pt>
                <c:pt idx="3">
                  <c:v>3.3000000000000003</c:v>
                </c:pt>
                <c:pt idx="4">
                  <c:v>4.0999999999999996</c:v>
                </c:pt>
                <c:pt idx="5">
                  <c:v>5.4</c:v>
                </c:pt>
                <c:pt idx="6">
                  <c:v>4.5</c:v>
                </c:pt>
                <c:pt idx="7">
                  <c:v>2.4</c:v>
                </c:pt>
                <c:pt idx="8">
                  <c:v>4.3</c:v>
                </c:pt>
                <c:pt idx="9">
                  <c:v>7.1999999999999993</c:v>
                </c:pt>
                <c:pt idx="10">
                  <c:v>3.4000000000000004</c:v>
                </c:pt>
                <c:pt idx="11">
                  <c:v>6.6000000000000005</c:v>
                </c:pt>
                <c:pt idx="12">
                  <c:v>4.9000000000000004</c:v>
                </c:pt>
                <c:pt idx="13">
                  <c:v>1.6</c:v>
                </c:pt>
                <c:pt idx="14">
                  <c:v>7.4</c:v>
                </c:pt>
                <c:pt idx="15">
                  <c:v>5.6999999999999993</c:v>
                </c:pt>
                <c:pt idx="16">
                  <c:v>4.6999999999999993</c:v>
                </c:pt>
                <c:pt idx="17">
                  <c:v>5.6999999999999993</c:v>
                </c:pt>
                <c:pt idx="18">
                  <c:v>1</c:v>
                </c:pt>
              </c:numCache>
            </c:numRef>
          </c:val>
        </c:ser>
        <c:dLbls>
          <c:showLegendKey val="0"/>
          <c:showVal val="0"/>
          <c:showCatName val="0"/>
          <c:showSerName val="0"/>
          <c:showPercent val="0"/>
          <c:showBubbleSize val="0"/>
        </c:dLbls>
        <c:gapWidth val="150"/>
        <c:axId val="246762496"/>
        <c:axId val="245679808"/>
      </c:barChart>
      <c:catAx>
        <c:axId val="246762496"/>
        <c:scaling>
          <c:orientation val="minMax"/>
        </c:scaling>
        <c:delete val="0"/>
        <c:axPos val="b"/>
        <c:majorTickMark val="out"/>
        <c:minorTickMark val="none"/>
        <c:tickLblPos val="nextTo"/>
        <c:crossAx val="245679808"/>
        <c:crosses val="autoZero"/>
        <c:auto val="1"/>
        <c:lblAlgn val="ctr"/>
        <c:lblOffset val="100"/>
        <c:noMultiLvlLbl val="0"/>
      </c:catAx>
      <c:valAx>
        <c:axId val="245679808"/>
        <c:scaling>
          <c:orientation val="minMax"/>
          <c:max val="10"/>
        </c:scaling>
        <c:delete val="0"/>
        <c:axPos val="l"/>
        <c:numFmt formatCode="General" sourceLinked="1"/>
        <c:majorTickMark val="out"/>
        <c:minorTickMark val="none"/>
        <c:tickLblPos val="nextTo"/>
        <c:crossAx val="246762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Proportion of time in RSZ</a:t>
            </a:r>
            <a:endParaRPr lang="en-US">
              <a:effectLst/>
            </a:endParaRPr>
          </a:p>
        </c:rich>
      </c:tx>
      <c:overlay val="0"/>
    </c:title>
    <c:autoTitleDeleted val="0"/>
    <c:plotArea>
      <c:layout/>
      <c:barChart>
        <c:barDir val="col"/>
        <c:grouping val="clustered"/>
        <c:varyColors val="0"/>
        <c:ser>
          <c:idx val="0"/>
          <c:order val="0"/>
          <c:tx>
            <c:strRef>
              <c:f>'RSZ.graphs'!$C$1</c:f>
              <c:strCache>
                <c:ptCount val="1"/>
                <c:pt idx="0">
                  <c:v>RSZtime Score</c:v>
                </c:pt>
              </c:strCache>
            </c:strRef>
          </c:tx>
          <c:spPr>
            <a:solidFill>
              <a:schemeClr val="accent2">
                <a:lumMod val="75000"/>
              </a:schemeClr>
            </a:solidFill>
          </c:spPr>
          <c:invertIfNegative val="0"/>
          <c:errBars>
            <c:errBarType val="both"/>
            <c:errValType val="cust"/>
            <c:noEndCap val="0"/>
            <c:plus>
              <c:numRef>
                <c:f>'RSZ.graphs'!$L$67:$L$77</c:f>
                <c:numCache>
                  <c:formatCode>General</c:formatCode>
                  <c:ptCount val="11"/>
                  <c:pt idx="0">
                    <c:v>0.5</c:v>
                  </c:pt>
                  <c:pt idx="1">
                    <c:v>0.5</c:v>
                  </c:pt>
                  <c:pt idx="2">
                    <c:v>0.5</c:v>
                  </c:pt>
                  <c:pt idx="3">
                    <c:v>0.5</c:v>
                  </c:pt>
                  <c:pt idx="4">
                    <c:v>0.5</c:v>
                  </c:pt>
                  <c:pt idx="5">
                    <c:v>0.5</c:v>
                  </c:pt>
                  <c:pt idx="6">
                    <c:v>0.5</c:v>
                  </c:pt>
                  <c:pt idx="7">
                    <c:v>0.5</c:v>
                  </c:pt>
                  <c:pt idx="8">
                    <c:v>0.5</c:v>
                  </c:pt>
                  <c:pt idx="9">
                    <c:v>0.5</c:v>
                  </c:pt>
                  <c:pt idx="10">
                    <c:v>0.5</c:v>
                  </c:pt>
                </c:numCache>
              </c:numRef>
            </c:plus>
            <c:minus>
              <c:numRef>
                <c:f>'RSZ.graphs'!$K$67:$K$77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minus>
          </c:errBars>
          <c:cat>
            <c:strRef>
              <c:f>'RSZ.graphs'!$B$67:$B$77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'RSZ.graphs'!$F$67:$F$77</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ser>
        <c:dLbls>
          <c:showLegendKey val="0"/>
          <c:showVal val="0"/>
          <c:showCatName val="0"/>
          <c:showSerName val="0"/>
          <c:showPercent val="0"/>
          <c:showBubbleSize val="0"/>
        </c:dLbls>
        <c:gapWidth val="150"/>
        <c:axId val="250059264"/>
        <c:axId val="249566848"/>
      </c:barChart>
      <c:catAx>
        <c:axId val="250059264"/>
        <c:scaling>
          <c:orientation val="minMax"/>
        </c:scaling>
        <c:delete val="0"/>
        <c:axPos val="b"/>
        <c:majorTickMark val="out"/>
        <c:minorTickMark val="none"/>
        <c:tickLblPos val="nextTo"/>
        <c:crossAx val="249566848"/>
        <c:crosses val="autoZero"/>
        <c:auto val="1"/>
        <c:lblAlgn val="ctr"/>
        <c:lblOffset val="100"/>
        <c:noMultiLvlLbl val="0"/>
      </c:catAx>
      <c:valAx>
        <c:axId val="249566848"/>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50059264"/>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Flight Height: Proportion of time in RSZ</a:t>
            </a:r>
            <a:endParaRPr lang="en-US">
              <a:effectLst/>
            </a:endParaRPr>
          </a:p>
        </c:rich>
      </c:tx>
      <c:overlay val="0"/>
    </c:title>
    <c:autoTitleDeleted val="0"/>
    <c:plotArea>
      <c:layout/>
      <c:barChart>
        <c:barDir val="col"/>
        <c:grouping val="clustered"/>
        <c:varyColors val="0"/>
        <c:ser>
          <c:idx val="0"/>
          <c:order val="0"/>
          <c:tx>
            <c:strRef>
              <c:f>'RSZ.graphs'!$C$1</c:f>
              <c:strCache>
                <c:ptCount val="1"/>
                <c:pt idx="0">
                  <c:v>RSZtime Score</c:v>
                </c:pt>
              </c:strCache>
            </c:strRef>
          </c:tx>
          <c:spPr>
            <a:solidFill>
              <a:schemeClr val="accent2">
                <a:lumMod val="75000"/>
              </a:schemeClr>
            </a:solidFill>
          </c:spPr>
          <c:invertIfNegative val="0"/>
          <c:errBars>
            <c:errBarType val="both"/>
            <c:errValType val="cust"/>
            <c:noEndCap val="0"/>
            <c:plus>
              <c:numRef>
                <c:f>'RSZ.graphs'!$L$2:$L$77</c:f>
                <c:numCache>
                  <c:formatCode>General</c:formatCode>
                  <c:ptCount val="76"/>
                  <c:pt idx="0">
                    <c:v>0.75</c:v>
                  </c:pt>
                  <c:pt idx="1">
                    <c:v>1.5</c:v>
                  </c:pt>
                  <c:pt idx="2">
                    <c:v>1.5</c:v>
                  </c:pt>
                  <c:pt idx="3">
                    <c:v>0</c:v>
                  </c:pt>
                  <c:pt idx="4">
                    <c:v>0</c:v>
                  </c:pt>
                  <c:pt idx="5">
                    <c:v>0</c:v>
                  </c:pt>
                  <c:pt idx="6">
                    <c:v>0.5</c:v>
                  </c:pt>
                  <c:pt idx="7">
                    <c:v>0.5</c:v>
                  </c:pt>
                  <c:pt idx="8">
                    <c:v>1.5</c:v>
                  </c:pt>
                  <c:pt idx="9">
                    <c:v>0.5</c:v>
                  </c:pt>
                  <c:pt idx="10">
                    <c:v>0</c:v>
                  </c:pt>
                  <c:pt idx="11">
                    <c:v>0</c:v>
                  </c:pt>
                  <c:pt idx="12">
                    <c:v>0</c:v>
                  </c:pt>
                  <c:pt idx="13">
                    <c:v>0</c:v>
                  </c:pt>
                  <c:pt idx="14">
                    <c:v>0</c:v>
                  </c:pt>
                  <c:pt idx="15">
                    <c:v>1.5</c:v>
                  </c:pt>
                  <c:pt idx="16">
                    <c:v>1.5</c:v>
                  </c:pt>
                  <c:pt idx="17">
                    <c:v>1.5</c:v>
                  </c:pt>
                  <c:pt idx="18">
                    <c:v>0.5</c:v>
                  </c:pt>
                  <c:pt idx="19">
                    <c:v>0.5</c:v>
                  </c:pt>
                  <c:pt idx="20">
                    <c:v>0.5</c:v>
                  </c:pt>
                  <c:pt idx="21">
                    <c:v>0.5</c:v>
                  </c:pt>
                  <c:pt idx="22">
                    <c:v>0.5</c:v>
                  </c:pt>
                  <c:pt idx="23">
                    <c:v>0.10000000000000009</c:v>
                  </c:pt>
                  <c:pt idx="24">
                    <c:v>0.5</c:v>
                  </c:pt>
                  <c:pt idx="25">
                    <c:v>0.10000000000000009</c:v>
                  </c:pt>
                  <c:pt idx="26">
                    <c:v>0.5</c:v>
                  </c:pt>
                  <c:pt idx="27">
                    <c:v>0.5</c:v>
                  </c:pt>
                  <c:pt idx="28">
                    <c:v>0.5</c:v>
                  </c:pt>
                  <c:pt idx="29">
                    <c:v>0.5</c:v>
                  </c:pt>
                  <c:pt idx="30">
                    <c:v>0.5</c:v>
                  </c:pt>
                  <c:pt idx="31">
                    <c:v>0.5</c:v>
                  </c:pt>
                  <c:pt idx="32">
                    <c:v>0.10000000000000009</c:v>
                  </c:pt>
                  <c:pt idx="33">
                    <c:v>0.5</c:v>
                  </c:pt>
                  <c:pt idx="34">
                    <c:v>0</c:v>
                  </c:pt>
                  <c:pt idx="35">
                    <c:v>0</c:v>
                  </c:pt>
                  <c:pt idx="36">
                    <c:v>0.75</c:v>
                  </c:pt>
                  <c:pt idx="37">
                    <c:v>1.5</c:v>
                  </c:pt>
                  <c:pt idx="38">
                    <c:v>0.75</c:v>
                  </c:pt>
                  <c:pt idx="39">
                    <c:v>0.5</c:v>
                  </c:pt>
                  <c:pt idx="40">
                    <c:v>0.5</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1.5</c:v>
                  </c:pt>
                  <c:pt idx="65">
                    <c:v>0.5</c:v>
                  </c:pt>
                  <c:pt idx="66">
                    <c:v>0.5</c:v>
                  </c:pt>
                  <c:pt idx="67">
                    <c:v>0.5</c:v>
                  </c:pt>
                  <c:pt idx="68">
                    <c:v>0.5</c:v>
                  </c:pt>
                  <c:pt idx="69">
                    <c:v>0.5</c:v>
                  </c:pt>
                  <c:pt idx="70">
                    <c:v>0.5</c:v>
                  </c:pt>
                  <c:pt idx="71">
                    <c:v>0.5</c:v>
                  </c:pt>
                  <c:pt idx="72">
                    <c:v>0.5</c:v>
                  </c:pt>
                  <c:pt idx="73">
                    <c:v>0.5</c:v>
                  </c:pt>
                  <c:pt idx="74">
                    <c:v>0.5</c:v>
                  </c:pt>
                  <c:pt idx="75">
                    <c:v>0.5</c:v>
                  </c:pt>
                </c:numCache>
              </c:numRef>
            </c:plus>
            <c:minus>
              <c:numRef>
                <c:f>'RSZ.graphs'!$K$2:$K$77</c:f>
                <c:numCache>
                  <c:formatCode>General</c:formatCode>
                  <c:ptCount val="76"/>
                  <c:pt idx="0">
                    <c:v>0.75</c:v>
                  </c:pt>
                  <c:pt idx="1">
                    <c:v>1.5</c:v>
                  </c:pt>
                  <c:pt idx="2">
                    <c:v>1.5</c:v>
                  </c:pt>
                  <c:pt idx="3">
                    <c:v>1.25</c:v>
                  </c:pt>
                  <c:pt idx="4">
                    <c:v>2.5</c:v>
                  </c:pt>
                  <c:pt idx="5">
                    <c:v>2.5</c:v>
                  </c:pt>
                  <c:pt idx="6">
                    <c:v>0</c:v>
                  </c:pt>
                  <c:pt idx="7">
                    <c:v>0</c:v>
                  </c:pt>
                  <c:pt idx="8">
                    <c:v>1.5</c:v>
                  </c:pt>
                  <c:pt idx="9">
                    <c:v>0</c:v>
                  </c:pt>
                  <c:pt idx="10">
                    <c:v>2.5</c:v>
                  </c:pt>
                  <c:pt idx="11">
                    <c:v>2.5</c:v>
                  </c:pt>
                  <c:pt idx="12">
                    <c:v>2.5</c:v>
                  </c:pt>
                  <c:pt idx="13">
                    <c:v>2.5</c:v>
                  </c:pt>
                  <c:pt idx="14">
                    <c:v>2.5</c:v>
                  </c:pt>
                  <c:pt idx="15">
                    <c:v>1.5</c:v>
                  </c:pt>
                  <c:pt idx="16">
                    <c:v>1.5</c:v>
                  </c:pt>
                  <c:pt idx="17">
                    <c:v>1.5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2.5</c:v>
                  </c:pt>
                  <c:pt idx="35">
                    <c:v>2.5</c:v>
                  </c:pt>
                  <c:pt idx="36">
                    <c:v>0.75</c:v>
                  </c:pt>
                  <c:pt idx="37">
                    <c:v>1.5</c:v>
                  </c:pt>
                  <c:pt idx="38">
                    <c:v>0.75</c:v>
                  </c:pt>
                  <c:pt idx="39">
                    <c:v>0</c:v>
                  </c:pt>
                  <c:pt idx="40">
                    <c:v>0</c:v>
                  </c:pt>
                  <c:pt idx="41">
                    <c:v>1.25</c:v>
                  </c:pt>
                  <c:pt idx="42">
                    <c:v>1.25</c:v>
                  </c:pt>
                  <c:pt idx="43">
                    <c:v>1.25</c:v>
                  </c:pt>
                  <c:pt idx="44">
                    <c:v>1.25</c:v>
                  </c:pt>
                  <c:pt idx="45">
                    <c:v>1.25</c:v>
                  </c:pt>
                  <c:pt idx="46">
                    <c:v>1.25</c:v>
                  </c:pt>
                  <c:pt idx="47">
                    <c:v>1.25</c:v>
                  </c:pt>
                  <c:pt idx="48">
                    <c:v>0.5</c:v>
                  </c:pt>
                  <c:pt idx="49">
                    <c:v>0.5</c:v>
                  </c:pt>
                  <c:pt idx="50">
                    <c:v>0.5</c:v>
                  </c:pt>
                  <c:pt idx="51">
                    <c:v>0.5</c:v>
                  </c:pt>
                  <c:pt idx="52">
                    <c:v>2.5</c:v>
                  </c:pt>
                  <c:pt idx="53">
                    <c:v>2.5</c:v>
                  </c:pt>
                  <c:pt idx="54">
                    <c:v>2.5</c:v>
                  </c:pt>
                  <c:pt idx="55">
                    <c:v>2.5</c:v>
                  </c:pt>
                  <c:pt idx="56">
                    <c:v>2.5</c:v>
                  </c:pt>
                  <c:pt idx="57">
                    <c:v>2.5</c:v>
                  </c:pt>
                  <c:pt idx="58">
                    <c:v>1.25</c:v>
                  </c:pt>
                  <c:pt idx="59">
                    <c:v>2.5</c:v>
                  </c:pt>
                  <c:pt idx="60">
                    <c:v>2.5</c:v>
                  </c:pt>
                  <c:pt idx="61">
                    <c:v>1.25</c:v>
                  </c:pt>
                  <c:pt idx="62">
                    <c:v>1.25</c:v>
                  </c:pt>
                  <c:pt idx="63">
                    <c:v>1.25</c:v>
                  </c:pt>
                  <c:pt idx="64">
                    <c:v>1.5</c:v>
                  </c:pt>
                  <c:pt idx="65">
                    <c:v>0</c:v>
                  </c:pt>
                  <c:pt idx="66">
                    <c:v>0</c:v>
                  </c:pt>
                  <c:pt idx="67">
                    <c:v>0</c:v>
                  </c:pt>
                  <c:pt idx="68">
                    <c:v>0</c:v>
                  </c:pt>
                  <c:pt idx="69">
                    <c:v>0</c:v>
                  </c:pt>
                  <c:pt idx="70">
                    <c:v>0</c:v>
                  </c:pt>
                  <c:pt idx="71">
                    <c:v>0</c:v>
                  </c:pt>
                  <c:pt idx="72">
                    <c:v>0</c:v>
                  </c:pt>
                  <c:pt idx="73">
                    <c:v>0</c:v>
                  </c:pt>
                  <c:pt idx="74">
                    <c:v>0</c:v>
                  </c:pt>
                  <c:pt idx="75">
                    <c:v>0</c:v>
                  </c:pt>
                </c:numCache>
              </c:numRef>
            </c:minus>
          </c:errBars>
          <c:cat>
            <c:strRef>
              <c:f>'RSZ.graphs'!$B$2:$B$77</c:f>
              <c:strCache>
                <c:ptCount val="76"/>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pt idx="15">
                  <c:v>Black-footed_Albatross</c:v>
                </c:pt>
                <c:pt idx="16">
                  <c:v>Laysan_Albatross</c:v>
                </c:pt>
                <c:pt idx="17">
                  <c:v>Short-tailed_Albatross</c:v>
                </c:pt>
                <c:pt idx="18">
                  <c:v>Buller's_Shearwater</c:v>
                </c:pt>
                <c:pt idx="19">
                  <c:v>Manx_Shearwater</c:v>
                </c:pt>
                <c:pt idx="20">
                  <c:v>Pink-footed_Shearwater</c:v>
                </c:pt>
                <c:pt idx="21">
                  <c:v>Flesh-footed_Shearwater</c:v>
                </c:pt>
                <c:pt idx="22">
                  <c:v>Short-tailed_Shearwater</c:v>
                </c:pt>
                <c:pt idx="23">
                  <c:v>Sooty_Shearwater</c:v>
                </c:pt>
                <c:pt idx="24">
                  <c:v>Black-vented_Shearwater</c:v>
                </c:pt>
                <c:pt idx="25">
                  <c:v>Northern_Fulmar</c:v>
                </c:pt>
                <c:pt idx="26">
                  <c:v>Hawaiian_Petrel</c:v>
                </c:pt>
                <c:pt idx="27">
                  <c:v>Cooks_Petrel</c:v>
                </c:pt>
                <c:pt idx="28">
                  <c:v>Mottled_Petrel</c:v>
                </c:pt>
                <c:pt idx="29">
                  <c:v>Ashy_Storm_Petrel</c:v>
                </c:pt>
                <c:pt idx="30">
                  <c:v>Black_Storm_Petrel</c:v>
                </c:pt>
                <c:pt idx="31">
                  <c:v>Fork-tailed_Storm_Petrel</c:v>
                </c:pt>
                <c:pt idx="32">
                  <c:v>Leach's_Storm_Petrel</c:v>
                </c:pt>
                <c:pt idx="33">
                  <c:v>Willson's_Storm_Petrel</c:v>
                </c:pt>
                <c:pt idx="34">
                  <c:v>Brown_Pelican</c:v>
                </c:pt>
                <c:pt idx="35">
                  <c:v>American_White_Pelican</c:v>
                </c:pt>
                <c:pt idx="36">
                  <c:v>Brandt's_Cormorant</c:v>
                </c:pt>
                <c:pt idx="37">
                  <c:v>DCCO</c:v>
                </c:pt>
                <c:pt idx="38">
                  <c:v>Pelagic_Cormorant</c:v>
                </c:pt>
                <c:pt idx="39">
                  <c:v>Red_Phalarope</c:v>
                </c:pt>
                <c:pt idx="40">
                  <c:v>Red-necked_Phalarope</c:v>
                </c:pt>
                <c:pt idx="41">
                  <c:v>Black-legged_Kittiwake</c:v>
                </c:pt>
                <c:pt idx="42">
                  <c:v>Bonaparte's_Gull</c:v>
                </c:pt>
                <c:pt idx="43">
                  <c:v>Sabine's_Gull</c:v>
                </c:pt>
                <c:pt idx="44">
                  <c:v>California_Gull</c:v>
                </c:pt>
                <c:pt idx="45">
                  <c:v>Heermann's_Gull</c:v>
                </c:pt>
                <c:pt idx="46">
                  <c:v>Mew_Gull</c:v>
                </c:pt>
                <c:pt idx="47">
                  <c:v>Ring-billed_Gull</c:v>
                </c:pt>
                <c:pt idx="48">
                  <c:v>Herring_Gull</c:v>
                </c:pt>
                <c:pt idx="49">
                  <c:v>Thayer's_Gull</c:v>
                </c:pt>
                <c:pt idx="50">
                  <c:v>Glaucous-winged_Gull</c:v>
                </c:pt>
                <c:pt idx="51">
                  <c:v>Western_Gull</c:v>
                </c:pt>
                <c:pt idx="52">
                  <c:v>Caspian_Tern</c:v>
                </c:pt>
                <c:pt idx="53">
                  <c:v>Arctic_Tern</c:v>
                </c:pt>
                <c:pt idx="54">
                  <c:v>Common_Tern</c:v>
                </c:pt>
                <c:pt idx="55">
                  <c:v>Elegant_Tern</c:v>
                </c:pt>
                <c:pt idx="56">
                  <c:v>Royal_Tern</c:v>
                </c:pt>
                <c:pt idx="57">
                  <c:v>Forster's_Tern</c:v>
                </c:pt>
                <c:pt idx="58">
                  <c:v>Least_Tern</c:v>
                </c:pt>
                <c:pt idx="59">
                  <c:v>Gull-billed_Tern</c:v>
                </c:pt>
                <c:pt idx="60">
                  <c:v>Black_Skimmer</c:v>
                </c:pt>
                <c:pt idx="61">
                  <c:v>Long-tailed_Jaeger</c:v>
                </c:pt>
                <c:pt idx="62">
                  <c:v>Parasitic_Jaeger</c:v>
                </c:pt>
                <c:pt idx="63">
                  <c:v>Pomarine_Jaeger</c:v>
                </c:pt>
                <c:pt idx="64">
                  <c:v>South_Polar_Skua</c:v>
                </c:pt>
                <c:pt idx="65">
                  <c:v>Ancient_Murrelet</c:v>
                </c:pt>
                <c:pt idx="66">
                  <c:v>Marbled_Murrelet</c:v>
                </c:pt>
                <c:pt idx="67">
                  <c:v>Xantus's_Murrelet</c:v>
                </c:pt>
                <c:pt idx="68">
                  <c:v>Craveris Murrelet</c:v>
                </c:pt>
                <c:pt idx="69">
                  <c:v>Common_Murre</c:v>
                </c:pt>
                <c:pt idx="70">
                  <c:v>Pigeon_Guillemot</c:v>
                </c:pt>
                <c:pt idx="71">
                  <c:v>Tufted_Puffin</c:v>
                </c:pt>
                <c:pt idx="72">
                  <c:v>Horned_Puffin</c:v>
                </c:pt>
                <c:pt idx="73">
                  <c:v>Rhinoceros_Auklet</c:v>
                </c:pt>
                <c:pt idx="74">
                  <c:v>Parakeet_Auklet</c:v>
                </c:pt>
                <c:pt idx="75">
                  <c:v>Cassin's_Auklet</c:v>
                </c:pt>
              </c:strCache>
            </c:strRef>
          </c:cat>
          <c:val>
            <c:numRef>
              <c:f>'RSZ.graphs'!$F$2:$F$77</c:f>
              <c:numCache>
                <c:formatCode>General</c:formatCode>
                <c:ptCount val="76"/>
                <c:pt idx="0">
                  <c:v>3</c:v>
                </c:pt>
                <c:pt idx="1">
                  <c:v>3</c:v>
                </c:pt>
                <c:pt idx="2">
                  <c:v>3</c:v>
                </c:pt>
                <c:pt idx="3">
                  <c:v>5</c:v>
                </c:pt>
                <c:pt idx="4">
                  <c:v>5</c:v>
                </c:pt>
                <c:pt idx="5">
                  <c:v>5</c:v>
                </c:pt>
                <c:pt idx="6">
                  <c:v>1</c:v>
                </c:pt>
                <c:pt idx="7">
                  <c:v>1</c:v>
                </c:pt>
                <c:pt idx="8">
                  <c:v>3</c:v>
                </c:pt>
                <c:pt idx="9">
                  <c:v>1</c:v>
                </c:pt>
                <c:pt idx="10">
                  <c:v>5</c:v>
                </c:pt>
                <c:pt idx="11">
                  <c:v>5</c:v>
                </c:pt>
                <c:pt idx="12">
                  <c:v>5</c:v>
                </c:pt>
                <c:pt idx="13">
                  <c:v>5</c:v>
                </c:pt>
                <c:pt idx="14">
                  <c:v>5</c:v>
                </c:pt>
                <c:pt idx="15">
                  <c:v>3</c:v>
                </c:pt>
                <c:pt idx="16">
                  <c:v>3</c:v>
                </c:pt>
                <c:pt idx="17">
                  <c:v>3</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5</c:v>
                </c:pt>
                <c:pt idx="35">
                  <c:v>5</c:v>
                </c:pt>
                <c:pt idx="36">
                  <c:v>3</c:v>
                </c:pt>
                <c:pt idx="37">
                  <c:v>3</c:v>
                </c:pt>
                <c:pt idx="38">
                  <c:v>3</c:v>
                </c:pt>
                <c:pt idx="39">
                  <c:v>1</c:v>
                </c:pt>
                <c:pt idx="40">
                  <c:v>1</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3</c:v>
                </c:pt>
                <c:pt idx="65">
                  <c:v>1</c:v>
                </c:pt>
                <c:pt idx="66">
                  <c:v>1</c:v>
                </c:pt>
                <c:pt idx="67">
                  <c:v>1</c:v>
                </c:pt>
                <c:pt idx="68">
                  <c:v>1</c:v>
                </c:pt>
                <c:pt idx="69">
                  <c:v>1</c:v>
                </c:pt>
                <c:pt idx="70">
                  <c:v>1</c:v>
                </c:pt>
                <c:pt idx="71">
                  <c:v>1</c:v>
                </c:pt>
                <c:pt idx="72">
                  <c:v>1</c:v>
                </c:pt>
                <c:pt idx="73">
                  <c:v>1</c:v>
                </c:pt>
                <c:pt idx="74">
                  <c:v>1</c:v>
                </c:pt>
                <c:pt idx="75">
                  <c:v>1</c:v>
                </c:pt>
              </c:numCache>
            </c:numRef>
          </c:val>
        </c:ser>
        <c:dLbls>
          <c:showLegendKey val="0"/>
          <c:showVal val="0"/>
          <c:showCatName val="0"/>
          <c:showSerName val="0"/>
          <c:showPercent val="0"/>
          <c:showBubbleSize val="0"/>
        </c:dLbls>
        <c:gapWidth val="150"/>
        <c:axId val="250060288"/>
        <c:axId val="249568576"/>
      </c:barChart>
      <c:catAx>
        <c:axId val="250060288"/>
        <c:scaling>
          <c:orientation val="minMax"/>
        </c:scaling>
        <c:delete val="0"/>
        <c:axPos val="b"/>
        <c:majorTickMark val="out"/>
        <c:minorTickMark val="none"/>
        <c:tickLblPos val="nextTo"/>
        <c:crossAx val="249568576"/>
        <c:crosses val="autoZero"/>
        <c:auto val="1"/>
        <c:lblAlgn val="ctr"/>
        <c:lblOffset val="100"/>
        <c:noMultiLvlLbl val="0"/>
      </c:catAx>
      <c:valAx>
        <c:axId val="249568576"/>
        <c:scaling>
          <c:orientation val="minMax"/>
          <c:max val="5"/>
        </c:scaling>
        <c:delete val="0"/>
        <c:axPos val="l"/>
        <c:numFmt formatCode="General" sourceLinked="1"/>
        <c:majorTickMark val="out"/>
        <c:minorTickMark val="none"/>
        <c:tickLblPos val="nextTo"/>
        <c:crossAx val="250060288"/>
        <c:crosses val="autoZero"/>
        <c:crossBetween val="between"/>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clustered"/>
        <c:varyColors val="0"/>
        <c:ser>
          <c:idx val="0"/>
          <c:order val="0"/>
          <c:tx>
            <c:strRef>
              <c:f>'RSZ.graphs'!$C$1</c:f>
              <c:strCache>
                <c:ptCount val="1"/>
                <c:pt idx="0">
                  <c:v>RSZtime Score</c:v>
                </c:pt>
              </c:strCache>
            </c:strRef>
          </c:tx>
          <c:invertIfNegative val="0"/>
          <c:errBars>
            <c:errBarType val="both"/>
            <c:errValType val="cust"/>
            <c:noEndCap val="0"/>
            <c:plus>
              <c:numRef>
                <c:f>'RSZ.graphs'!$L$2:$L$77</c:f>
                <c:numCache>
                  <c:formatCode>General</c:formatCode>
                  <c:ptCount val="76"/>
                  <c:pt idx="0">
                    <c:v>0.75</c:v>
                  </c:pt>
                  <c:pt idx="1">
                    <c:v>1.5</c:v>
                  </c:pt>
                  <c:pt idx="2">
                    <c:v>1.5</c:v>
                  </c:pt>
                  <c:pt idx="3">
                    <c:v>0</c:v>
                  </c:pt>
                  <c:pt idx="4">
                    <c:v>0</c:v>
                  </c:pt>
                  <c:pt idx="5">
                    <c:v>0</c:v>
                  </c:pt>
                  <c:pt idx="6">
                    <c:v>0.5</c:v>
                  </c:pt>
                  <c:pt idx="7">
                    <c:v>0.5</c:v>
                  </c:pt>
                  <c:pt idx="8">
                    <c:v>1.5</c:v>
                  </c:pt>
                  <c:pt idx="9">
                    <c:v>0.5</c:v>
                  </c:pt>
                  <c:pt idx="10">
                    <c:v>0</c:v>
                  </c:pt>
                  <c:pt idx="11">
                    <c:v>0</c:v>
                  </c:pt>
                  <c:pt idx="12">
                    <c:v>0</c:v>
                  </c:pt>
                  <c:pt idx="13">
                    <c:v>0</c:v>
                  </c:pt>
                  <c:pt idx="14">
                    <c:v>0</c:v>
                  </c:pt>
                  <c:pt idx="15">
                    <c:v>1.5</c:v>
                  </c:pt>
                  <c:pt idx="16">
                    <c:v>1.5</c:v>
                  </c:pt>
                  <c:pt idx="17">
                    <c:v>1.5</c:v>
                  </c:pt>
                  <c:pt idx="18">
                    <c:v>0.5</c:v>
                  </c:pt>
                  <c:pt idx="19">
                    <c:v>0.5</c:v>
                  </c:pt>
                  <c:pt idx="20">
                    <c:v>0.5</c:v>
                  </c:pt>
                  <c:pt idx="21">
                    <c:v>0.5</c:v>
                  </c:pt>
                  <c:pt idx="22">
                    <c:v>0.5</c:v>
                  </c:pt>
                  <c:pt idx="23">
                    <c:v>0.10000000000000009</c:v>
                  </c:pt>
                  <c:pt idx="24">
                    <c:v>0.5</c:v>
                  </c:pt>
                  <c:pt idx="25">
                    <c:v>0.10000000000000009</c:v>
                  </c:pt>
                  <c:pt idx="26">
                    <c:v>0.5</c:v>
                  </c:pt>
                  <c:pt idx="27">
                    <c:v>0.5</c:v>
                  </c:pt>
                  <c:pt idx="28">
                    <c:v>0.5</c:v>
                  </c:pt>
                  <c:pt idx="29">
                    <c:v>0.5</c:v>
                  </c:pt>
                  <c:pt idx="30">
                    <c:v>0.5</c:v>
                  </c:pt>
                  <c:pt idx="31">
                    <c:v>0.5</c:v>
                  </c:pt>
                  <c:pt idx="32">
                    <c:v>0.10000000000000009</c:v>
                  </c:pt>
                  <c:pt idx="33">
                    <c:v>0.5</c:v>
                  </c:pt>
                  <c:pt idx="34">
                    <c:v>0</c:v>
                  </c:pt>
                  <c:pt idx="35">
                    <c:v>0</c:v>
                  </c:pt>
                  <c:pt idx="36">
                    <c:v>0.75</c:v>
                  </c:pt>
                  <c:pt idx="37">
                    <c:v>1.5</c:v>
                  </c:pt>
                  <c:pt idx="38">
                    <c:v>0.75</c:v>
                  </c:pt>
                  <c:pt idx="39">
                    <c:v>0.5</c:v>
                  </c:pt>
                  <c:pt idx="40">
                    <c:v>0.5</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1.5</c:v>
                  </c:pt>
                  <c:pt idx="65">
                    <c:v>0.5</c:v>
                  </c:pt>
                  <c:pt idx="66">
                    <c:v>0.5</c:v>
                  </c:pt>
                  <c:pt idx="67">
                    <c:v>0.5</c:v>
                  </c:pt>
                  <c:pt idx="68">
                    <c:v>0.5</c:v>
                  </c:pt>
                  <c:pt idx="69">
                    <c:v>0.5</c:v>
                  </c:pt>
                  <c:pt idx="70">
                    <c:v>0.5</c:v>
                  </c:pt>
                  <c:pt idx="71">
                    <c:v>0.5</c:v>
                  </c:pt>
                  <c:pt idx="72">
                    <c:v>0.5</c:v>
                  </c:pt>
                  <c:pt idx="73">
                    <c:v>0.5</c:v>
                  </c:pt>
                  <c:pt idx="74">
                    <c:v>0.5</c:v>
                  </c:pt>
                  <c:pt idx="75">
                    <c:v>0.5</c:v>
                  </c:pt>
                </c:numCache>
              </c:numRef>
            </c:plus>
            <c:minus>
              <c:numRef>
                <c:f>'RSZ.graphs'!$K$2:$K$77</c:f>
                <c:numCache>
                  <c:formatCode>General</c:formatCode>
                  <c:ptCount val="76"/>
                  <c:pt idx="0">
                    <c:v>0.75</c:v>
                  </c:pt>
                  <c:pt idx="1">
                    <c:v>1.5</c:v>
                  </c:pt>
                  <c:pt idx="2">
                    <c:v>1.5</c:v>
                  </c:pt>
                  <c:pt idx="3">
                    <c:v>1.25</c:v>
                  </c:pt>
                  <c:pt idx="4">
                    <c:v>2.5</c:v>
                  </c:pt>
                  <c:pt idx="5">
                    <c:v>2.5</c:v>
                  </c:pt>
                  <c:pt idx="6">
                    <c:v>0</c:v>
                  </c:pt>
                  <c:pt idx="7">
                    <c:v>0</c:v>
                  </c:pt>
                  <c:pt idx="8">
                    <c:v>1.5</c:v>
                  </c:pt>
                  <c:pt idx="9">
                    <c:v>0</c:v>
                  </c:pt>
                  <c:pt idx="10">
                    <c:v>2.5</c:v>
                  </c:pt>
                  <c:pt idx="11">
                    <c:v>2.5</c:v>
                  </c:pt>
                  <c:pt idx="12">
                    <c:v>2.5</c:v>
                  </c:pt>
                  <c:pt idx="13">
                    <c:v>2.5</c:v>
                  </c:pt>
                  <c:pt idx="14">
                    <c:v>2.5</c:v>
                  </c:pt>
                  <c:pt idx="15">
                    <c:v>1.5</c:v>
                  </c:pt>
                  <c:pt idx="16">
                    <c:v>1.5</c:v>
                  </c:pt>
                  <c:pt idx="17">
                    <c:v>1.5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2.5</c:v>
                  </c:pt>
                  <c:pt idx="35">
                    <c:v>2.5</c:v>
                  </c:pt>
                  <c:pt idx="36">
                    <c:v>0.75</c:v>
                  </c:pt>
                  <c:pt idx="37">
                    <c:v>1.5</c:v>
                  </c:pt>
                  <c:pt idx="38">
                    <c:v>0.75</c:v>
                  </c:pt>
                  <c:pt idx="39">
                    <c:v>0</c:v>
                  </c:pt>
                  <c:pt idx="40">
                    <c:v>0</c:v>
                  </c:pt>
                  <c:pt idx="41">
                    <c:v>1.25</c:v>
                  </c:pt>
                  <c:pt idx="42">
                    <c:v>1.25</c:v>
                  </c:pt>
                  <c:pt idx="43">
                    <c:v>1.25</c:v>
                  </c:pt>
                  <c:pt idx="44">
                    <c:v>1.25</c:v>
                  </c:pt>
                  <c:pt idx="45">
                    <c:v>1.25</c:v>
                  </c:pt>
                  <c:pt idx="46">
                    <c:v>1.25</c:v>
                  </c:pt>
                  <c:pt idx="47">
                    <c:v>1.25</c:v>
                  </c:pt>
                  <c:pt idx="48">
                    <c:v>0.5</c:v>
                  </c:pt>
                  <c:pt idx="49">
                    <c:v>0.5</c:v>
                  </c:pt>
                  <c:pt idx="50">
                    <c:v>0.5</c:v>
                  </c:pt>
                  <c:pt idx="51">
                    <c:v>0.5</c:v>
                  </c:pt>
                  <c:pt idx="52">
                    <c:v>2.5</c:v>
                  </c:pt>
                  <c:pt idx="53">
                    <c:v>2.5</c:v>
                  </c:pt>
                  <c:pt idx="54">
                    <c:v>2.5</c:v>
                  </c:pt>
                  <c:pt idx="55">
                    <c:v>2.5</c:v>
                  </c:pt>
                  <c:pt idx="56">
                    <c:v>2.5</c:v>
                  </c:pt>
                  <c:pt idx="57">
                    <c:v>2.5</c:v>
                  </c:pt>
                  <c:pt idx="58">
                    <c:v>1.25</c:v>
                  </c:pt>
                  <c:pt idx="59">
                    <c:v>2.5</c:v>
                  </c:pt>
                  <c:pt idx="60">
                    <c:v>2.5</c:v>
                  </c:pt>
                  <c:pt idx="61">
                    <c:v>1.25</c:v>
                  </c:pt>
                  <c:pt idx="62">
                    <c:v>1.25</c:v>
                  </c:pt>
                  <c:pt idx="63">
                    <c:v>1.25</c:v>
                  </c:pt>
                  <c:pt idx="64">
                    <c:v>1.5</c:v>
                  </c:pt>
                  <c:pt idx="65">
                    <c:v>0</c:v>
                  </c:pt>
                  <c:pt idx="66">
                    <c:v>0</c:v>
                  </c:pt>
                  <c:pt idx="67">
                    <c:v>0</c:v>
                  </c:pt>
                  <c:pt idx="68">
                    <c:v>0</c:v>
                  </c:pt>
                  <c:pt idx="69">
                    <c:v>0</c:v>
                  </c:pt>
                  <c:pt idx="70">
                    <c:v>0</c:v>
                  </c:pt>
                  <c:pt idx="71">
                    <c:v>0</c:v>
                  </c:pt>
                  <c:pt idx="72">
                    <c:v>0</c:v>
                  </c:pt>
                  <c:pt idx="73">
                    <c:v>0</c:v>
                  </c:pt>
                  <c:pt idx="74">
                    <c:v>0</c:v>
                  </c:pt>
                  <c:pt idx="75">
                    <c:v>0</c:v>
                  </c:pt>
                </c:numCache>
              </c:numRef>
            </c:minus>
          </c:errBars>
          <c:cat>
            <c:strRef>
              <c:f>'RSZ.graphs'!$B$2:$B$77</c:f>
              <c:strCache>
                <c:ptCount val="76"/>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pt idx="15">
                  <c:v>Black-footed_Albatross</c:v>
                </c:pt>
                <c:pt idx="16">
                  <c:v>Laysan_Albatross</c:v>
                </c:pt>
                <c:pt idx="17">
                  <c:v>Short-tailed_Albatross</c:v>
                </c:pt>
                <c:pt idx="18">
                  <c:v>Buller's_Shearwater</c:v>
                </c:pt>
                <c:pt idx="19">
                  <c:v>Manx_Shearwater</c:v>
                </c:pt>
                <c:pt idx="20">
                  <c:v>Pink-footed_Shearwater</c:v>
                </c:pt>
                <c:pt idx="21">
                  <c:v>Flesh-footed_Shearwater</c:v>
                </c:pt>
                <c:pt idx="22">
                  <c:v>Short-tailed_Shearwater</c:v>
                </c:pt>
                <c:pt idx="23">
                  <c:v>Sooty_Shearwater</c:v>
                </c:pt>
                <c:pt idx="24">
                  <c:v>Black-vented_Shearwater</c:v>
                </c:pt>
                <c:pt idx="25">
                  <c:v>Northern_Fulmar</c:v>
                </c:pt>
                <c:pt idx="26">
                  <c:v>Hawaiian_Petrel</c:v>
                </c:pt>
                <c:pt idx="27">
                  <c:v>Cooks_Petrel</c:v>
                </c:pt>
                <c:pt idx="28">
                  <c:v>Mottled_Petrel</c:v>
                </c:pt>
                <c:pt idx="29">
                  <c:v>Ashy_Storm_Petrel</c:v>
                </c:pt>
                <c:pt idx="30">
                  <c:v>Black_Storm_Petrel</c:v>
                </c:pt>
                <c:pt idx="31">
                  <c:v>Fork-tailed_Storm_Petrel</c:v>
                </c:pt>
                <c:pt idx="32">
                  <c:v>Leach's_Storm_Petrel</c:v>
                </c:pt>
                <c:pt idx="33">
                  <c:v>Willson's_Storm_Petrel</c:v>
                </c:pt>
                <c:pt idx="34">
                  <c:v>Brown_Pelican</c:v>
                </c:pt>
                <c:pt idx="35">
                  <c:v>American_White_Pelican</c:v>
                </c:pt>
                <c:pt idx="36">
                  <c:v>Brandt's_Cormorant</c:v>
                </c:pt>
                <c:pt idx="37">
                  <c:v>DCCO</c:v>
                </c:pt>
                <c:pt idx="38">
                  <c:v>Pelagic_Cormorant</c:v>
                </c:pt>
                <c:pt idx="39">
                  <c:v>Red_Phalarope</c:v>
                </c:pt>
                <c:pt idx="40">
                  <c:v>Red-necked_Phalarope</c:v>
                </c:pt>
                <c:pt idx="41">
                  <c:v>Black-legged_Kittiwake</c:v>
                </c:pt>
                <c:pt idx="42">
                  <c:v>Bonaparte's_Gull</c:v>
                </c:pt>
                <c:pt idx="43">
                  <c:v>Sabine's_Gull</c:v>
                </c:pt>
                <c:pt idx="44">
                  <c:v>California_Gull</c:v>
                </c:pt>
                <c:pt idx="45">
                  <c:v>Heermann's_Gull</c:v>
                </c:pt>
                <c:pt idx="46">
                  <c:v>Mew_Gull</c:v>
                </c:pt>
                <c:pt idx="47">
                  <c:v>Ring-billed_Gull</c:v>
                </c:pt>
                <c:pt idx="48">
                  <c:v>Herring_Gull</c:v>
                </c:pt>
                <c:pt idx="49">
                  <c:v>Thayer's_Gull</c:v>
                </c:pt>
                <c:pt idx="50">
                  <c:v>Glaucous-winged_Gull</c:v>
                </c:pt>
                <c:pt idx="51">
                  <c:v>Western_Gull</c:v>
                </c:pt>
                <c:pt idx="52">
                  <c:v>Caspian_Tern</c:v>
                </c:pt>
                <c:pt idx="53">
                  <c:v>Arctic_Tern</c:v>
                </c:pt>
                <c:pt idx="54">
                  <c:v>Common_Tern</c:v>
                </c:pt>
                <c:pt idx="55">
                  <c:v>Elegant_Tern</c:v>
                </c:pt>
                <c:pt idx="56">
                  <c:v>Royal_Tern</c:v>
                </c:pt>
                <c:pt idx="57">
                  <c:v>Forster's_Tern</c:v>
                </c:pt>
                <c:pt idx="58">
                  <c:v>Least_Tern</c:v>
                </c:pt>
                <c:pt idx="59">
                  <c:v>Gull-billed_Tern</c:v>
                </c:pt>
                <c:pt idx="60">
                  <c:v>Black_Skimmer</c:v>
                </c:pt>
                <c:pt idx="61">
                  <c:v>Long-tailed_Jaeger</c:v>
                </c:pt>
                <c:pt idx="62">
                  <c:v>Parasitic_Jaeger</c:v>
                </c:pt>
                <c:pt idx="63">
                  <c:v>Pomarine_Jaeger</c:v>
                </c:pt>
                <c:pt idx="64">
                  <c:v>South_Polar_Skua</c:v>
                </c:pt>
                <c:pt idx="65">
                  <c:v>Ancient_Murrelet</c:v>
                </c:pt>
                <c:pt idx="66">
                  <c:v>Marbled_Murrelet</c:v>
                </c:pt>
                <c:pt idx="67">
                  <c:v>Xantus's_Murrelet</c:v>
                </c:pt>
                <c:pt idx="68">
                  <c:v>Craveris Murrelet</c:v>
                </c:pt>
                <c:pt idx="69">
                  <c:v>Common_Murre</c:v>
                </c:pt>
                <c:pt idx="70">
                  <c:v>Pigeon_Guillemot</c:v>
                </c:pt>
                <c:pt idx="71">
                  <c:v>Tufted_Puffin</c:v>
                </c:pt>
                <c:pt idx="72">
                  <c:v>Horned_Puffin</c:v>
                </c:pt>
                <c:pt idx="73">
                  <c:v>Rhinoceros_Auklet</c:v>
                </c:pt>
                <c:pt idx="74">
                  <c:v>Parakeet_Auklet</c:v>
                </c:pt>
                <c:pt idx="75">
                  <c:v>Cassin's_Auklet</c:v>
                </c:pt>
              </c:strCache>
            </c:strRef>
          </c:cat>
          <c:val>
            <c:numRef>
              <c:f>'RSZ.graphs'!$F$2:$F$77</c:f>
              <c:numCache>
                <c:formatCode>General</c:formatCode>
                <c:ptCount val="76"/>
                <c:pt idx="0">
                  <c:v>3</c:v>
                </c:pt>
                <c:pt idx="1">
                  <c:v>3</c:v>
                </c:pt>
                <c:pt idx="2">
                  <c:v>3</c:v>
                </c:pt>
                <c:pt idx="3">
                  <c:v>5</c:v>
                </c:pt>
                <c:pt idx="4">
                  <c:v>5</c:v>
                </c:pt>
                <c:pt idx="5">
                  <c:v>5</c:v>
                </c:pt>
                <c:pt idx="6">
                  <c:v>1</c:v>
                </c:pt>
                <c:pt idx="7">
                  <c:v>1</c:v>
                </c:pt>
                <c:pt idx="8">
                  <c:v>3</c:v>
                </c:pt>
                <c:pt idx="9">
                  <c:v>1</c:v>
                </c:pt>
                <c:pt idx="10">
                  <c:v>5</c:v>
                </c:pt>
                <c:pt idx="11">
                  <c:v>5</c:v>
                </c:pt>
                <c:pt idx="12">
                  <c:v>5</c:v>
                </c:pt>
                <c:pt idx="13">
                  <c:v>5</c:v>
                </c:pt>
                <c:pt idx="14">
                  <c:v>5</c:v>
                </c:pt>
                <c:pt idx="15">
                  <c:v>3</c:v>
                </c:pt>
                <c:pt idx="16">
                  <c:v>3</c:v>
                </c:pt>
                <c:pt idx="17">
                  <c:v>3</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5</c:v>
                </c:pt>
                <c:pt idx="35">
                  <c:v>5</c:v>
                </c:pt>
                <c:pt idx="36">
                  <c:v>3</c:v>
                </c:pt>
                <c:pt idx="37">
                  <c:v>3</c:v>
                </c:pt>
                <c:pt idx="38">
                  <c:v>3</c:v>
                </c:pt>
                <c:pt idx="39">
                  <c:v>1</c:v>
                </c:pt>
                <c:pt idx="40">
                  <c:v>1</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3</c:v>
                </c:pt>
                <c:pt idx="65">
                  <c:v>1</c:v>
                </c:pt>
                <c:pt idx="66">
                  <c:v>1</c:v>
                </c:pt>
                <c:pt idx="67">
                  <c:v>1</c:v>
                </c:pt>
                <c:pt idx="68">
                  <c:v>1</c:v>
                </c:pt>
                <c:pt idx="69">
                  <c:v>1</c:v>
                </c:pt>
                <c:pt idx="70">
                  <c:v>1</c:v>
                </c:pt>
                <c:pt idx="71">
                  <c:v>1</c:v>
                </c:pt>
                <c:pt idx="72">
                  <c:v>1</c:v>
                </c:pt>
                <c:pt idx="73">
                  <c:v>1</c:v>
                </c:pt>
                <c:pt idx="74">
                  <c:v>1</c:v>
                </c:pt>
                <c:pt idx="75">
                  <c:v>1</c:v>
                </c:pt>
              </c:numCache>
            </c:numRef>
          </c:val>
        </c:ser>
        <c:dLbls>
          <c:showLegendKey val="0"/>
          <c:showVal val="0"/>
          <c:showCatName val="0"/>
          <c:showSerName val="0"/>
          <c:showPercent val="0"/>
          <c:showBubbleSize val="0"/>
        </c:dLbls>
        <c:gapWidth val="150"/>
        <c:axId val="250408960"/>
        <c:axId val="249620160"/>
      </c:barChart>
      <c:catAx>
        <c:axId val="250408960"/>
        <c:scaling>
          <c:orientation val="minMax"/>
        </c:scaling>
        <c:delete val="0"/>
        <c:axPos val="l"/>
        <c:majorTickMark val="out"/>
        <c:minorTickMark val="none"/>
        <c:tickLblPos val="nextTo"/>
        <c:crossAx val="249620160"/>
        <c:crosses val="autoZero"/>
        <c:auto val="1"/>
        <c:lblAlgn val="ctr"/>
        <c:lblOffset val="100"/>
        <c:noMultiLvlLbl val="0"/>
      </c:catAx>
      <c:valAx>
        <c:axId val="249620160"/>
        <c:scaling>
          <c:orientation val="minMax"/>
          <c:max val="5"/>
        </c:scaling>
        <c:delete val="0"/>
        <c:axPos val="b"/>
        <c:majorGridlines/>
        <c:numFmt formatCode="General" sourceLinked="1"/>
        <c:majorTickMark val="out"/>
        <c:minorTickMark val="none"/>
        <c:tickLblPos val="nextTo"/>
        <c:crossAx val="250408960"/>
        <c:crosses val="autoZero"/>
        <c:crossBetween val="between"/>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Macro-Avoidance: Sea</a:t>
            </a:r>
            <a:r>
              <a:rPr lang="en-US" baseline="0"/>
              <a:t> Ducks, Loons, and Grebes</a:t>
            </a:r>
            <a:endParaRPr lang="en-US"/>
          </a:p>
        </c:rich>
      </c:tx>
      <c:overlay val="0"/>
    </c:title>
    <c:autoTitleDeleted val="0"/>
    <c:plotArea>
      <c:layout/>
      <c:barChart>
        <c:barDir val="col"/>
        <c:grouping val="clustered"/>
        <c:varyColors val="0"/>
        <c:ser>
          <c:idx val="0"/>
          <c:order val="0"/>
          <c:tx>
            <c:strRef>
              <c:f>MacroAvoid!$C$1</c:f>
              <c:strCache>
                <c:ptCount val="1"/>
                <c:pt idx="0">
                  <c:v>Macro-Avoidance</c:v>
                </c:pt>
              </c:strCache>
            </c:strRef>
          </c:tx>
          <c:spPr>
            <a:solidFill>
              <a:schemeClr val="accent6">
                <a:lumMod val="75000"/>
              </a:schemeClr>
            </a:solidFill>
          </c:spPr>
          <c:invertIfNegative val="0"/>
          <c:errBars>
            <c:errBarType val="both"/>
            <c:errValType val="cust"/>
            <c:noEndCap val="0"/>
            <c:plus>
              <c:numRef>
                <c:f>MacroAvoid!$G$2:$G$77</c:f>
                <c:numCache>
                  <c:formatCode>General</c:formatCode>
                  <c:ptCount val="76"/>
                  <c:pt idx="0">
                    <c:v>0</c:v>
                  </c:pt>
                  <c:pt idx="1">
                    <c:v>0</c:v>
                  </c:pt>
                  <c:pt idx="2">
                    <c:v>0</c:v>
                  </c:pt>
                  <c:pt idx="3">
                    <c:v>0</c:v>
                  </c:pt>
                  <c:pt idx="4">
                    <c:v>1</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0.5</c:v>
                  </c:pt>
                  <c:pt idx="35">
                    <c:v>0.5</c:v>
                  </c:pt>
                  <c:pt idx="36">
                    <c:v>1.5</c:v>
                  </c:pt>
                  <c:pt idx="37">
                    <c:v>1.5</c:v>
                  </c:pt>
                  <c:pt idx="38">
                    <c:v>1.5</c:v>
                  </c:pt>
                  <c:pt idx="39">
                    <c:v>1.5</c:v>
                  </c:pt>
                  <c:pt idx="40">
                    <c:v>1.5</c:v>
                  </c:pt>
                  <c:pt idx="41">
                    <c:v>1</c:v>
                  </c:pt>
                  <c:pt idx="42">
                    <c:v>1</c:v>
                  </c:pt>
                  <c:pt idx="43">
                    <c:v>1</c:v>
                  </c:pt>
                  <c:pt idx="44">
                    <c:v>1</c:v>
                  </c:pt>
                  <c:pt idx="45">
                    <c:v>1</c:v>
                  </c:pt>
                  <c:pt idx="46">
                    <c:v>1</c:v>
                  </c:pt>
                  <c:pt idx="47">
                    <c:v>1</c:v>
                  </c:pt>
                  <c:pt idx="48">
                    <c:v>1</c:v>
                  </c:pt>
                  <c:pt idx="49">
                    <c:v>1</c:v>
                  </c:pt>
                  <c:pt idx="50">
                    <c:v>1</c:v>
                  </c:pt>
                  <c:pt idx="51">
                    <c:v>1</c:v>
                  </c:pt>
                  <c:pt idx="52">
                    <c:v>0</c:v>
                  </c:pt>
                  <c:pt idx="53">
                    <c:v>0</c:v>
                  </c:pt>
                  <c:pt idx="54">
                    <c:v>0</c:v>
                  </c:pt>
                  <c:pt idx="55">
                    <c:v>0</c:v>
                  </c:pt>
                  <c:pt idx="56">
                    <c:v>0</c:v>
                  </c:pt>
                  <c:pt idx="57">
                    <c:v>0</c:v>
                  </c:pt>
                  <c:pt idx="58">
                    <c:v>0</c:v>
                  </c:pt>
                  <c:pt idx="59">
                    <c:v>0</c:v>
                  </c:pt>
                  <c:pt idx="60">
                    <c:v>0</c:v>
                  </c:pt>
                  <c:pt idx="61">
                    <c:v>0.25</c:v>
                  </c:pt>
                  <c:pt idx="62">
                    <c:v>0.25</c:v>
                  </c:pt>
                  <c:pt idx="63">
                    <c:v>0.25</c:v>
                  </c:pt>
                  <c:pt idx="64">
                    <c:v>0.5</c:v>
                  </c:pt>
                  <c:pt idx="65">
                    <c:v>0</c:v>
                  </c:pt>
                  <c:pt idx="66">
                    <c:v>0</c:v>
                  </c:pt>
                  <c:pt idx="67">
                    <c:v>0</c:v>
                  </c:pt>
                  <c:pt idx="68">
                    <c:v>0</c:v>
                  </c:pt>
                  <c:pt idx="69">
                    <c:v>0</c:v>
                  </c:pt>
                  <c:pt idx="70">
                    <c:v>0</c:v>
                  </c:pt>
                  <c:pt idx="71">
                    <c:v>0</c:v>
                  </c:pt>
                  <c:pt idx="72">
                    <c:v>0</c:v>
                  </c:pt>
                  <c:pt idx="73">
                    <c:v>0</c:v>
                  </c:pt>
                  <c:pt idx="74">
                    <c:v>0</c:v>
                  </c:pt>
                  <c:pt idx="75">
                    <c:v>0</c:v>
                  </c:pt>
                </c:numCache>
              </c:numRef>
            </c:plus>
            <c:minus>
              <c:numRef>
                <c:f>MacroAvoid!$F$2:$F$77</c:f>
                <c:numCache>
                  <c:formatCode>General</c:formatCode>
                  <c:ptCount val="76"/>
                  <c:pt idx="0">
                    <c:v>1.25</c:v>
                  </c:pt>
                  <c:pt idx="1">
                    <c:v>1.25</c:v>
                  </c:pt>
                  <c:pt idx="2">
                    <c:v>1.25</c:v>
                  </c:pt>
                  <c:pt idx="3">
                    <c:v>1.25</c:v>
                  </c:pt>
                  <c:pt idx="4">
                    <c:v>2</c:v>
                  </c:pt>
                  <c:pt idx="5">
                    <c:v>2</c:v>
                  </c:pt>
                  <c:pt idx="6">
                    <c:v>0.5</c:v>
                  </c:pt>
                  <c:pt idx="7">
                    <c:v>0.5</c:v>
                  </c:pt>
                  <c:pt idx="8">
                    <c:v>0.5</c:v>
                  </c:pt>
                  <c:pt idx="9">
                    <c:v>0.5</c:v>
                  </c:pt>
                  <c:pt idx="10">
                    <c:v>2.5</c:v>
                  </c:pt>
                  <c:pt idx="11">
                    <c:v>2.5</c:v>
                  </c:pt>
                  <c:pt idx="12">
                    <c:v>2.5</c:v>
                  </c:pt>
                  <c:pt idx="13">
                    <c:v>2.5</c:v>
                  </c:pt>
                  <c:pt idx="14">
                    <c:v>2.5</c:v>
                  </c:pt>
                  <c:pt idx="15">
                    <c:v>2.5</c:v>
                  </c:pt>
                  <c:pt idx="16">
                    <c:v>2.5</c:v>
                  </c:pt>
                  <c:pt idx="17">
                    <c:v>2.5</c:v>
                  </c:pt>
                  <c:pt idx="18">
                    <c:v>2.5</c:v>
                  </c:pt>
                  <c:pt idx="19">
                    <c:v>1.25</c:v>
                  </c:pt>
                  <c:pt idx="20">
                    <c:v>2.5</c:v>
                  </c:pt>
                  <c:pt idx="21">
                    <c:v>2.5</c:v>
                  </c:pt>
                  <c:pt idx="22">
                    <c:v>2.5</c:v>
                  </c:pt>
                  <c:pt idx="23">
                    <c:v>1.25</c:v>
                  </c:pt>
                  <c:pt idx="24">
                    <c:v>2.5</c:v>
                  </c:pt>
                  <c:pt idx="25">
                    <c:v>1.25</c:v>
                  </c:pt>
                  <c:pt idx="26">
                    <c:v>2.5</c:v>
                  </c:pt>
                  <c:pt idx="27">
                    <c:v>2.5</c:v>
                  </c:pt>
                  <c:pt idx="28">
                    <c:v>2.5</c:v>
                  </c:pt>
                  <c:pt idx="29">
                    <c:v>2.5</c:v>
                  </c:pt>
                  <c:pt idx="30">
                    <c:v>2.5</c:v>
                  </c:pt>
                  <c:pt idx="31">
                    <c:v>2.5</c:v>
                  </c:pt>
                  <c:pt idx="32">
                    <c:v>1.25</c:v>
                  </c:pt>
                  <c:pt idx="33">
                    <c:v>1.25</c:v>
                  </c:pt>
                  <c:pt idx="34">
                    <c:v>0</c:v>
                  </c:pt>
                  <c:pt idx="35">
                    <c:v>0</c:v>
                  </c:pt>
                  <c:pt idx="36">
                    <c:v>1.5</c:v>
                  </c:pt>
                  <c:pt idx="37">
                    <c:v>1.5</c:v>
                  </c:pt>
                  <c:pt idx="38">
                    <c:v>1.5</c:v>
                  </c:pt>
                  <c:pt idx="39">
                    <c:v>1.5</c:v>
                  </c:pt>
                  <c:pt idx="40">
                    <c:v>1.5</c:v>
                  </c:pt>
                  <c:pt idx="41">
                    <c:v>2</c:v>
                  </c:pt>
                  <c:pt idx="42">
                    <c:v>2</c:v>
                  </c:pt>
                  <c:pt idx="43">
                    <c:v>2</c:v>
                  </c:pt>
                  <c:pt idx="44">
                    <c:v>2</c:v>
                  </c:pt>
                  <c:pt idx="45">
                    <c:v>2</c:v>
                  </c:pt>
                  <c:pt idx="46">
                    <c:v>2</c:v>
                  </c:pt>
                  <c:pt idx="47">
                    <c:v>2</c:v>
                  </c:pt>
                  <c:pt idx="48">
                    <c:v>2</c:v>
                  </c:pt>
                  <c:pt idx="49">
                    <c:v>2</c:v>
                  </c:pt>
                  <c:pt idx="50">
                    <c:v>2</c:v>
                  </c:pt>
                  <c:pt idx="51">
                    <c:v>2</c:v>
                  </c:pt>
                  <c:pt idx="52">
                    <c:v>2.5</c:v>
                  </c:pt>
                  <c:pt idx="53">
                    <c:v>2.5</c:v>
                  </c:pt>
                  <c:pt idx="54">
                    <c:v>2.5</c:v>
                  </c:pt>
                  <c:pt idx="55">
                    <c:v>2.5</c:v>
                  </c:pt>
                  <c:pt idx="56">
                    <c:v>2.5</c:v>
                  </c:pt>
                  <c:pt idx="57">
                    <c:v>2.5</c:v>
                  </c:pt>
                  <c:pt idx="58">
                    <c:v>2.5</c:v>
                  </c:pt>
                  <c:pt idx="59">
                    <c:v>2.5</c:v>
                  </c:pt>
                  <c:pt idx="60">
                    <c:v>2.5</c:v>
                  </c:pt>
                  <c:pt idx="61">
                    <c:v>0</c:v>
                  </c:pt>
                  <c:pt idx="62">
                    <c:v>0</c:v>
                  </c:pt>
                  <c:pt idx="63">
                    <c:v>0</c:v>
                  </c:pt>
                  <c:pt idx="64">
                    <c:v>0</c:v>
                  </c:pt>
                  <c:pt idx="65">
                    <c:v>1.25</c:v>
                  </c:pt>
                  <c:pt idx="66">
                    <c:v>1.25</c:v>
                  </c:pt>
                  <c:pt idx="67">
                    <c:v>1.25</c:v>
                  </c:pt>
                  <c:pt idx="68">
                    <c:v>1.25</c:v>
                  </c:pt>
                  <c:pt idx="69">
                    <c:v>0.5</c:v>
                  </c:pt>
                  <c:pt idx="70">
                    <c:v>1.25</c:v>
                  </c:pt>
                  <c:pt idx="71">
                    <c:v>1.25</c:v>
                  </c:pt>
                  <c:pt idx="72">
                    <c:v>1.25</c:v>
                  </c:pt>
                  <c:pt idx="73">
                    <c:v>2.5</c:v>
                  </c:pt>
                  <c:pt idx="74">
                    <c:v>1.25</c:v>
                  </c:pt>
                  <c:pt idx="75">
                    <c:v>1.25</c:v>
                  </c:pt>
                </c:numCache>
              </c:numRef>
            </c:minus>
          </c:errBars>
          <c:cat>
            <c:strRef>
              <c:f>MacroAvoid!$B$2:$B$16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MacroAvoid!$C$2:$C$16</c:f>
              <c:numCache>
                <c:formatCode>General</c:formatCode>
                <c:ptCount val="15"/>
                <c:pt idx="0">
                  <c:v>5</c:v>
                </c:pt>
                <c:pt idx="1">
                  <c:v>5</c:v>
                </c:pt>
                <c:pt idx="2">
                  <c:v>5</c:v>
                </c:pt>
                <c:pt idx="3">
                  <c:v>5</c:v>
                </c:pt>
                <c:pt idx="4">
                  <c:v>4</c:v>
                </c:pt>
                <c:pt idx="5">
                  <c:v>4</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gapWidth val="150"/>
        <c:axId val="250410496"/>
        <c:axId val="249623040"/>
      </c:barChart>
      <c:catAx>
        <c:axId val="250410496"/>
        <c:scaling>
          <c:orientation val="minMax"/>
        </c:scaling>
        <c:delete val="0"/>
        <c:axPos val="b"/>
        <c:majorTickMark val="out"/>
        <c:minorTickMark val="none"/>
        <c:tickLblPos val="nextTo"/>
        <c:crossAx val="249623040"/>
        <c:crosses val="autoZero"/>
        <c:auto val="1"/>
        <c:lblAlgn val="ctr"/>
        <c:lblOffset val="100"/>
        <c:noMultiLvlLbl val="0"/>
      </c:catAx>
      <c:valAx>
        <c:axId val="249623040"/>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50410496"/>
        <c:crosses val="autoZero"/>
        <c:crossBetween val="between"/>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Macro-Avoidance: Procellariids</a:t>
            </a:r>
          </a:p>
        </c:rich>
      </c:tx>
      <c:layout>
        <c:manualLayout>
          <c:xMode val="edge"/>
          <c:yMode val="edge"/>
          <c:x val="0.41493297533210644"/>
          <c:y val="2.8751123090745734E-2"/>
        </c:manualLayout>
      </c:layout>
      <c:overlay val="0"/>
    </c:title>
    <c:autoTitleDeleted val="0"/>
    <c:plotArea>
      <c:layout/>
      <c:barChart>
        <c:barDir val="col"/>
        <c:grouping val="clustered"/>
        <c:varyColors val="0"/>
        <c:ser>
          <c:idx val="0"/>
          <c:order val="0"/>
          <c:tx>
            <c:strRef>
              <c:f>MacroAvoid!$C$1</c:f>
              <c:strCache>
                <c:ptCount val="1"/>
                <c:pt idx="0">
                  <c:v>Macro-Avoidance</c:v>
                </c:pt>
              </c:strCache>
            </c:strRef>
          </c:tx>
          <c:spPr>
            <a:solidFill>
              <a:schemeClr val="accent6">
                <a:lumMod val="75000"/>
              </a:schemeClr>
            </a:solidFill>
          </c:spPr>
          <c:invertIfNegative val="0"/>
          <c:errBars>
            <c:errBarType val="both"/>
            <c:errValType val="cust"/>
            <c:noEndCap val="0"/>
            <c:plus>
              <c:numRef>
                <c:f>MacroAvoid!$G$17:$G$35</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plus>
            <c:minus>
              <c:numRef>
                <c:f>MacroAvoid!$F$17:$F$35</c:f>
                <c:numCache>
                  <c:formatCode>General</c:formatCode>
                  <c:ptCount val="19"/>
                  <c:pt idx="0">
                    <c:v>2.5</c:v>
                  </c:pt>
                  <c:pt idx="1">
                    <c:v>2.5</c:v>
                  </c:pt>
                  <c:pt idx="2">
                    <c:v>2.5</c:v>
                  </c:pt>
                  <c:pt idx="3">
                    <c:v>2.5</c:v>
                  </c:pt>
                  <c:pt idx="4">
                    <c:v>1.25</c:v>
                  </c:pt>
                  <c:pt idx="5">
                    <c:v>2.5</c:v>
                  </c:pt>
                  <c:pt idx="6">
                    <c:v>2.5</c:v>
                  </c:pt>
                  <c:pt idx="7">
                    <c:v>2.5</c:v>
                  </c:pt>
                  <c:pt idx="8">
                    <c:v>1.25</c:v>
                  </c:pt>
                  <c:pt idx="9">
                    <c:v>2.5</c:v>
                  </c:pt>
                  <c:pt idx="10">
                    <c:v>1.25</c:v>
                  </c:pt>
                  <c:pt idx="11">
                    <c:v>2.5</c:v>
                  </c:pt>
                  <c:pt idx="12">
                    <c:v>2.5</c:v>
                  </c:pt>
                  <c:pt idx="13">
                    <c:v>2.5</c:v>
                  </c:pt>
                  <c:pt idx="14">
                    <c:v>2.5</c:v>
                  </c:pt>
                  <c:pt idx="15">
                    <c:v>2.5</c:v>
                  </c:pt>
                  <c:pt idx="16">
                    <c:v>2.5</c:v>
                  </c:pt>
                  <c:pt idx="17">
                    <c:v>1.25</c:v>
                  </c:pt>
                  <c:pt idx="18">
                    <c:v>1.25</c:v>
                  </c:pt>
                </c:numCache>
              </c:numRef>
            </c:minus>
          </c:errBars>
          <c:cat>
            <c:strRef>
              <c:f>MacroAvoid!$B$17:$B$35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MacroAvoid!$C$17:$C$35</c:f>
              <c:numCache>
                <c:formatCode>General</c:formatCode>
                <c:ptCount val="19"/>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numCache>
            </c:numRef>
          </c:val>
        </c:ser>
        <c:dLbls>
          <c:showLegendKey val="0"/>
          <c:showVal val="0"/>
          <c:showCatName val="0"/>
          <c:showSerName val="0"/>
          <c:showPercent val="0"/>
          <c:showBubbleSize val="0"/>
        </c:dLbls>
        <c:gapWidth val="150"/>
        <c:axId val="247713792"/>
        <c:axId val="249624768"/>
      </c:barChart>
      <c:catAx>
        <c:axId val="247713792"/>
        <c:scaling>
          <c:orientation val="minMax"/>
        </c:scaling>
        <c:delete val="0"/>
        <c:axPos val="b"/>
        <c:majorTickMark val="out"/>
        <c:minorTickMark val="none"/>
        <c:tickLblPos val="nextTo"/>
        <c:crossAx val="249624768"/>
        <c:crosses val="autoZero"/>
        <c:auto val="1"/>
        <c:lblAlgn val="ctr"/>
        <c:lblOffset val="100"/>
        <c:noMultiLvlLbl val="0"/>
      </c:catAx>
      <c:valAx>
        <c:axId val="249624768"/>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layout>
            <c:manualLayout>
              <c:xMode val="edge"/>
              <c:yMode val="edge"/>
              <c:x val="1.9157088122605363E-2"/>
              <c:y val="0.13969819810259568"/>
            </c:manualLayout>
          </c:layout>
          <c:overlay val="0"/>
        </c:title>
        <c:numFmt formatCode="General" sourceLinked="1"/>
        <c:majorTickMark val="out"/>
        <c:minorTickMark val="none"/>
        <c:tickLblPos val="nextTo"/>
        <c:crossAx val="247713792"/>
        <c:crosses val="autoZero"/>
        <c:crossBetween val="between"/>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Macro-Avoidance: Pelicans, Cormorants and Phalaropes</a:t>
            </a:r>
          </a:p>
        </c:rich>
      </c:tx>
      <c:overlay val="0"/>
    </c:title>
    <c:autoTitleDeleted val="0"/>
    <c:plotArea>
      <c:layout/>
      <c:barChart>
        <c:barDir val="col"/>
        <c:grouping val="clustered"/>
        <c:varyColors val="0"/>
        <c:ser>
          <c:idx val="0"/>
          <c:order val="0"/>
          <c:tx>
            <c:strRef>
              <c:f>MacroAvoid!$C$1</c:f>
              <c:strCache>
                <c:ptCount val="1"/>
                <c:pt idx="0">
                  <c:v>Macro-Avoidance</c:v>
                </c:pt>
              </c:strCache>
            </c:strRef>
          </c:tx>
          <c:spPr>
            <a:solidFill>
              <a:schemeClr val="accent6">
                <a:lumMod val="75000"/>
              </a:schemeClr>
            </a:solidFill>
          </c:spPr>
          <c:invertIfNegative val="0"/>
          <c:errBars>
            <c:errBarType val="both"/>
            <c:errValType val="cust"/>
            <c:noEndCap val="0"/>
            <c:plus>
              <c:numRef>
                <c:f>MacroAvoid!$G$36:$G$42</c:f>
                <c:numCache>
                  <c:formatCode>General</c:formatCode>
                  <c:ptCount val="7"/>
                  <c:pt idx="0">
                    <c:v>0.5</c:v>
                  </c:pt>
                  <c:pt idx="1">
                    <c:v>0.5</c:v>
                  </c:pt>
                  <c:pt idx="2">
                    <c:v>1.5</c:v>
                  </c:pt>
                  <c:pt idx="3">
                    <c:v>1.5</c:v>
                  </c:pt>
                  <c:pt idx="4">
                    <c:v>1.5</c:v>
                  </c:pt>
                  <c:pt idx="5">
                    <c:v>1.5</c:v>
                  </c:pt>
                  <c:pt idx="6">
                    <c:v>1.5</c:v>
                  </c:pt>
                </c:numCache>
              </c:numRef>
            </c:plus>
            <c:minus>
              <c:numRef>
                <c:f>MacroAvoid!$F$36:$F$42</c:f>
                <c:numCache>
                  <c:formatCode>General</c:formatCode>
                  <c:ptCount val="7"/>
                  <c:pt idx="0">
                    <c:v>0</c:v>
                  </c:pt>
                  <c:pt idx="1">
                    <c:v>0</c:v>
                  </c:pt>
                  <c:pt idx="2">
                    <c:v>1.5</c:v>
                  </c:pt>
                  <c:pt idx="3">
                    <c:v>1.5</c:v>
                  </c:pt>
                  <c:pt idx="4">
                    <c:v>1.5</c:v>
                  </c:pt>
                  <c:pt idx="5">
                    <c:v>1.5</c:v>
                  </c:pt>
                  <c:pt idx="6">
                    <c:v>1.5</c:v>
                  </c:pt>
                </c:numCache>
              </c:numRef>
            </c:minus>
          </c:errBars>
          <c:cat>
            <c:strRef>
              <c:f>MacroAvoid!$B$36:$B$42</c:f>
              <c:strCache>
                <c:ptCount val="7"/>
                <c:pt idx="0">
                  <c:v>Brown_Pelican</c:v>
                </c:pt>
                <c:pt idx="1">
                  <c:v>AmericanWhite_Pelican</c:v>
                </c:pt>
                <c:pt idx="2">
                  <c:v>Brandt's_Cormorant</c:v>
                </c:pt>
                <c:pt idx="3">
                  <c:v>DCCO</c:v>
                </c:pt>
                <c:pt idx="4">
                  <c:v>Pelagic_Cormorant</c:v>
                </c:pt>
                <c:pt idx="5">
                  <c:v>Red_Phalarope</c:v>
                </c:pt>
                <c:pt idx="6">
                  <c:v>Red-necked_Phalarope</c:v>
                </c:pt>
              </c:strCache>
            </c:strRef>
          </c:cat>
          <c:val>
            <c:numRef>
              <c:f>MacroAvoid!$C$36:$C$42</c:f>
              <c:numCache>
                <c:formatCode>General</c:formatCode>
                <c:ptCount val="7"/>
                <c:pt idx="0">
                  <c:v>1</c:v>
                </c:pt>
                <c:pt idx="1">
                  <c:v>1</c:v>
                </c:pt>
                <c:pt idx="2">
                  <c:v>3</c:v>
                </c:pt>
                <c:pt idx="3">
                  <c:v>3</c:v>
                </c:pt>
                <c:pt idx="4">
                  <c:v>3</c:v>
                </c:pt>
                <c:pt idx="5">
                  <c:v>3</c:v>
                </c:pt>
                <c:pt idx="6">
                  <c:v>3</c:v>
                </c:pt>
              </c:numCache>
            </c:numRef>
          </c:val>
        </c:ser>
        <c:dLbls>
          <c:showLegendKey val="0"/>
          <c:showVal val="0"/>
          <c:showCatName val="0"/>
          <c:showSerName val="0"/>
          <c:showPercent val="0"/>
          <c:showBubbleSize val="0"/>
        </c:dLbls>
        <c:gapWidth val="150"/>
        <c:axId val="247714304"/>
        <c:axId val="249848960"/>
      </c:barChart>
      <c:catAx>
        <c:axId val="247714304"/>
        <c:scaling>
          <c:orientation val="minMax"/>
        </c:scaling>
        <c:delete val="0"/>
        <c:axPos val="b"/>
        <c:majorTickMark val="out"/>
        <c:minorTickMark val="none"/>
        <c:tickLblPos val="nextTo"/>
        <c:crossAx val="249848960"/>
        <c:crosses val="autoZero"/>
        <c:auto val="1"/>
        <c:lblAlgn val="ctr"/>
        <c:lblOffset val="100"/>
        <c:noMultiLvlLbl val="0"/>
      </c:catAx>
      <c:valAx>
        <c:axId val="249848960"/>
        <c:scaling>
          <c:orientation val="minMax"/>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layout>
            <c:manualLayout>
              <c:xMode val="edge"/>
              <c:yMode val="edge"/>
              <c:x val="4.4657119721267236E-2"/>
              <c:y val="0.23743354187928381"/>
            </c:manualLayout>
          </c:layout>
          <c:overlay val="0"/>
        </c:title>
        <c:numFmt formatCode="General" sourceLinked="1"/>
        <c:majorTickMark val="out"/>
        <c:minorTickMark val="none"/>
        <c:tickLblPos val="nextTo"/>
        <c:crossAx val="247714304"/>
        <c:crosses val="autoZero"/>
        <c:crossBetween val="between"/>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Macro-Avoidance: Gulls,</a:t>
            </a:r>
            <a:r>
              <a:rPr lang="en-US" baseline="0"/>
              <a:t> Terns, Jaegers, and Skuas</a:t>
            </a:r>
            <a:endParaRPr lang="en-US"/>
          </a:p>
        </c:rich>
      </c:tx>
      <c:overlay val="0"/>
    </c:title>
    <c:autoTitleDeleted val="0"/>
    <c:plotArea>
      <c:layout/>
      <c:barChart>
        <c:barDir val="col"/>
        <c:grouping val="clustered"/>
        <c:varyColors val="0"/>
        <c:ser>
          <c:idx val="0"/>
          <c:order val="0"/>
          <c:tx>
            <c:strRef>
              <c:f>MacroAvoid!$C$1</c:f>
              <c:strCache>
                <c:ptCount val="1"/>
                <c:pt idx="0">
                  <c:v>Macro-Avoidance</c:v>
                </c:pt>
              </c:strCache>
            </c:strRef>
          </c:tx>
          <c:spPr>
            <a:solidFill>
              <a:schemeClr val="accent6">
                <a:lumMod val="75000"/>
              </a:schemeClr>
            </a:solidFill>
          </c:spPr>
          <c:invertIfNegative val="0"/>
          <c:errBars>
            <c:errBarType val="both"/>
            <c:errValType val="cust"/>
            <c:noEndCap val="0"/>
            <c:plus>
              <c:numRef>
                <c:f>MacroAvoid!$G$43:$G$66</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0</c:v>
                  </c:pt>
                  <c:pt idx="12">
                    <c:v>0</c:v>
                  </c:pt>
                  <c:pt idx="13">
                    <c:v>0</c:v>
                  </c:pt>
                  <c:pt idx="14">
                    <c:v>0</c:v>
                  </c:pt>
                  <c:pt idx="15">
                    <c:v>0</c:v>
                  </c:pt>
                  <c:pt idx="16">
                    <c:v>0</c:v>
                  </c:pt>
                  <c:pt idx="17">
                    <c:v>0</c:v>
                  </c:pt>
                  <c:pt idx="18">
                    <c:v>0</c:v>
                  </c:pt>
                  <c:pt idx="19">
                    <c:v>0</c:v>
                  </c:pt>
                  <c:pt idx="20">
                    <c:v>0.25</c:v>
                  </c:pt>
                  <c:pt idx="21">
                    <c:v>0.25</c:v>
                  </c:pt>
                  <c:pt idx="22">
                    <c:v>0.25</c:v>
                  </c:pt>
                  <c:pt idx="23">
                    <c:v>0.5</c:v>
                  </c:pt>
                </c:numCache>
              </c:numRef>
            </c:plus>
            <c:minus>
              <c:numRef>
                <c:f>MacroAvoid!$F$43:$F$66</c:f>
                <c:numCache>
                  <c:formatCode>General</c:formatCode>
                  <c:ptCount val="24"/>
                  <c:pt idx="0">
                    <c:v>2</c:v>
                  </c:pt>
                  <c:pt idx="1">
                    <c:v>2</c:v>
                  </c:pt>
                  <c:pt idx="2">
                    <c:v>2</c:v>
                  </c:pt>
                  <c:pt idx="3">
                    <c:v>2</c:v>
                  </c:pt>
                  <c:pt idx="4">
                    <c:v>2</c:v>
                  </c:pt>
                  <c:pt idx="5">
                    <c:v>2</c:v>
                  </c:pt>
                  <c:pt idx="6">
                    <c:v>2</c:v>
                  </c:pt>
                  <c:pt idx="7">
                    <c:v>2</c:v>
                  </c:pt>
                  <c:pt idx="8">
                    <c:v>2</c:v>
                  </c:pt>
                  <c:pt idx="9">
                    <c:v>2</c:v>
                  </c:pt>
                  <c:pt idx="10">
                    <c:v>2</c:v>
                  </c:pt>
                  <c:pt idx="11">
                    <c:v>2.5</c:v>
                  </c:pt>
                  <c:pt idx="12">
                    <c:v>2.5</c:v>
                  </c:pt>
                  <c:pt idx="13">
                    <c:v>2.5</c:v>
                  </c:pt>
                  <c:pt idx="14">
                    <c:v>2.5</c:v>
                  </c:pt>
                  <c:pt idx="15">
                    <c:v>2.5</c:v>
                  </c:pt>
                  <c:pt idx="16">
                    <c:v>2.5</c:v>
                  </c:pt>
                  <c:pt idx="17">
                    <c:v>2.5</c:v>
                  </c:pt>
                  <c:pt idx="18">
                    <c:v>2.5</c:v>
                  </c:pt>
                  <c:pt idx="19">
                    <c:v>2.5</c:v>
                  </c:pt>
                  <c:pt idx="20">
                    <c:v>0</c:v>
                  </c:pt>
                  <c:pt idx="21">
                    <c:v>0</c:v>
                  </c:pt>
                  <c:pt idx="22">
                    <c:v>0</c:v>
                  </c:pt>
                  <c:pt idx="23">
                    <c:v>0</c:v>
                  </c:pt>
                </c:numCache>
              </c:numRef>
            </c:minus>
          </c:errBars>
          <c:cat>
            <c:strRef>
              <c:f>MacroAvoid!$B$43:$B$66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MacroAvoid!$C$43:$C$66</c:f>
              <c:numCache>
                <c:formatCode>General</c:formatCode>
                <c:ptCount val="24"/>
                <c:pt idx="0">
                  <c:v>4</c:v>
                </c:pt>
                <c:pt idx="1">
                  <c:v>4</c:v>
                </c:pt>
                <c:pt idx="2">
                  <c:v>4</c:v>
                </c:pt>
                <c:pt idx="3">
                  <c:v>4</c:v>
                </c:pt>
                <c:pt idx="4">
                  <c:v>4</c:v>
                </c:pt>
                <c:pt idx="5">
                  <c:v>4</c:v>
                </c:pt>
                <c:pt idx="6">
                  <c:v>4</c:v>
                </c:pt>
                <c:pt idx="7">
                  <c:v>4</c:v>
                </c:pt>
                <c:pt idx="8">
                  <c:v>4</c:v>
                </c:pt>
                <c:pt idx="9">
                  <c:v>4</c:v>
                </c:pt>
                <c:pt idx="10">
                  <c:v>4</c:v>
                </c:pt>
                <c:pt idx="11">
                  <c:v>5</c:v>
                </c:pt>
                <c:pt idx="12">
                  <c:v>5</c:v>
                </c:pt>
                <c:pt idx="13">
                  <c:v>5</c:v>
                </c:pt>
                <c:pt idx="14">
                  <c:v>5</c:v>
                </c:pt>
                <c:pt idx="15">
                  <c:v>5</c:v>
                </c:pt>
                <c:pt idx="16">
                  <c:v>5</c:v>
                </c:pt>
                <c:pt idx="17">
                  <c:v>5</c:v>
                </c:pt>
                <c:pt idx="18">
                  <c:v>5</c:v>
                </c:pt>
                <c:pt idx="19">
                  <c:v>5</c:v>
                </c:pt>
                <c:pt idx="20">
                  <c:v>1</c:v>
                </c:pt>
                <c:pt idx="21">
                  <c:v>1</c:v>
                </c:pt>
                <c:pt idx="22">
                  <c:v>1</c:v>
                </c:pt>
                <c:pt idx="23">
                  <c:v>1</c:v>
                </c:pt>
              </c:numCache>
            </c:numRef>
          </c:val>
        </c:ser>
        <c:dLbls>
          <c:showLegendKey val="0"/>
          <c:showVal val="0"/>
          <c:showCatName val="0"/>
          <c:showSerName val="0"/>
          <c:showPercent val="0"/>
          <c:showBubbleSize val="0"/>
        </c:dLbls>
        <c:gapWidth val="150"/>
        <c:axId val="247715328"/>
        <c:axId val="249852416"/>
      </c:barChart>
      <c:catAx>
        <c:axId val="247715328"/>
        <c:scaling>
          <c:orientation val="minMax"/>
        </c:scaling>
        <c:delete val="0"/>
        <c:axPos val="b"/>
        <c:majorTickMark val="out"/>
        <c:minorTickMark val="none"/>
        <c:tickLblPos val="nextTo"/>
        <c:crossAx val="249852416"/>
        <c:crosses val="autoZero"/>
        <c:auto val="1"/>
        <c:lblAlgn val="ctr"/>
        <c:lblOffset val="100"/>
        <c:noMultiLvlLbl val="0"/>
      </c:catAx>
      <c:valAx>
        <c:axId val="249852416"/>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7715328"/>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Macro-Avoidance: Alcids</a:t>
            </a:r>
          </a:p>
        </c:rich>
      </c:tx>
      <c:overlay val="0"/>
    </c:title>
    <c:autoTitleDeleted val="0"/>
    <c:plotArea>
      <c:layout/>
      <c:barChart>
        <c:barDir val="col"/>
        <c:grouping val="clustered"/>
        <c:varyColors val="0"/>
        <c:ser>
          <c:idx val="0"/>
          <c:order val="0"/>
          <c:tx>
            <c:strRef>
              <c:f>MacroAvoid!$C$1</c:f>
              <c:strCache>
                <c:ptCount val="1"/>
                <c:pt idx="0">
                  <c:v>Macro-Avoidance</c:v>
                </c:pt>
              </c:strCache>
            </c:strRef>
          </c:tx>
          <c:spPr>
            <a:solidFill>
              <a:schemeClr val="accent6">
                <a:lumMod val="75000"/>
              </a:schemeClr>
            </a:solidFill>
          </c:spPr>
          <c:invertIfNegative val="0"/>
          <c:errBars>
            <c:errBarType val="both"/>
            <c:errValType val="cust"/>
            <c:noEndCap val="0"/>
            <c:plus>
              <c:numRef>
                <c:f>MacroAvoid!$G$67:$G$77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plus>
            <c:minus>
              <c:numRef>
                <c:f>MacroAvoid!$F$67:$F$77</c:f>
                <c:numCache>
                  <c:formatCode>General</c:formatCode>
                  <c:ptCount val="11"/>
                  <c:pt idx="0">
                    <c:v>1.25</c:v>
                  </c:pt>
                  <c:pt idx="1">
                    <c:v>1.25</c:v>
                  </c:pt>
                  <c:pt idx="2">
                    <c:v>1.25</c:v>
                  </c:pt>
                  <c:pt idx="3">
                    <c:v>1.25</c:v>
                  </c:pt>
                  <c:pt idx="4">
                    <c:v>0.5</c:v>
                  </c:pt>
                  <c:pt idx="5">
                    <c:v>1.25</c:v>
                  </c:pt>
                  <c:pt idx="6">
                    <c:v>1.25</c:v>
                  </c:pt>
                  <c:pt idx="7">
                    <c:v>1.25</c:v>
                  </c:pt>
                  <c:pt idx="8">
                    <c:v>2.5</c:v>
                  </c:pt>
                  <c:pt idx="9">
                    <c:v>1.25</c:v>
                  </c:pt>
                  <c:pt idx="10">
                    <c:v>1.25</c:v>
                  </c:pt>
                </c:numCache>
              </c:numRef>
            </c:minus>
          </c:errBars>
          <c:cat>
            <c:strRef>
              <c:f>MacroAvoid!$B$67:$B$77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MacroAvoid!$C$67:$C$77</c:f>
              <c:numCache>
                <c:formatCode>General</c:formatCode>
                <c:ptCount val="11"/>
                <c:pt idx="0">
                  <c:v>5</c:v>
                </c:pt>
                <c:pt idx="1">
                  <c:v>5</c:v>
                </c:pt>
                <c:pt idx="2">
                  <c:v>5</c:v>
                </c:pt>
                <c:pt idx="3">
                  <c:v>5</c:v>
                </c:pt>
                <c:pt idx="4">
                  <c:v>5</c:v>
                </c:pt>
                <c:pt idx="5">
                  <c:v>5</c:v>
                </c:pt>
                <c:pt idx="6">
                  <c:v>5</c:v>
                </c:pt>
                <c:pt idx="7">
                  <c:v>5</c:v>
                </c:pt>
                <c:pt idx="8">
                  <c:v>5</c:v>
                </c:pt>
                <c:pt idx="9">
                  <c:v>5</c:v>
                </c:pt>
                <c:pt idx="10">
                  <c:v>5</c:v>
                </c:pt>
              </c:numCache>
            </c:numRef>
          </c:val>
        </c:ser>
        <c:dLbls>
          <c:showLegendKey val="0"/>
          <c:showVal val="0"/>
          <c:showCatName val="0"/>
          <c:showSerName val="0"/>
          <c:showPercent val="0"/>
          <c:showBubbleSize val="0"/>
        </c:dLbls>
        <c:gapWidth val="150"/>
        <c:axId val="247715840"/>
        <c:axId val="249851264"/>
      </c:barChart>
      <c:catAx>
        <c:axId val="247715840"/>
        <c:scaling>
          <c:orientation val="minMax"/>
        </c:scaling>
        <c:delete val="0"/>
        <c:axPos val="b"/>
        <c:majorTickMark val="out"/>
        <c:minorTickMark val="none"/>
        <c:tickLblPos val="nextTo"/>
        <c:crossAx val="249851264"/>
        <c:crosses val="autoZero"/>
        <c:auto val="1"/>
        <c:lblAlgn val="ctr"/>
        <c:lblOffset val="100"/>
        <c:noMultiLvlLbl val="0"/>
      </c:catAx>
      <c:valAx>
        <c:axId val="249851264"/>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7715840"/>
        <c:crosses val="autoZero"/>
        <c:crossBetween val="between"/>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567845730957813E-2"/>
          <c:y val="2.2391637524866673E-2"/>
          <c:w val="0.79752026751014382"/>
          <c:h val="0.83237714986446898"/>
        </c:manualLayout>
      </c:layout>
      <c:barChart>
        <c:barDir val="col"/>
        <c:grouping val="clustered"/>
        <c:varyColors val="0"/>
        <c:ser>
          <c:idx val="0"/>
          <c:order val="0"/>
          <c:tx>
            <c:strRef>
              <c:f>Analysis1!$T$1</c:f>
              <c:strCache>
                <c:ptCount val="1"/>
                <c:pt idx="0">
                  <c:v>Collision</c:v>
                </c:pt>
              </c:strCache>
            </c:strRef>
          </c:tx>
          <c:invertIfNegative val="0"/>
          <c:errBars>
            <c:errBarType val="both"/>
            <c:errValType val="cust"/>
            <c:noEndCap val="0"/>
            <c:plus>
              <c:numRef>
                <c:f>Analysis1!$U$2:$U$15</c:f>
                <c:numCache>
                  <c:formatCode>General</c:formatCode>
                  <c:ptCount val="14"/>
                  <c:pt idx="0">
                    <c:v>1.419037232304589</c:v>
                  </c:pt>
                  <c:pt idx="1">
                    <c:v>0.80570879768478831</c:v>
                  </c:pt>
                  <c:pt idx="2">
                    <c:v>1.006479011206886</c:v>
                  </c:pt>
                  <c:pt idx="3">
                    <c:v>0.83864970836061237</c:v>
                  </c:pt>
                  <c:pt idx="4">
                    <c:v>0.847405002401588</c:v>
                  </c:pt>
                  <c:pt idx="5">
                    <c:v>1.4821156050277142</c:v>
                  </c:pt>
                  <c:pt idx="6">
                    <c:v>1.7776388834631167</c:v>
                  </c:pt>
                  <c:pt idx="7">
                    <c:v>0.45</c:v>
                  </c:pt>
                  <c:pt idx="8">
                    <c:v>0.10000000000000009</c:v>
                  </c:pt>
                  <c:pt idx="9">
                    <c:v>0.63639610306789296</c:v>
                  </c:pt>
                  <c:pt idx="10">
                    <c:v>1.1066739685775799</c:v>
                  </c:pt>
                  <c:pt idx="11">
                    <c:v>1.5602706317957844</c:v>
                  </c:pt>
                  <c:pt idx="12">
                    <c:v>1.5542951242712382</c:v>
                  </c:pt>
                  <c:pt idx="13">
                    <c:v>1.420755240900224</c:v>
                  </c:pt>
                </c:numCache>
              </c:numRef>
            </c:plus>
            <c:minus>
              <c:numRef>
                <c:f>Analysis1!$U$2:$U$15</c:f>
                <c:numCache>
                  <c:formatCode>General</c:formatCode>
                  <c:ptCount val="14"/>
                  <c:pt idx="0">
                    <c:v>1.419037232304589</c:v>
                  </c:pt>
                  <c:pt idx="1">
                    <c:v>0.80570879768478831</c:v>
                  </c:pt>
                  <c:pt idx="2">
                    <c:v>1.006479011206886</c:v>
                  </c:pt>
                  <c:pt idx="3">
                    <c:v>0.83864970836061237</c:v>
                  </c:pt>
                  <c:pt idx="4">
                    <c:v>0.847405002401588</c:v>
                  </c:pt>
                  <c:pt idx="5">
                    <c:v>1.4821156050277142</c:v>
                  </c:pt>
                  <c:pt idx="6">
                    <c:v>1.7776388834631167</c:v>
                  </c:pt>
                  <c:pt idx="7">
                    <c:v>0.45</c:v>
                  </c:pt>
                  <c:pt idx="8">
                    <c:v>0.10000000000000009</c:v>
                  </c:pt>
                  <c:pt idx="9">
                    <c:v>0.63639610306789296</c:v>
                  </c:pt>
                  <c:pt idx="10">
                    <c:v>1.1066739685775799</c:v>
                  </c:pt>
                  <c:pt idx="11">
                    <c:v>1.5602706317957844</c:v>
                  </c:pt>
                  <c:pt idx="12">
                    <c:v>1.5542951242712382</c:v>
                  </c:pt>
                  <c:pt idx="13">
                    <c:v>1.420755240900224</c:v>
                  </c:pt>
                </c:numCache>
              </c:numRef>
            </c:minus>
          </c:errBars>
          <c:cat>
            <c:strRef>
              <c:f>Analysis1!$S$2:$S$15</c:f>
              <c:strCache>
                <c:ptCount val="14"/>
                <c:pt idx="0">
                  <c:v>seaducks</c:v>
                </c:pt>
                <c:pt idx="1">
                  <c:v>loons</c:v>
                </c:pt>
                <c:pt idx="2">
                  <c:v>grebes</c:v>
                </c:pt>
                <c:pt idx="3">
                  <c:v>albatross</c:v>
                </c:pt>
                <c:pt idx="4">
                  <c:v>shearwaters</c:v>
                </c:pt>
                <c:pt idx="5">
                  <c:v>petrels</c:v>
                </c:pt>
                <c:pt idx="6">
                  <c:v>stormpetrels</c:v>
                </c:pt>
                <c:pt idx="7">
                  <c:v>pelicans</c:v>
                </c:pt>
                <c:pt idx="8">
                  <c:v>cormorants</c:v>
                </c:pt>
                <c:pt idx="9">
                  <c:v>phalarpoes</c:v>
                </c:pt>
                <c:pt idx="10">
                  <c:v>gulls</c:v>
                </c:pt>
                <c:pt idx="11">
                  <c:v>terns</c:v>
                </c:pt>
                <c:pt idx="12">
                  <c:v>jaegers and skuas</c:v>
                </c:pt>
                <c:pt idx="13">
                  <c:v>alcids</c:v>
                </c:pt>
              </c:strCache>
            </c:strRef>
          </c:cat>
          <c:val>
            <c:numRef>
              <c:f>Analysis1!$T$2:$T$15</c:f>
              <c:numCache>
                <c:formatCode>0.00</c:formatCode>
                <c:ptCount val="14"/>
                <c:pt idx="0">
                  <c:v>3.2166666666666663</c:v>
                </c:pt>
                <c:pt idx="1">
                  <c:v>1.675</c:v>
                </c:pt>
                <c:pt idx="2">
                  <c:v>5.6400000000000006</c:v>
                </c:pt>
                <c:pt idx="3">
                  <c:v>5.166666666666667</c:v>
                </c:pt>
                <c:pt idx="4">
                  <c:v>3.1857142857142864</c:v>
                </c:pt>
                <c:pt idx="5">
                  <c:v>3.15</c:v>
                </c:pt>
                <c:pt idx="6">
                  <c:v>3.8</c:v>
                </c:pt>
                <c:pt idx="7">
                  <c:v>9.5500000000000007</c:v>
                </c:pt>
                <c:pt idx="8">
                  <c:v>7.8000000000000007</c:v>
                </c:pt>
                <c:pt idx="9">
                  <c:v>4.75</c:v>
                </c:pt>
                <c:pt idx="10">
                  <c:v>7.5454545454545467</c:v>
                </c:pt>
                <c:pt idx="11">
                  <c:v>7.4222222222222234</c:v>
                </c:pt>
                <c:pt idx="12">
                  <c:v>7.5249999999999995</c:v>
                </c:pt>
                <c:pt idx="13">
                  <c:v>2.0363636363636366</c:v>
                </c:pt>
              </c:numCache>
            </c:numRef>
          </c:val>
        </c:ser>
        <c:ser>
          <c:idx val="1"/>
          <c:order val="1"/>
          <c:tx>
            <c:strRef>
              <c:f>Analysis1!$X$1</c:f>
              <c:strCache>
                <c:ptCount val="1"/>
                <c:pt idx="0">
                  <c:v>Displacement</c:v>
                </c:pt>
              </c:strCache>
            </c:strRef>
          </c:tx>
          <c:spPr>
            <a:solidFill>
              <a:schemeClr val="accent4">
                <a:lumMod val="75000"/>
              </a:schemeClr>
            </a:solidFill>
          </c:spPr>
          <c:invertIfNegative val="0"/>
          <c:errBars>
            <c:errBarType val="both"/>
            <c:errValType val="cust"/>
            <c:noEndCap val="0"/>
            <c:plus>
              <c:numRef>
                <c:f>Analysis1!$Y$2:$Y$15</c:f>
                <c:numCache>
                  <c:formatCode>General</c:formatCode>
                  <c:ptCount val="14"/>
                  <c:pt idx="0">
                    <c:v>3.2619012860600187</c:v>
                  </c:pt>
                  <c:pt idx="1">
                    <c:v>1.9510680835549259</c:v>
                  </c:pt>
                  <c:pt idx="2">
                    <c:v>1.1798304963002113</c:v>
                  </c:pt>
                  <c:pt idx="3">
                    <c:v>1.1357816691600544</c:v>
                  </c:pt>
                  <c:pt idx="4">
                    <c:v>1.5349887544182457</c:v>
                  </c:pt>
                  <c:pt idx="5">
                    <c:v>2.1313141485947136</c:v>
                  </c:pt>
                  <c:pt idx="6">
                    <c:v>2.3864199127563461</c:v>
                  </c:pt>
                  <c:pt idx="7">
                    <c:v>1.0606601717798212</c:v>
                  </c:pt>
                  <c:pt idx="8">
                    <c:v>0.69999999999999984</c:v>
                  </c:pt>
                  <c:pt idx="9">
                    <c:v>0.4949747468305834</c:v>
                  </c:pt>
                  <c:pt idx="10">
                    <c:v>1.4149847413247321</c:v>
                  </c:pt>
                  <c:pt idx="11">
                    <c:v>1.743161240709282</c:v>
                  </c:pt>
                  <c:pt idx="12">
                    <c:v>0.50990195135927863</c:v>
                  </c:pt>
                  <c:pt idx="13">
                    <c:v>2.5546036874630822</c:v>
                  </c:pt>
                </c:numCache>
              </c:numRef>
            </c:plus>
            <c:minus>
              <c:numRef>
                <c:f>Analysis1!$Y$2:$Y$15</c:f>
                <c:numCache>
                  <c:formatCode>General</c:formatCode>
                  <c:ptCount val="14"/>
                  <c:pt idx="0">
                    <c:v>3.2619012860600187</c:v>
                  </c:pt>
                  <c:pt idx="1">
                    <c:v>1.9510680835549259</c:v>
                  </c:pt>
                  <c:pt idx="2">
                    <c:v>1.1798304963002113</c:v>
                  </c:pt>
                  <c:pt idx="3">
                    <c:v>1.1357816691600544</c:v>
                  </c:pt>
                  <c:pt idx="4">
                    <c:v>1.5349887544182457</c:v>
                  </c:pt>
                  <c:pt idx="5">
                    <c:v>2.1313141485947136</c:v>
                  </c:pt>
                  <c:pt idx="6">
                    <c:v>2.3864199127563461</c:v>
                  </c:pt>
                  <c:pt idx="7">
                    <c:v>1.0606601717798212</c:v>
                  </c:pt>
                  <c:pt idx="8">
                    <c:v>0.69999999999999984</c:v>
                  </c:pt>
                  <c:pt idx="9">
                    <c:v>0.4949747468305834</c:v>
                  </c:pt>
                  <c:pt idx="10">
                    <c:v>1.4149847413247321</c:v>
                  </c:pt>
                  <c:pt idx="11">
                    <c:v>1.743161240709282</c:v>
                  </c:pt>
                  <c:pt idx="12">
                    <c:v>0.50990195135927863</c:v>
                  </c:pt>
                  <c:pt idx="13">
                    <c:v>2.5546036874630822</c:v>
                  </c:pt>
                </c:numCache>
              </c:numRef>
            </c:minus>
          </c:errBars>
          <c:val>
            <c:numRef>
              <c:f>Analysis1!$X$2:$X$15</c:f>
              <c:numCache>
                <c:formatCode>0.00</c:formatCode>
                <c:ptCount val="14"/>
                <c:pt idx="0">
                  <c:v>4.8</c:v>
                </c:pt>
                <c:pt idx="1">
                  <c:v>7.2999999999999989</c:v>
                </c:pt>
                <c:pt idx="2">
                  <c:v>7.08</c:v>
                </c:pt>
                <c:pt idx="3">
                  <c:v>4.7</c:v>
                </c:pt>
                <c:pt idx="4">
                  <c:v>4.4571428571428573</c:v>
                </c:pt>
                <c:pt idx="5">
                  <c:v>4.125</c:v>
                </c:pt>
                <c:pt idx="6">
                  <c:v>4.8999999999999995</c:v>
                </c:pt>
                <c:pt idx="7">
                  <c:v>5.25</c:v>
                </c:pt>
                <c:pt idx="8">
                  <c:v>7</c:v>
                </c:pt>
                <c:pt idx="9">
                  <c:v>3.5500000000000003</c:v>
                </c:pt>
                <c:pt idx="10">
                  <c:v>3.4272727272727268</c:v>
                </c:pt>
                <c:pt idx="11">
                  <c:v>7.5888888888888886</c:v>
                </c:pt>
                <c:pt idx="12">
                  <c:v>0.7</c:v>
                </c:pt>
                <c:pt idx="13">
                  <c:v>7.4</c:v>
                </c:pt>
              </c:numCache>
            </c:numRef>
          </c:val>
        </c:ser>
        <c:dLbls>
          <c:showLegendKey val="0"/>
          <c:showVal val="0"/>
          <c:showCatName val="0"/>
          <c:showSerName val="0"/>
          <c:showPercent val="0"/>
          <c:showBubbleSize val="0"/>
        </c:dLbls>
        <c:gapWidth val="150"/>
        <c:axId val="250412544"/>
        <c:axId val="249855296"/>
      </c:barChart>
      <c:catAx>
        <c:axId val="250412544"/>
        <c:scaling>
          <c:orientation val="minMax"/>
        </c:scaling>
        <c:delete val="0"/>
        <c:axPos val="b"/>
        <c:majorTickMark val="out"/>
        <c:minorTickMark val="none"/>
        <c:tickLblPos val="nextTo"/>
        <c:crossAx val="249855296"/>
        <c:crosses val="autoZero"/>
        <c:auto val="1"/>
        <c:lblAlgn val="ctr"/>
        <c:lblOffset val="100"/>
        <c:noMultiLvlLbl val="0"/>
      </c:catAx>
      <c:valAx>
        <c:axId val="249855296"/>
        <c:scaling>
          <c:orientation val="minMax"/>
          <c:max val="10"/>
        </c:scaling>
        <c:delete val="0"/>
        <c:axPos val="l"/>
        <c:title>
          <c:tx>
            <c:rich>
              <a:bodyPr rot="-5400000" vert="horz"/>
              <a:lstStyle/>
              <a:p>
                <a:pPr>
                  <a:defRPr/>
                </a:pPr>
                <a:r>
                  <a:rPr lang="en-US"/>
                  <a:t>Final Cumulative Scores</a:t>
                </a:r>
              </a:p>
            </c:rich>
          </c:tx>
          <c:overlay val="0"/>
        </c:title>
        <c:numFmt formatCode="0.00" sourceLinked="1"/>
        <c:majorTickMark val="out"/>
        <c:minorTickMark val="none"/>
        <c:tickLblPos val="nextTo"/>
        <c:crossAx val="250412544"/>
        <c:crosses val="autoZero"/>
        <c:crossBetween val="between"/>
      </c:valAx>
    </c:plotArea>
    <c:legend>
      <c:legendPos val="r"/>
      <c:layout>
        <c:manualLayout>
          <c:xMode val="edge"/>
          <c:yMode val="edge"/>
          <c:x val="0.88626551678085475"/>
          <c:y val="0.45923819811619981"/>
          <c:w val="0.10125878035801648"/>
          <c:h val="8.8763321048809421E-2"/>
        </c:manualLayout>
      </c:layout>
      <c:overlay val="0"/>
    </c:legend>
    <c:plotVisOnly val="1"/>
    <c:dispBlanksAs val="gap"/>
    <c:showDLblsOverMax val="0"/>
  </c:char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Analysis1!$M$1</c:f>
              <c:strCache>
                <c:ptCount val="1"/>
                <c:pt idx="0">
                  <c:v>Population sensitivity</c:v>
                </c:pt>
              </c:strCache>
            </c:strRef>
          </c:tx>
          <c:marker>
            <c:symbol val="none"/>
          </c:marker>
          <c:cat>
            <c:strRef>
              <c:f>'Population Vulnerability'!$D$4:$D$79</c:f>
              <c:strCache>
                <c:ptCount val="76"/>
                <c:pt idx="0">
                  <c:v>BLSC</c:v>
                </c:pt>
                <c:pt idx="1">
                  <c:v>SUSC</c:v>
                </c:pt>
                <c:pt idx="2">
                  <c:v>WWSC</c:v>
                </c:pt>
                <c:pt idx="3">
                  <c:v>BRAN</c:v>
                </c:pt>
                <c:pt idx="4">
                  <c:v>COME</c:v>
                </c:pt>
                <c:pt idx="5">
                  <c:v>RBME</c:v>
                </c:pt>
                <c:pt idx="6">
                  <c:v>COLO</c:v>
                </c:pt>
                <c:pt idx="7">
                  <c:v>PALO</c:v>
                </c:pt>
                <c:pt idx="8">
                  <c:v>RTLO</c:v>
                </c:pt>
                <c:pt idx="9">
                  <c:v>YBLO</c:v>
                </c:pt>
                <c:pt idx="10">
                  <c:v>CLGR</c:v>
                </c:pt>
                <c:pt idx="11">
                  <c:v>WEGR</c:v>
                </c:pt>
                <c:pt idx="12">
                  <c:v>EAGR</c:v>
                </c:pt>
                <c:pt idx="13">
                  <c:v>HOGR</c:v>
                </c:pt>
                <c:pt idx="14">
                  <c:v>RNGR</c:v>
                </c:pt>
                <c:pt idx="15">
                  <c:v>BFAL</c:v>
                </c:pt>
                <c:pt idx="16">
                  <c:v>LAAL</c:v>
                </c:pt>
                <c:pt idx="17">
                  <c:v>STAL</c:v>
                </c:pt>
                <c:pt idx="18">
                  <c:v>BULS</c:v>
                </c:pt>
                <c:pt idx="19">
                  <c:v>MASH</c:v>
                </c:pt>
                <c:pt idx="20">
                  <c:v>PFSH</c:v>
                </c:pt>
                <c:pt idx="21">
                  <c:v>FFSH</c:v>
                </c:pt>
                <c:pt idx="22">
                  <c:v>SRTS</c:v>
                </c:pt>
                <c:pt idx="23">
                  <c:v>SOSH</c:v>
                </c:pt>
                <c:pt idx="24">
                  <c:v>BVSH</c:v>
                </c:pt>
                <c:pt idx="25">
                  <c:v>NOFU</c:v>
                </c:pt>
                <c:pt idx="26">
                  <c:v>HAPE</c:v>
                </c:pt>
                <c:pt idx="27">
                  <c:v>COPE</c:v>
                </c:pt>
                <c:pt idx="28">
                  <c:v>MOPE</c:v>
                </c:pt>
                <c:pt idx="29">
                  <c:v>ASSP</c:v>
                </c:pt>
                <c:pt idx="30">
                  <c:v>BLSP</c:v>
                </c:pt>
                <c:pt idx="31">
                  <c:v>FTSP</c:v>
                </c:pt>
                <c:pt idx="32">
                  <c:v>LESP</c:v>
                </c:pt>
                <c:pt idx="33">
                  <c:v>WISP</c:v>
                </c:pt>
                <c:pt idx="34">
                  <c:v>BRPE</c:v>
                </c:pt>
                <c:pt idx="35">
                  <c:v>WIPE</c:v>
                </c:pt>
                <c:pt idx="36">
                  <c:v>BRAC</c:v>
                </c:pt>
                <c:pt idx="37">
                  <c:v>DCCP</c:v>
                </c:pt>
                <c:pt idx="38">
                  <c:v>PECO</c:v>
                </c:pt>
                <c:pt idx="39">
                  <c:v>REPH</c:v>
                </c:pt>
                <c:pt idx="40">
                  <c:v>RNPH</c:v>
                </c:pt>
                <c:pt idx="41">
                  <c:v>BLKI</c:v>
                </c:pt>
                <c:pt idx="42">
                  <c:v>BOGU</c:v>
                </c:pt>
                <c:pt idx="43">
                  <c:v>SAGU</c:v>
                </c:pt>
                <c:pt idx="44">
                  <c:v>CAGU</c:v>
                </c:pt>
                <c:pt idx="45">
                  <c:v>HEEG</c:v>
                </c:pt>
                <c:pt idx="46">
                  <c:v>MEGU</c:v>
                </c:pt>
                <c:pt idx="47">
                  <c:v>RBGU</c:v>
                </c:pt>
                <c:pt idx="48">
                  <c:v>HERG</c:v>
                </c:pt>
                <c:pt idx="49">
                  <c:v>THGU</c:v>
                </c:pt>
                <c:pt idx="50">
                  <c:v>GWGU</c:v>
                </c:pt>
                <c:pt idx="51">
                  <c:v>WEGU</c:v>
                </c:pt>
                <c:pt idx="52">
                  <c:v>CATE</c:v>
                </c:pt>
                <c:pt idx="53">
                  <c:v>ARTE</c:v>
                </c:pt>
                <c:pt idx="54">
                  <c:v>COTE</c:v>
                </c:pt>
                <c:pt idx="55">
                  <c:v>ELTE</c:v>
                </c:pt>
                <c:pt idx="56">
                  <c:v>ROTE</c:v>
                </c:pt>
                <c:pt idx="57">
                  <c:v>FOTE</c:v>
                </c:pt>
                <c:pt idx="58">
                  <c:v>LETE</c:v>
                </c:pt>
                <c:pt idx="59">
                  <c:v>GBTE</c:v>
                </c:pt>
                <c:pt idx="60">
                  <c:v>BLSK</c:v>
                </c:pt>
                <c:pt idx="61">
                  <c:v>LTJA</c:v>
                </c:pt>
                <c:pt idx="62">
                  <c:v>PAJA</c:v>
                </c:pt>
                <c:pt idx="63">
                  <c:v>POJA</c:v>
                </c:pt>
                <c:pt idx="64">
                  <c:v>SPSK</c:v>
                </c:pt>
                <c:pt idx="65">
                  <c:v>ANMU</c:v>
                </c:pt>
                <c:pt idx="66">
                  <c:v>MOMU</c:v>
                </c:pt>
                <c:pt idx="67">
                  <c:v>XAMU</c:v>
                </c:pt>
                <c:pt idx="68">
                  <c:v>CRMU</c:v>
                </c:pt>
                <c:pt idx="69">
                  <c:v>COMU</c:v>
                </c:pt>
                <c:pt idx="70">
                  <c:v>PIGU</c:v>
                </c:pt>
                <c:pt idx="71">
                  <c:v>TUPU</c:v>
                </c:pt>
                <c:pt idx="72">
                  <c:v>HOPU</c:v>
                </c:pt>
                <c:pt idx="73">
                  <c:v>RHAU</c:v>
                </c:pt>
                <c:pt idx="74">
                  <c:v>PAAU</c:v>
                </c:pt>
                <c:pt idx="75">
                  <c:v>CAAU</c:v>
                </c:pt>
              </c:strCache>
            </c:strRef>
          </c:cat>
          <c:val>
            <c:numRef>
              <c:f>Analysis1!$M$2:$M$77</c:f>
              <c:numCache>
                <c:formatCode>0.0</c:formatCode>
                <c:ptCount val="76"/>
                <c:pt idx="0">
                  <c:v>2.25</c:v>
                </c:pt>
                <c:pt idx="1">
                  <c:v>2.3125</c:v>
                </c:pt>
                <c:pt idx="2">
                  <c:v>1.8125</c:v>
                </c:pt>
                <c:pt idx="3">
                  <c:v>2.75</c:v>
                </c:pt>
                <c:pt idx="4">
                  <c:v>1.3125</c:v>
                </c:pt>
                <c:pt idx="5">
                  <c:v>1.8125</c:v>
                </c:pt>
                <c:pt idx="6">
                  <c:v>3.5</c:v>
                </c:pt>
                <c:pt idx="7">
                  <c:v>2.5625</c:v>
                </c:pt>
                <c:pt idx="8">
                  <c:v>2.8125</c:v>
                </c:pt>
                <c:pt idx="9">
                  <c:v>3.75</c:v>
                </c:pt>
                <c:pt idx="10">
                  <c:v>2.75</c:v>
                </c:pt>
                <c:pt idx="11">
                  <c:v>2.75</c:v>
                </c:pt>
                <c:pt idx="12">
                  <c:v>1.3125</c:v>
                </c:pt>
                <c:pt idx="13">
                  <c:v>2</c:v>
                </c:pt>
                <c:pt idx="14">
                  <c:v>3</c:v>
                </c:pt>
                <c:pt idx="15">
                  <c:v>3.75</c:v>
                </c:pt>
                <c:pt idx="16">
                  <c:v>2.75</c:v>
                </c:pt>
                <c:pt idx="17">
                  <c:v>4.25</c:v>
                </c:pt>
                <c:pt idx="18">
                  <c:v>3</c:v>
                </c:pt>
                <c:pt idx="19">
                  <c:v>2.5625</c:v>
                </c:pt>
                <c:pt idx="20">
                  <c:v>4</c:v>
                </c:pt>
                <c:pt idx="21">
                  <c:v>3</c:v>
                </c:pt>
                <c:pt idx="22">
                  <c:v>2.0625</c:v>
                </c:pt>
                <c:pt idx="23">
                  <c:v>2.75</c:v>
                </c:pt>
                <c:pt idx="24">
                  <c:v>3.75</c:v>
                </c:pt>
                <c:pt idx="25">
                  <c:v>2.3125</c:v>
                </c:pt>
                <c:pt idx="26">
                  <c:v>4</c:v>
                </c:pt>
                <c:pt idx="27">
                  <c:v>3.75</c:v>
                </c:pt>
                <c:pt idx="28">
                  <c:v>2.75</c:v>
                </c:pt>
                <c:pt idx="29">
                  <c:v>4.5</c:v>
                </c:pt>
                <c:pt idx="30">
                  <c:v>3.25</c:v>
                </c:pt>
                <c:pt idx="31">
                  <c:v>2.125</c:v>
                </c:pt>
                <c:pt idx="32">
                  <c:v>2.25</c:v>
                </c:pt>
                <c:pt idx="33">
                  <c:v>1.8125</c:v>
                </c:pt>
                <c:pt idx="34">
                  <c:v>4.25</c:v>
                </c:pt>
                <c:pt idx="35">
                  <c:v>3.75</c:v>
                </c:pt>
                <c:pt idx="36">
                  <c:v>3.5</c:v>
                </c:pt>
                <c:pt idx="37">
                  <c:v>2.3125</c:v>
                </c:pt>
                <c:pt idx="38">
                  <c:v>3.25</c:v>
                </c:pt>
                <c:pt idx="39">
                  <c:v>2.0625</c:v>
                </c:pt>
                <c:pt idx="40">
                  <c:v>1.8125</c:v>
                </c:pt>
                <c:pt idx="41">
                  <c:v>2.0625</c:v>
                </c:pt>
                <c:pt idx="42">
                  <c:v>3.0625</c:v>
                </c:pt>
                <c:pt idx="43">
                  <c:v>2.3125</c:v>
                </c:pt>
                <c:pt idx="44">
                  <c:v>2.75</c:v>
                </c:pt>
                <c:pt idx="45">
                  <c:v>3</c:v>
                </c:pt>
                <c:pt idx="46">
                  <c:v>1.5625</c:v>
                </c:pt>
                <c:pt idx="47">
                  <c:v>2.0625</c:v>
                </c:pt>
                <c:pt idx="48">
                  <c:v>1.8125</c:v>
                </c:pt>
                <c:pt idx="49">
                  <c:v>2.8125</c:v>
                </c:pt>
                <c:pt idx="50">
                  <c:v>2.3125</c:v>
                </c:pt>
                <c:pt idx="51">
                  <c:v>3.0625</c:v>
                </c:pt>
                <c:pt idx="52">
                  <c:v>3.25</c:v>
                </c:pt>
                <c:pt idx="53">
                  <c:v>2.5</c:v>
                </c:pt>
                <c:pt idx="54">
                  <c:v>2.25</c:v>
                </c:pt>
                <c:pt idx="55">
                  <c:v>4</c:v>
                </c:pt>
                <c:pt idx="56">
                  <c:v>2.75</c:v>
                </c:pt>
                <c:pt idx="57">
                  <c:v>2.8125</c:v>
                </c:pt>
                <c:pt idx="58">
                  <c:v>4</c:v>
                </c:pt>
                <c:pt idx="59">
                  <c:v>2.5625</c:v>
                </c:pt>
                <c:pt idx="60">
                  <c:v>3.5</c:v>
                </c:pt>
                <c:pt idx="61">
                  <c:v>1.8125</c:v>
                </c:pt>
                <c:pt idx="62">
                  <c:v>1.8125</c:v>
                </c:pt>
                <c:pt idx="63">
                  <c:v>2.0625</c:v>
                </c:pt>
                <c:pt idx="64">
                  <c:v>3.3125</c:v>
                </c:pt>
                <c:pt idx="65">
                  <c:v>2.5</c:v>
                </c:pt>
                <c:pt idx="66">
                  <c:v>3.5</c:v>
                </c:pt>
                <c:pt idx="67">
                  <c:v>3.75</c:v>
                </c:pt>
                <c:pt idx="68">
                  <c:v>3.5</c:v>
                </c:pt>
                <c:pt idx="69">
                  <c:v>2.75</c:v>
                </c:pt>
                <c:pt idx="70">
                  <c:v>3</c:v>
                </c:pt>
                <c:pt idx="71">
                  <c:v>3.25</c:v>
                </c:pt>
                <c:pt idx="72">
                  <c:v>2.5</c:v>
                </c:pt>
                <c:pt idx="73">
                  <c:v>3</c:v>
                </c:pt>
                <c:pt idx="74">
                  <c:v>2.0625</c:v>
                </c:pt>
                <c:pt idx="75">
                  <c:v>2.5</c:v>
                </c:pt>
              </c:numCache>
            </c:numRef>
          </c:val>
        </c:ser>
        <c:dLbls>
          <c:showLegendKey val="0"/>
          <c:showVal val="0"/>
          <c:showCatName val="0"/>
          <c:showSerName val="0"/>
          <c:showPercent val="0"/>
          <c:showBubbleSize val="0"/>
        </c:dLbls>
        <c:axId val="250613760"/>
        <c:axId val="251283136"/>
      </c:radarChart>
      <c:catAx>
        <c:axId val="250613760"/>
        <c:scaling>
          <c:orientation val="minMax"/>
        </c:scaling>
        <c:delete val="0"/>
        <c:axPos val="b"/>
        <c:majorGridlines/>
        <c:majorTickMark val="none"/>
        <c:minorTickMark val="none"/>
        <c:tickLblPos val="nextTo"/>
        <c:spPr>
          <a:ln w="9525">
            <a:noFill/>
          </a:ln>
        </c:spPr>
        <c:crossAx val="251283136"/>
        <c:crosses val="autoZero"/>
        <c:auto val="1"/>
        <c:lblAlgn val="ctr"/>
        <c:lblOffset val="100"/>
        <c:noMultiLvlLbl val="0"/>
      </c:catAx>
      <c:valAx>
        <c:axId val="251283136"/>
        <c:scaling>
          <c:orientation val="minMax"/>
        </c:scaling>
        <c:delete val="0"/>
        <c:axPos val="l"/>
        <c:majorGridlines/>
        <c:numFmt formatCode="0.0" sourceLinked="1"/>
        <c:majorTickMark val="none"/>
        <c:minorTickMark val="none"/>
        <c:tickLblPos val="nextTo"/>
        <c:crossAx val="250613760"/>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sz="1400" b="1" i="0" baseline="0">
                <a:effectLst/>
              </a:rPr>
              <a:t>Final Ranking Score: Pelicans, Cormorants and Phalaropes</a:t>
            </a:r>
            <a:endParaRPr lang="en-US" sz="1400">
              <a:effectLst/>
            </a:endParaRPr>
          </a:p>
        </c:rich>
      </c:tx>
      <c:overlay val="0"/>
    </c:title>
    <c:autoTitleDeleted val="0"/>
    <c:plotArea>
      <c:layout/>
      <c:barChart>
        <c:barDir val="col"/>
        <c:grouping val="clustered"/>
        <c:varyColors val="0"/>
        <c:ser>
          <c:idx val="0"/>
          <c:order val="0"/>
          <c:tx>
            <c:strRef>
              <c:f>Analysis1!$C$1</c:f>
              <c:strCache>
                <c:ptCount val="1"/>
                <c:pt idx="0">
                  <c:v>Collision</c:v>
                </c:pt>
              </c:strCache>
            </c:strRef>
          </c:tx>
          <c:invertIfNegative val="0"/>
          <c:errBars>
            <c:errBarType val="both"/>
            <c:errValType val="cust"/>
            <c:noEndCap val="0"/>
            <c:plus>
              <c:numRef>
                <c:f>Analysis1!$G$36:$G$42</c:f>
                <c:numCache>
                  <c:formatCode>General</c:formatCode>
                  <c:ptCount val="7"/>
                  <c:pt idx="0">
                    <c:v>0</c:v>
                  </c:pt>
                  <c:pt idx="1">
                    <c:v>0.59999999999999964</c:v>
                  </c:pt>
                  <c:pt idx="2">
                    <c:v>1.4000000000000004</c:v>
                  </c:pt>
                  <c:pt idx="3">
                    <c:v>0.69999999999999929</c:v>
                  </c:pt>
                  <c:pt idx="4">
                    <c:v>1.6000000000000005</c:v>
                  </c:pt>
                  <c:pt idx="5">
                    <c:v>2.5</c:v>
                  </c:pt>
                  <c:pt idx="6">
                    <c:v>2.8999999999999995</c:v>
                  </c:pt>
                </c:numCache>
              </c:numRef>
            </c:plus>
            <c:minus>
              <c:numRef>
                <c:f>Analysis1!$E$36:$E$42</c:f>
                <c:numCache>
                  <c:formatCode>General</c:formatCode>
                  <c:ptCount val="7"/>
                  <c:pt idx="0">
                    <c:v>0.90000000000000036</c:v>
                  </c:pt>
                  <c:pt idx="1">
                    <c:v>1.6000000000000014</c:v>
                  </c:pt>
                  <c:pt idx="2">
                    <c:v>1.5</c:v>
                  </c:pt>
                  <c:pt idx="3">
                    <c:v>0</c:v>
                  </c:pt>
                  <c:pt idx="4">
                    <c:v>1.8000000000000007</c:v>
                  </c:pt>
                  <c:pt idx="5">
                    <c:v>3</c:v>
                  </c:pt>
                  <c:pt idx="6">
                    <c:v>2.6999999999999997</c:v>
                  </c:pt>
                </c:numCache>
              </c:numRef>
            </c:minus>
          </c:errBars>
          <c:cat>
            <c:strRef>
              <c:f>Analysis1!$B$36:$B$42</c:f>
              <c:strCache>
                <c:ptCount val="7"/>
                <c:pt idx="0">
                  <c:v>Brown_Pelican</c:v>
                </c:pt>
                <c:pt idx="1">
                  <c:v>American_White_Pelican</c:v>
                </c:pt>
                <c:pt idx="2">
                  <c:v>Brandt's_Cormorant</c:v>
                </c:pt>
                <c:pt idx="3">
                  <c:v>Double-crested_Cormorant</c:v>
                </c:pt>
                <c:pt idx="4">
                  <c:v>Pelagic_Cormorant</c:v>
                </c:pt>
                <c:pt idx="5">
                  <c:v>Red_Phalarope</c:v>
                </c:pt>
                <c:pt idx="6">
                  <c:v>Red-necked_Phalarope</c:v>
                </c:pt>
              </c:strCache>
            </c:strRef>
          </c:cat>
          <c:val>
            <c:numRef>
              <c:f>Analysis1!$C$36:$C$42</c:f>
              <c:numCache>
                <c:formatCode>General</c:formatCode>
                <c:ptCount val="7"/>
                <c:pt idx="0">
                  <c:v>9.9</c:v>
                </c:pt>
                <c:pt idx="1">
                  <c:v>9.2000000000000011</c:v>
                </c:pt>
                <c:pt idx="2">
                  <c:v>7.9</c:v>
                </c:pt>
                <c:pt idx="3">
                  <c:v>7.8000000000000007</c:v>
                </c:pt>
                <c:pt idx="4">
                  <c:v>7.7</c:v>
                </c:pt>
                <c:pt idx="5">
                  <c:v>5.2</c:v>
                </c:pt>
                <c:pt idx="6">
                  <c:v>4.3</c:v>
                </c:pt>
              </c:numCache>
            </c:numRef>
          </c:val>
        </c:ser>
        <c:ser>
          <c:idx val="1"/>
          <c:order val="1"/>
          <c:tx>
            <c:strRef>
              <c:f>Analysis1!$H$1</c:f>
              <c:strCache>
                <c:ptCount val="1"/>
                <c:pt idx="0">
                  <c:v>Displacement</c:v>
                </c:pt>
              </c:strCache>
            </c:strRef>
          </c:tx>
          <c:invertIfNegative val="0"/>
          <c:errBars>
            <c:errBarType val="both"/>
            <c:errValType val="cust"/>
            <c:noEndCap val="0"/>
            <c:plus>
              <c:numRef>
                <c:f>Analysis1!$K$36:$K$42</c:f>
                <c:numCache>
                  <c:formatCode>General</c:formatCode>
                  <c:ptCount val="7"/>
                  <c:pt idx="0">
                    <c:v>2</c:v>
                  </c:pt>
                  <c:pt idx="1">
                    <c:v>2.5999999999999996</c:v>
                  </c:pt>
                  <c:pt idx="2">
                    <c:v>1.0999999999999996</c:v>
                  </c:pt>
                  <c:pt idx="3">
                    <c:v>1.7999999999999998</c:v>
                  </c:pt>
                  <c:pt idx="4">
                    <c:v>1.2999999999999998</c:v>
                  </c:pt>
                  <c:pt idx="5">
                    <c:v>2.2999999999999998</c:v>
                  </c:pt>
                  <c:pt idx="6">
                    <c:v>2.8</c:v>
                  </c:pt>
                </c:numCache>
              </c:numRef>
            </c:plus>
            <c:minus>
              <c:numRef>
                <c:f>Analysis1!$I$36:$I$42</c:f>
                <c:numCache>
                  <c:formatCode>General</c:formatCode>
                  <c:ptCount val="7"/>
                  <c:pt idx="0">
                    <c:v>3.1</c:v>
                  </c:pt>
                  <c:pt idx="1">
                    <c:v>2.8</c:v>
                  </c:pt>
                  <c:pt idx="2">
                    <c:v>2.5</c:v>
                  </c:pt>
                  <c:pt idx="3">
                    <c:v>3.2</c:v>
                  </c:pt>
                  <c:pt idx="4">
                    <c:v>2.8</c:v>
                  </c:pt>
                  <c:pt idx="5">
                    <c:v>2.8000000000000003</c:v>
                  </c:pt>
                  <c:pt idx="6">
                    <c:v>2.4000000000000004</c:v>
                  </c:pt>
                </c:numCache>
              </c:numRef>
            </c:minus>
          </c:errBars>
          <c:cat>
            <c:strRef>
              <c:f>Analysis1!$B$36:$B$42</c:f>
              <c:strCache>
                <c:ptCount val="7"/>
                <c:pt idx="0">
                  <c:v>Brown_Pelican</c:v>
                </c:pt>
                <c:pt idx="1">
                  <c:v>American_White_Pelican</c:v>
                </c:pt>
                <c:pt idx="2">
                  <c:v>Brandt's_Cormorant</c:v>
                </c:pt>
                <c:pt idx="3">
                  <c:v>Double-crested_Cormorant</c:v>
                </c:pt>
                <c:pt idx="4">
                  <c:v>Pelagic_Cormorant</c:v>
                </c:pt>
                <c:pt idx="5">
                  <c:v>Red_Phalarope</c:v>
                </c:pt>
                <c:pt idx="6">
                  <c:v>Red-necked_Phalarope</c:v>
                </c:pt>
              </c:strCache>
            </c:strRef>
          </c:cat>
          <c:val>
            <c:numRef>
              <c:f>Analysis1!$H$36:$H$42</c:f>
              <c:numCache>
                <c:formatCode>General</c:formatCode>
                <c:ptCount val="7"/>
                <c:pt idx="0">
                  <c:v>6</c:v>
                </c:pt>
                <c:pt idx="1">
                  <c:v>4.5</c:v>
                </c:pt>
                <c:pt idx="2">
                  <c:v>7.5</c:v>
                </c:pt>
                <c:pt idx="3">
                  <c:v>6.2</c:v>
                </c:pt>
                <c:pt idx="4">
                  <c:v>7.3</c:v>
                </c:pt>
                <c:pt idx="5">
                  <c:v>3.9000000000000004</c:v>
                </c:pt>
                <c:pt idx="6">
                  <c:v>3.2</c:v>
                </c:pt>
              </c:numCache>
            </c:numRef>
          </c:val>
        </c:ser>
        <c:dLbls>
          <c:showLegendKey val="0"/>
          <c:showVal val="0"/>
          <c:showCatName val="0"/>
          <c:showSerName val="0"/>
          <c:showPercent val="0"/>
          <c:showBubbleSize val="0"/>
        </c:dLbls>
        <c:gapWidth val="150"/>
        <c:axId val="246763008"/>
        <c:axId val="245682112"/>
      </c:barChart>
      <c:catAx>
        <c:axId val="246763008"/>
        <c:scaling>
          <c:orientation val="minMax"/>
        </c:scaling>
        <c:delete val="0"/>
        <c:axPos val="b"/>
        <c:majorTickMark val="out"/>
        <c:minorTickMark val="none"/>
        <c:tickLblPos val="nextTo"/>
        <c:crossAx val="245682112"/>
        <c:crosses val="autoZero"/>
        <c:auto val="1"/>
        <c:lblAlgn val="ctr"/>
        <c:lblOffset val="100"/>
        <c:noMultiLvlLbl val="0"/>
      </c:catAx>
      <c:valAx>
        <c:axId val="245682112"/>
        <c:scaling>
          <c:orientation val="minMax"/>
          <c:max val="10"/>
        </c:scaling>
        <c:delete val="0"/>
        <c:axPos val="l"/>
        <c:numFmt formatCode="General" sourceLinked="1"/>
        <c:majorTickMark val="out"/>
        <c:minorTickMark val="none"/>
        <c:tickLblPos val="nextTo"/>
        <c:crossAx val="246763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1"/>
          <c:order val="0"/>
          <c:tx>
            <c:strRef>
              <c:f>Analysis1!$C$1</c:f>
              <c:strCache>
                <c:ptCount val="1"/>
                <c:pt idx="0">
                  <c:v>Collision</c:v>
                </c:pt>
              </c:strCache>
            </c:strRef>
          </c:tx>
          <c:marker>
            <c:symbol val="none"/>
          </c:marker>
          <c:cat>
            <c:strRef>
              <c:f>'Population Vulnerability'!$D$4:$D$79</c:f>
              <c:strCache>
                <c:ptCount val="76"/>
                <c:pt idx="0">
                  <c:v>BLSC</c:v>
                </c:pt>
                <c:pt idx="1">
                  <c:v>SUSC</c:v>
                </c:pt>
                <c:pt idx="2">
                  <c:v>WWSC</c:v>
                </c:pt>
                <c:pt idx="3">
                  <c:v>BRAN</c:v>
                </c:pt>
                <c:pt idx="4">
                  <c:v>COME</c:v>
                </c:pt>
                <c:pt idx="5">
                  <c:v>RBME</c:v>
                </c:pt>
                <c:pt idx="6">
                  <c:v>COLO</c:v>
                </c:pt>
                <c:pt idx="7">
                  <c:v>PALO</c:v>
                </c:pt>
                <c:pt idx="8">
                  <c:v>RTLO</c:v>
                </c:pt>
                <c:pt idx="9">
                  <c:v>YBLO</c:v>
                </c:pt>
                <c:pt idx="10">
                  <c:v>CLGR</c:v>
                </c:pt>
                <c:pt idx="11">
                  <c:v>WEGR</c:v>
                </c:pt>
                <c:pt idx="12">
                  <c:v>EAGR</c:v>
                </c:pt>
                <c:pt idx="13">
                  <c:v>HOGR</c:v>
                </c:pt>
                <c:pt idx="14">
                  <c:v>RNGR</c:v>
                </c:pt>
                <c:pt idx="15">
                  <c:v>BFAL</c:v>
                </c:pt>
                <c:pt idx="16">
                  <c:v>LAAL</c:v>
                </c:pt>
                <c:pt idx="17">
                  <c:v>STAL</c:v>
                </c:pt>
                <c:pt idx="18">
                  <c:v>BULS</c:v>
                </c:pt>
                <c:pt idx="19">
                  <c:v>MASH</c:v>
                </c:pt>
                <c:pt idx="20">
                  <c:v>PFSH</c:v>
                </c:pt>
                <c:pt idx="21">
                  <c:v>FFSH</c:v>
                </c:pt>
                <c:pt idx="22">
                  <c:v>SRTS</c:v>
                </c:pt>
                <c:pt idx="23">
                  <c:v>SOSH</c:v>
                </c:pt>
                <c:pt idx="24">
                  <c:v>BVSH</c:v>
                </c:pt>
                <c:pt idx="25">
                  <c:v>NOFU</c:v>
                </c:pt>
                <c:pt idx="26">
                  <c:v>HAPE</c:v>
                </c:pt>
                <c:pt idx="27">
                  <c:v>COPE</c:v>
                </c:pt>
                <c:pt idx="28">
                  <c:v>MOPE</c:v>
                </c:pt>
                <c:pt idx="29">
                  <c:v>ASSP</c:v>
                </c:pt>
                <c:pt idx="30">
                  <c:v>BLSP</c:v>
                </c:pt>
                <c:pt idx="31">
                  <c:v>FTSP</c:v>
                </c:pt>
                <c:pt idx="32">
                  <c:v>LESP</c:v>
                </c:pt>
                <c:pt idx="33">
                  <c:v>WISP</c:v>
                </c:pt>
                <c:pt idx="34">
                  <c:v>BRPE</c:v>
                </c:pt>
                <c:pt idx="35">
                  <c:v>WIPE</c:v>
                </c:pt>
                <c:pt idx="36">
                  <c:v>BRAC</c:v>
                </c:pt>
                <c:pt idx="37">
                  <c:v>DCCP</c:v>
                </c:pt>
                <c:pt idx="38">
                  <c:v>PECO</c:v>
                </c:pt>
                <c:pt idx="39">
                  <c:v>REPH</c:v>
                </c:pt>
                <c:pt idx="40">
                  <c:v>RNPH</c:v>
                </c:pt>
                <c:pt idx="41">
                  <c:v>BLKI</c:v>
                </c:pt>
                <c:pt idx="42">
                  <c:v>BOGU</c:v>
                </c:pt>
                <c:pt idx="43">
                  <c:v>SAGU</c:v>
                </c:pt>
                <c:pt idx="44">
                  <c:v>CAGU</c:v>
                </c:pt>
                <c:pt idx="45">
                  <c:v>HEEG</c:v>
                </c:pt>
                <c:pt idx="46">
                  <c:v>MEGU</c:v>
                </c:pt>
                <c:pt idx="47">
                  <c:v>RBGU</c:v>
                </c:pt>
                <c:pt idx="48">
                  <c:v>HERG</c:v>
                </c:pt>
                <c:pt idx="49">
                  <c:v>THGU</c:v>
                </c:pt>
                <c:pt idx="50">
                  <c:v>GWGU</c:v>
                </c:pt>
                <c:pt idx="51">
                  <c:v>WEGU</c:v>
                </c:pt>
                <c:pt idx="52">
                  <c:v>CATE</c:v>
                </c:pt>
                <c:pt idx="53">
                  <c:v>ARTE</c:v>
                </c:pt>
                <c:pt idx="54">
                  <c:v>COTE</c:v>
                </c:pt>
                <c:pt idx="55">
                  <c:v>ELTE</c:v>
                </c:pt>
                <c:pt idx="56">
                  <c:v>ROTE</c:v>
                </c:pt>
                <c:pt idx="57">
                  <c:v>FOTE</c:v>
                </c:pt>
                <c:pt idx="58">
                  <c:v>LETE</c:v>
                </c:pt>
                <c:pt idx="59">
                  <c:v>GBTE</c:v>
                </c:pt>
                <c:pt idx="60">
                  <c:v>BLSK</c:v>
                </c:pt>
                <c:pt idx="61">
                  <c:v>LTJA</c:v>
                </c:pt>
                <c:pt idx="62">
                  <c:v>PAJA</c:v>
                </c:pt>
                <c:pt idx="63">
                  <c:v>POJA</c:v>
                </c:pt>
                <c:pt idx="64">
                  <c:v>SPSK</c:v>
                </c:pt>
                <c:pt idx="65">
                  <c:v>ANMU</c:v>
                </c:pt>
                <c:pt idx="66">
                  <c:v>MOMU</c:v>
                </c:pt>
                <c:pt idx="67">
                  <c:v>XAMU</c:v>
                </c:pt>
                <c:pt idx="68">
                  <c:v>CRMU</c:v>
                </c:pt>
                <c:pt idx="69">
                  <c:v>COMU</c:v>
                </c:pt>
                <c:pt idx="70">
                  <c:v>PIGU</c:v>
                </c:pt>
                <c:pt idx="71">
                  <c:v>TUPU</c:v>
                </c:pt>
                <c:pt idx="72">
                  <c:v>HOPU</c:v>
                </c:pt>
                <c:pt idx="73">
                  <c:v>RHAU</c:v>
                </c:pt>
                <c:pt idx="74">
                  <c:v>PAAU</c:v>
                </c:pt>
                <c:pt idx="75">
                  <c:v>CAAU</c:v>
                </c:pt>
              </c:strCache>
            </c:strRef>
          </c:cat>
          <c:val>
            <c:numRef>
              <c:f>Analysis1!$C$2:$C$77</c:f>
              <c:numCache>
                <c:formatCode>General</c:formatCode>
                <c:ptCount val="76"/>
                <c:pt idx="0">
                  <c:v>1.7999999999999998</c:v>
                </c:pt>
                <c:pt idx="1">
                  <c:v>4</c:v>
                </c:pt>
                <c:pt idx="2">
                  <c:v>3.5999999999999996</c:v>
                </c:pt>
                <c:pt idx="3">
                  <c:v>4.5</c:v>
                </c:pt>
                <c:pt idx="4">
                  <c:v>1.1000000000000001</c:v>
                </c:pt>
                <c:pt idx="5">
                  <c:v>4.3</c:v>
                </c:pt>
                <c:pt idx="6">
                  <c:v>2.2000000000000002</c:v>
                </c:pt>
                <c:pt idx="7">
                  <c:v>2.2000000000000002</c:v>
                </c:pt>
                <c:pt idx="8">
                  <c:v>0.5</c:v>
                </c:pt>
                <c:pt idx="9">
                  <c:v>1.7999999999999998</c:v>
                </c:pt>
                <c:pt idx="10">
                  <c:v>6.2</c:v>
                </c:pt>
                <c:pt idx="11">
                  <c:v>6.8999999999999995</c:v>
                </c:pt>
                <c:pt idx="12">
                  <c:v>4.2</c:v>
                </c:pt>
                <c:pt idx="13">
                  <c:v>5.5</c:v>
                </c:pt>
                <c:pt idx="14">
                  <c:v>5.4</c:v>
                </c:pt>
                <c:pt idx="15">
                  <c:v>5.6000000000000005</c:v>
                </c:pt>
                <c:pt idx="16">
                  <c:v>4.2</c:v>
                </c:pt>
                <c:pt idx="17">
                  <c:v>5.6999999999999993</c:v>
                </c:pt>
                <c:pt idx="18">
                  <c:v>2.8000000000000003</c:v>
                </c:pt>
                <c:pt idx="19">
                  <c:v>3</c:v>
                </c:pt>
                <c:pt idx="20">
                  <c:v>4.0999999999999996</c:v>
                </c:pt>
                <c:pt idx="21">
                  <c:v>3.7</c:v>
                </c:pt>
                <c:pt idx="22">
                  <c:v>1.6</c:v>
                </c:pt>
                <c:pt idx="23">
                  <c:v>3.2</c:v>
                </c:pt>
                <c:pt idx="24">
                  <c:v>3.9000000000000004</c:v>
                </c:pt>
                <c:pt idx="25">
                  <c:v>2.9</c:v>
                </c:pt>
                <c:pt idx="26">
                  <c:v>3.1</c:v>
                </c:pt>
                <c:pt idx="27">
                  <c:v>5.0999999999999996</c:v>
                </c:pt>
                <c:pt idx="28">
                  <c:v>1.5</c:v>
                </c:pt>
                <c:pt idx="29">
                  <c:v>4.6999999999999993</c:v>
                </c:pt>
                <c:pt idx="30">
                  <c:v>4.8</c:v>
                </c:pt>
                <c:pt idx="31">
                  <c:v>3.9000000000000004</c:v>
                </c:pt>
                <c:pt idx="32">
                  <c:v>4.9000000000000004</c:v>
                </c:pt>
                <c:pt idx="33">
                  <c:v>0.70000000000000007</c:v>
                </c:pt>
                <c:pt idx="34">
                  <c:v>9.9</c:v>
                </c:pt>
                <c:pt idx="35">
                  <c:v>9.2000000000000011</c:v>
                </c:pt>
                <c:pt idx="36">
                  <c:v>7.9</c:v>
                </c:pt>
                <c:pt idx="37">
                  <c:v>7.8000000000000007</c:v>
                </c:pt>
                <c:pt idx="38">
                  <c:v>7.7</c:v>
                </c:pt>
                <c:pt idx="39">
                  <c:v>5.2</c:v>
                </c:pt>
                <c:pt idx="40">
                  <c:v>4.3</c:v>
                </c:pt>
                <c:pt idx="41">
                  <c:v>6.8999999999999995</c:v>
                </c:pt>
                <c:pt idx="42">
                  <c:v>8.1000000000000014</c:v>
                </c:pt>
                <c:pt idx="43">
                  <c:v>6.4</c:v>
                </c:pt>
                <c:pt idx="44">
                  <c:v>8.6999999999999993</c:v>
                </c:pt>
                <c:pt idx="45">
                  <c:v>8.1000000000000014</c:v>
                </c:pt>
                <c:pt idx="46">
                  <c:v>5.3000000000000007</c:v>
                </c:pt>
                <c:pt idx="47">
                  <c:v>8.6</c:v>
                </c:pt>
                <c:pt idx="48">
                  <c:v>6.7</c:v>
                </c:pt>
                <c:pt idx="49">
                  <c:v>7.3</c:v>
                </c:pt>
                <c:pt idx="50">
                  <c:v>8.4</c:v>
                </c:pt>
                <c:pt idx="51">
                  <c:v>8.5</c:v>
                </c:pt>
                <c:pt idx="52">
                  <c:v>8.9</c:v>
                </c:pt>
                <c:pt idx="53">
                  <c:v>5.6999999999999993</c:v>
                </c:pt>
                <c:pt idx="54">
                  <c:v>4.5</c:v>
                </c:pt>
                <c:pt idx="55">
                  <c:v>7.9</c:v>
                </c:pt>
                <c:pt idx="56">
                  <c:v>8.4</c:v>
                </c:pt>
                <c:pt idx="57">
                  <c:v>8.8000000000000007</c:v>
                </c:pt>
                <c:pt idx="58">
                  <c:v>8.1999999999999993</c:v>
                </c:pt>
                <c:pt idx="59">
                  <c:v>6.2</c:v>
                </c:pt>
                <c:pt idx="60">
                  <c:v>8.1999999999999993</c:v>
                </c:pt>
                <c:pt idx="61">
                  <c:v>6.5</c:v>
                </c:pt>
                <c:pt idx="62">
                  <c:v>9</c:v>
                </c:pt>
                <c:pt idx="63">
                  <c:v>8.6999999999999993</c:v>
                </c:pt>
                <c:pt idx="64">
                  <c:v>5.8999999999999995</c:v>
                </c:pt>
                <c:pt idx="65">
                  <c:v>2.9</c:v>
                </c:pt>
                <c:pt idx="66">
                  <c:v>3.7</c:v>
                </c:pt>
                <c:pt idx="67">
                  <c:v>3.3000000000000003</c:v>
                </c:pt>
                <c:pt idx="68">
                  <c:v>0.5</c:v>
                </c:pt>
                <c:pt idx="69">
                  <c:v>3.2</c:v>
                </c:pt>
                <c:pt idx="70">
                  <c:v>0.6</c:v>
                </c:pt>
                <c:pt idx="71">
                  <c:v>2.7</c:v>
                </c:pt>
                <c:pt idx="72">
                  <c:v>0</c:v>
                </c:pt>
                <c:pt idx="73">
                  <c:v>2.5</c:v>
                </c:pt>
                <c:pt idx="74">
                  <c:v>0.1</c:v>
                </c:pt>
                <c:pt idx="75">
                  <c:v>2.9</c:v>
                </c:pt>
              </c:numCache>
            </c:numRef>
          </c:val>
        </c:ser>
        <c:ser>
          <c:idx val="2"/>
          <c:order val="1"/>
          <c:tx>
            <c:strRef>
              <c:f>Analysis1!$H$1</c:f>
              <c:strCache>
                <c:ptCount val="1"/>
                <c:pt idx="0">
                  <c:v>Displacement</c:v>
                </c:pt>
              </c:strCache>
            </c:strRef>
          </c:tx>
          <c:marker>
            <c:symbol val="none"/>
          </c:marker>
          <c:cat>
            <c:strRef>
              <c:f>'Population Vulnerability'!$D$4:$D$79</c:f>
              <c:strCache>
                <c:ptCount val="76"/>
                <c:pt idx="0">
                  <c:v>BLSC</c:v>
                </c:pt>
                <c:pt idx="1">
                  <c:v>SUSC</c:v>
                </c:pt>
                <c:pt idx="2">
                  <c:v>WWSC</c:v>
                </c:pt>
                <c:pt idx="3">
                  <c:v>BRAN</c:v>
                </c:pt>
                <c:pt idx="4">
                  <c:v>COME</c:v>
                </c:pt>
                <c:pt idx="5">
                  <c:v>RBME</c:v>
                </c:pt>
                <c:pt idx="6">
                  <c:v>COLO</c:v>
                </c:pt>
                <c:pt idx="7">
                  <c:v>PALO</c:v>
                </c:pt>
                <c:pt idx="8">
                  <c:v>RTLO</c:v>
                </c:pt>
                <c:pt idx="9">
                  <c:v>YBLO</c:v>
                </c:pt>
                <c:pt idx="10">
                  <c:v>CLGR</c:v>
                </c:pt>
                <c:pt idx="11">
                  <c:v>WEGR</c:v>
                </c:pt>
                <c:pt idx="12">
                  <c:v>EAGR</c:v>
                </c:pt>
                <c:pt idx="13">
                  <c:v>HOGR</c:v>
                </c:pt>
                <c:pt idx="14">
                  <c:v>RNGR</c:v>
                </c:pt>
                <c:pt idx="15">
                  <c:v>BFAL</c:v>
                </c:pt>
                <c:pt idx="16">
                  <c:v>LAAL</c:v>
                </c:pt>
                <c:pt idx="17">
                  <c:v>STAL</c:v>
                </c:pt>
                <c:pt idx="18">
                  <c:v>BULS</c:v>
                </c:pt>
                <c:pt idx="19">
                  <c:v>MASH</c:v>
                </c:pt>
                <c:pt idx="20">
                  <c:v>PFSH</c:v>
                </c:pt>
                <c:pt idx="21">
                  <c:v>FFSH</c:v>
                </c:pt>
                <c:pt idx="22">
                  <c:v>SRTS</c:v>
                </c:pt>
                <c:pt idx="23">
                  <c:v>SOSH</c:v>
                </c:pt>
                <c:pt idx="24">
                  <c:v>BVSH</c:v>
                </c:pt>
                <c:pt idx="25">
                  <c:v>NOFU</c:v>
                </c:pt>
                <c:pt idx="26">
                  <c:v>HAPE</c:v>
                </c:pt>
                <c:pt idx="27">
                  <c:v>COPE</c:v>
                </c:pt>
                <c:pt idx="28">
                  <c:v>MOPE</c:v>
                </c:pt>
                <c:pt idx="29">
                  <c:v>ASSP</c:v>
                </c:pt>
                <c:pt idx="30">
                  <c:v>BLSP</c:v>
                </c:pt>
                <c:pt idx="31">
                  <c:v>FTSP</c:v>
                </c:pt>
                <c:pt idx="32">
                  <c:v>LESP</c:v>
                </c:pt>
                <c:pt idx="33">
                  <c:v>WISP</c:v>
                </c:pt>
                <c:pt idx="34">
                  <c:v>BRPE</c:v>
                </c:pt>
                <c:pt idx="35">
                  <c:v>WIPE</c:v>
                </c:pt>
                <c:pt idx="36">
                  <c:v>BRAC</c:v>
                </c:pt>
                <c:pt idx="37">
                  <c:v>DCCP</c:v>
                </c:pt>
                <c:pt idx="38">
                  <c:v>PECO</c:v>
                </c:pt>
                <c:pt idx="39">
                  <c:v>REPH</c:v>
                </c:pt>
                <c:pt idx="40">
                  <c:v>RNPH</c:v>
                </c:pt>
                <c:pt idx="41">
                  <c:v>BLKI</c:v>
                </c:pt>
                <c:pt idx="42">
                  <c:v>BOGU</c:v>
                </c:pt>
                <c:pt idx="43">
                  <c:v>SAGU</c:v>
                </c:pt>
                <c:pt idx="44">
                  <c:v>CAGU</c:v>
                </c:pt>
                <c:pt idx="45">
                  <c:v>HEEG</c:v>
                </c:pt>
                <c:pt idx="46">
                  <c:v>MEGU</c:v>
                </c:pt>
                <c:pt idx="47">
                  <c:v>RBGU</c:v>
                </c:pt>
                <c:pt idx="48">
                  <c:v>HERG</c:v>
                </c:pt>
                <c:pt idx="49">
                  <c:v>THGU</c:v>
                </c:pt>
                <c:pt idx="50">
                  <c:v>GWGU</c:v>
                </c:pt>
                <c:pt idx="51">
                  <c:v>WEGU</c:v>
                </c:pt>
                <c:pt idx="52">
                  <c:v>CATE</c:v>
                </c:pt>
                <c:pt idx="53">
                  <c:v>ARTE</c:v>
                </c:pt>
                <c:pt idx="54">
                  <c:v>COTE</c:v>
                </c:pt>
                <c:pt idx="55">
                  <c:v>ELTE</c:v>
                </c:pt>
                <c:pt idx="56">
                  <c:v>ROTE</c:v>
                </c:pt>
                <c:pt idx="57">
                  <c:v>FOTE</c:v>
                </c:pt>
                <c:pt idx="58">
                  <c:v>LETE</c:v>
                </c:pt>
                <c:pt idx="59">
                  <c:v>GBTE</c:v>
                </c:pt>
                <c:pt idx="60">
                  <c:v>BLSK</c:v>
                </c:pt>
                <c:pt idx="61">
                  <c:v>LTJA</c:v>
                </c:pt>
                <c:pt idx="62">
                  <c:v>PAJA</c:v>
                </c:pt>
                <c:pt idx="63">
                  <c:v>POJA</c:v>
                </c:pt>
                <c:pt idx="64">
                  <c:v>SPSK</c:v>
                </c:pt>
                <c:pt idx="65">
                  <c:v>ANMU</c:v>
                </c:pt>
                <c:pt idx="66">
                  <c:v>MOMU</c:v>
                </c:pt>
                <c:pt idx="67">
                  <c:v>XAMU</c:v>
                </c:pt>
                <c:pt idx="68">
                  <c:v>CRMU</c:v>
                </c:pt>
                <c:pt idx="69">
                  <c:v>COMU</c:v>
                </c:pt>
                <c:pt idx="70">
                  <c:v>PIGU</c:v>
                </c:pt>
                <c:pt idx="71">
                  <c:v>TUPU</c:v>
                </c:pt>
                <c:pt idx="72">
                  <c:v>HOPU</c:v>
                </c:pt>
                <c:pt idx="73">
                  <c:v>RHAU</c:v>
                </c:pt>
                <c:pt idx="74">
                  <c:v>PAAU</c:v>
                </c:pt>
                <c:pt idx="75">
                  <c:v>CAAU</c:v>
                </c:pt>
              </c:strCache>
            </c:strRef>
          </c:cat>
          <c:val>
            <c:numRef>
              <c:f>Analysis1!$H$2:$H$77</c:f>
              <c:numCache>
                <c:formatCode>General</c:formatCode>
                <c:ptCount val="76"/>
                <c:pt idx="0">
                  <c:v>5.2</c:v>
                </c:pt>
                <c:pt idx="1">
                  <c:v>7.7</c:v>
                </c:pt>
                <c:pt idx="2">
                  <c:v>6.1</c:v>
                </c:pt>
                <c:pt idx="3">
                  <c:v>8.1000000000000014</c:v>
                </c:pt>
                <c:pt idx="4">
                  <c:v>0.2</c:v>
                </c:pt>
                <c:pt idx="5">
                  <c:v>1.5</c:v>
                </c:pt>
                <c:pt idx="6">
                  <c:v>8.5</c:v>
                </c:pt>
                <c:pt idx="7">
                  <c:v>7.9</c:v>
                </c:pt>
                <c:pt idx="8">
                  <c:v>4.4000000000000004</c:v>
                </c:pt>
                <c:pt idx="9">
                  <c:v>8.4</c:v>
                </c:pt>
                <c:pt idx="10">
                  <c:v>8.1999999999999993</c:v>
                </c:pt>
                <c:pt idx="11">
                  <c:v>8.1999999999999993</c:v>
                </c:pt>
                <c:pt idx="12">
                  <c:v>5.4</c:v>
                </c:pt>
                <c:pt idx="13">
                  <c:v>7</c:v>
                </c:pt>
                <c:pt idx="14">
                  <c:v>6.6000000000000005</c:v>
                </c:pt>
                <c:pt idx="15">
                  <c:v>5.2</c:v>
                </c:pt>
                <c:pt idx="16">
                  <c:v>3.4000000000000004</c:v>
                </c:pt>
                <c:pt idx="17">
                  <c:v>5.5</c:v>
                </c:pt>
                <c:pt idx="18">
                  <c:v>3.3000000000000003</c:v>
                </c:pt>
                <c:pt idx="19">
                  <c:v>4.0999999999999996</c:v>
                </c:pt>
                <c:pt idx="20">
                  <c:v>5.4</c:v>
                </c:pt>
                <c:pt idx="21">
                  <c:v>4.5</c:v>
                </c:pt>
                <c:pt idx="22">
                  <c:v>2.4</c:v>
                </c:pt>
                <c:pt idx="23">
                  <c:v>4.3</c:v>
                </c:pt>
                <c:pt idx="24">
                  <c:v>7.1999999999999993</c:v>
                </c:pt>
                <c:pt idx="25">
                  <c:v>3.4000000000000004</c:v>
                </c:pt>
                <c:pt idx="26">
                  <c:v>6.6000000000000005</c:v>
                </c:pt>
                <c:pt idx="27">
                  <c:v>4.9000000000000004</c:v>
                </c:pt>
                <c:pt idx="28">
                  <c:v>1.6</c:v>
                </c:pt>
                <c:pt idx="29">
                  <c:v>7.4</c:v>
                </c:pt>
                <c:pt idx="30">
                  <c:v>5.6999999999999993</c:v>
                </c:pt>
                <c:pt idx="31">
                  <c:v>4.6999999999999993</c:v>
                </c:pt>
                <c:pt idx="32">
                  <c:v>5.6999999999999993</c:v>
                </c:pt>
                <c:pt idx="33">
                  <c:v>1</c:v>
                </c:pt>
                <c:pt idx="34">
                  <c:v>6</c:v>
                </c:pt>
                <c:pt idx="35">
                  <c:v>4.5</c:v>
                </c:pt>
                <c:pt idx="36">
                  <c:v>7.5</c:v>
                </c:pt>
                <c:pt idx="37">
                  <c:v>6.2</c:v>
                </c:pt>
                <c:pt idx="38">
                  <c:v>7.3</c:v>
                </c:pt>
                <c:pt idx="39">
                  <c:v>3.9000000000000004</c:v>
                </c:pt>
                <c:pt idx="40">
                  <c:v>3.2</c:v>
                </c:pt>
                <c:pt idx="41">
                  <c:v>3.3000000000000003</c:v>
                </c:pt>
                <c:pt idx="42">
                  <c:v>5.8999999999999995</c:v>
                </c:pt>
                <c:pt idx="43">
                  <c:v>3.1</c:v>
                </c:pt>
                <c:pt idx="44">
                  <c:v>4.8</c:v>
                </c:pt>
                <c:pt idx="45">
                  <c:v>3.5</c:v>
                </c:pt>
                <c:pt idx="46">
                  <c:v>0.70000000000000007</c:v>
                </c:pt>
                <c:pt idx="47">
                  <c:v>3.9000000000000004</c:v>
                </c:pt>
                <c:pt idx="48">
                  <c:v>1.7999999999999998</c:v>
                </c:pt>
                <c:pt idx="49">
                  <c:v>2.6</c:v>
                </c:pt>
                <c:pt idx="50">
                  <c:v>4.3</c:v>
                </c:pt>
                <c:pt idx="51">
                  <c:v>3.8</c:v>
                </c:pt>
                <c:pt idx="52">
                  <c:v>8.5</c:v>
                </c:pt>
                <c:pt idx="53">
                  <c:v>5.6000000000000005</c:v>
                </c:pt>
                <c:pt idx="54">
                  <c:v>6.7</c:v>
                </c:pt>
                <c:pt idx="55">
                  <c:v>8.8000000000000007</c:v>
                </c:pt>
                <c:pt idx="56">
                  <c:v>8.1999999999999993</c:v>
                </c:pt>
                <c:pt idx="57">
                  <c:v>8.4</c:v>
                </c:pt>
                <c:pt idx="58">
                  <c:v>8.8000000000000007</c:v>
                </c:pt>
                <c:pt idx="59">
                  <c:v>4.0999999999999996</c:v>
                </c:pt>
                <c:pt idx="60">
                  <c:v>9.2000000000000011</c:v>
                </c:pt>
                <c:pt idx="61">
                  <c:v>0</c:v>
                </c:pt>
                <c:pt idx="62">
                  <c:v>0.89999999999999991</c:v>
                </c:pt>
                <c:pt idx="63">
                  <c:v>1.2</c:v>
                </c:pt>
                <c:pt idx="64">
                  <c:v>0.70000000000000007</c:v>
                </c:pt>
                <c:pt idx="65">
                  <c:v>8.6999999999999993</c:v>
                </c:pt>
                <c:pt idx="66">
                  <c:v>9.2000000000000011</c:v>
                </c:pt>
                <c:pt idx="67">
                  <c:v>9.5</c:v>
                </c:pt>
                <c:pt idx="68">
                  <c:v>5.8</c:v>
                </c:pt>
                <c:pt idx="69">
                  <c:v>9</c:v>
                </c:pt>
                <c:pt idx="70">
                  <c:v>6.6000000000000005</c:v>
                </c:pt>
                <c:pt idx="71">
                  <c:v>9.2000000000000011</c:v>
                </c:pt>
                <c:pt idx="72">
                  <c:v>2.9</c:v>
                </c:pt>
                <c:pt idx="73">
                  <c:v>9.1</c:v>
                </c:pt>
                <c:pt idx="74">
                  <c:v>2.7</c:v>
                </c:pt>
                <c:pt idx="75">
                  <c:v>8.6999999999999993</c:v>
                </c:pt>
              </c:numCache>
            </c:numRef>
          </c:val>
        </c:ser>
        <c:dLbls>
          <c:showLegendKey val="0"/>
          <c:showVal val="0"/>
          <c:showCatName val="0"/>
          <c:showSerName val="0"/>
          <c:showPercent val="0"/>
          <c:showBubbleSize val="0"/>
        </c:dLbls>
        <c:axId val="250615296"/>
        <c:axId val="251284864"/>
      </c:radarChart>
      <c:catAx>
        <c:axId val="250615296"/>
        <c:scaling>
          <c:orientation val="minMax"/>
        </c:scaling>
        <c:delete val="0"/>
        <c:axPos val="b"/>
        <c:majorGridlines/>
        <c:majorTickMark val="out"/>
        <c:minorTickMark val="none"/>
        <c:tickLblPos val="nextTo"/>
        <c:txPr>
          <a:bodyPr rot="0" vert="horz"/>
          <a:lstStyle/>
          <a:p>
            <a:pPr>
              <a:defRPr sz="900"/>
            </a:pPr>
            <a:endParaRPr lang="en-US"/>
          </a:p>
        </c:txPr>
        <c:crossAx val="251284864"/>
        <c:crosses val="autoZero"/>
        <c:auto val="1"/>
        <c:lblAlgn val="ctr"/>
        <c:lblOffset val="100"/>
        <c:noMultiLvlLbl val="0"/>
      </c:catAx>
      <c:valAx>
        <c:axId val="251284864"/>
        <c:scaling>
          <c:orientation val="minMax"/>
        </c:scaling>
        <c:delete val="0"/>
        <c:axPos val="l"/>
        <c:majorGridlines/>
        <c:numFmt formatCode="General" sourceLinked="1"/>
        <c:majorTickMark val="cross"/>
        <c:minorTickMark val="none"/>
        <c:tickLblPos val="nextTo"/>
        <c:crossAx val="250615296"/>
        <c:crosses val="autoZero"/>
        <c:crossBetween val="between"/>
      </c:valAx>
    </c:plotArea>
    <c:legend>
      <c:legendPos val="r"/>
      <c:overlay val="0"/>
    </c:legend>
    <c:plotVisOnly val="1"/>
    <c:dispBlanksAs val="gap"/>
    <c:showDLblsOverMax val="0"/>
  </c:char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Final Population Sensitivity Score</a:t>
            </a:r>
          </a:p>
        </c:rich>
      </c:tx>
      <c:overlay val="0"/>
    </c:title>
    <c:autoTitleDeleted val="0"/>
    <c:plotArea>
      <c:layout/>
      <c:barChart>
        <c:barDir val="bar"/>
        <c:grouping val="clustered"/>
        <c:varyColors val="0"/>
        <c:ser>
          <c:idx val="0"/>
          <c:order val="0"/>
          <c:tx>
            <c:strRef>
              <c:f>Analysis1!$M$1</c:f>
              <c:strCache>
                <c:ptCount val="1"/>
                <c:pt idx="0">
                  <c:v>Population sensitivity</c:v>
                </c:pt>
              </c:strCache>
            </c:strRef>
          </c:tx>
          <c:spPr>
            <a:solidFill>
              <a:schemeClr val="accent5">
                <a:lumMod val="75000"/>
              </a:schemeClr>
            </a:solidFill>
            <a:ln w="25400" cmpd="sng"/>
          </c:spPr>
          <c:invertIfNegative val="0"/>
          <c:dPt>
            <c:idx val="6"/>
            <c:invertIfNegative val="0"/>
            <c:bubble3D val="0"/>
            <c:spPr>
              <a:solidFill>
                <a:schemeClr val="accent1">
                  <a:lumMod val="75000"/>
                </a:schemeClr>
              </a:solidFill>
              <a:ln w="25400" cmpd="sng"/>
            </c:spPr>
          </c:dPt>
          <c:dPt>
            <c:idx val="7"/>
            <c:invertIfNegative val="0"/>
            <c:bubble3D val="0"/>
            <c:spPr>
              <a:solidFill>
                <a:schemeClr val="accent1">
                  <a:lumMod val="75000"/>
                </a:schemeClr>
              </a:solidFill>
              <a:ln w="25400" cmpd="sng"/>
            </c:spPr>
          </c:dPt>
          <c:dPt>
            <c:idx val="8"/>
            <c:invertIfNegative val="0"/>
            <c:bubble3D val="0"/>
            <c:spPr>
              <a:solidFill>
                <a:schemeClr val="accent1">
                  <a:lumMod val="75000"/>
                </a:schemeClr>
              </a:solidFill>
              <a:ln w="25400" cmpd="sng"/>
            </c:spPr>
          </c:dPt>
          <c:dPt>
            <c:idx val="9"/>
            <c:invertIfNegative val="0"/>
            <c:bubble3D val="0"/>
            <c:spPr>
              <a:solidFill>
                <a:schemeClr val="accent1">
                  <a:lumMod val="75000"/>
                </a:schemeClr>
              </a:solidFill>
              <a:ln w="25400" cmpd="sng"/>
            </c:spPr>
          </c:dPt>
          <c:dPt>
            <c:idx val="10"/>
            <c:invertIfNegative val="0"/>
            <c:bubble3D val="0"/>
            <c:spPr>
              <a:solidFill>
                <a:schemeClr val="tx2">
                  <a:lumMod val="75000"/>
                </a:schemeClr>
              </a:solidFill>
              <a:ln w="25400" cmpd="sng"/>
            </c:spPr>
          </c:dPt>
          <c:dPt>
            <c:idx val="11"/>
            <c:invertIfNegative val="0"/>
            <c:bubble3D val="0"/>
            <c:spPr>
              <a:solidFill>
                <a:schemeClr val="tx2">
                  <a:lumMod val="75000"/>
                </a:schemeClr>
              </a:solidFill>
              <a:ln w="25400" cmpd="sng"/>
            </c:spPr>
          </c:dPt>
          <c:dPt>
            <c:idx val="12"/>
            <c:invertIfNegative val="0"/>
            <c:bubble3D val="0"/>
            <c:spPr>
              <a:solidFill>
                <a:schemeClr val="tx2">
                  <a:lumMod val="75000"/>
                </a:schemeClr>
              </a:solidFill>
              <a:ln w="25400" cmpd="sng"/>
            </c:spPr>
          </c:dPt>
          <c:dPt>
            <c:idx val="13"/>
            <c:invertIfNegative val="0"/>
            <c:bubble3D val="0"/>
            <c:spPr>
              <a:solidFill>
                <a:schemeClr val="tx2">
                  <a:lumMod val="75000"/>
                </a:schemeClr>
              </a:solidFill>
              <a:ln w="25400" cmpd="sng"/>
            </c:spPr>
          </c:dPt>
          <c:dPt>
            <c:idx val="14"/>
            <c:invertIfNegative val="0"/>
            <c:bubble3D val="0"/>
            <c:spPr>
              <a:solidFill>
                <a:schemeClr val="tx2">
                  <a:lumMod val="75000"/>
                </a:schemeClr>
              </a:solidFill>
              <a:ln w="25400" cmpd="sng"/>
            </c:spPr>
          </c:dPt>
          <c:dPt>
            <c:idx val="15"/>
            <c:invertIfNegative val="0"/>
            <c:bubble3D val="0"/>
            <c:spPr>
              <a:solidFill>
                <a:schemeClr val="accent4">
                  <a:lumMod val="75000"/>
                </a:schemeClr>
              </a:solidFill>
              <a:ln w="25400" cmpd="sng"/>
            </c:spPr>
          </c:dPt>
          <c:dPt>
            <c:idx val="16"/>
            <c:invertIfNegative val="0"/>
            <c:bubble3D val="0"/>
            <c:spPr>
              <a:solidFill>
                <a:schemeClr val="accent4">
                  <a:lumMod val="75000"/>
                </a:schemeClr>
              </a:solidFill>
              <a:ln w="25400" cmpd="sng"/>
            </c:spPr>
          </c:dPt>
          <c:dPt>
            <c:idx val="17"/>
            <c:invertIfNegative val="0"/>
            <c:bubble3D val="0"/>
            <c:spPr>
              <a:solidFill>
                <a:schemeClr val="accent4">
                  <a:lumMod val="75000"/>
                </a:schemeClr>
              </a:solidFill>
              <a:ln w="25400" cmpd="sng"/>
            </c:spPr>
          </c:dPt>
          <c:dPt>
            <c:idx val="18"/>
            <c:invertIfNegative val="0"/>
            <c:bubble3D val="0"/>
            <c:spPr>
              <a:solidFill>
                <a:schemeClr val="accent2">
                  <a:lumMod val="75000"/>
                </a:schemeClr>
              </a:solidFill>
              <a:ln w="25400" cmpd="sng"/>
            </c:spPr>
          </c:dPt>
          <c:dPt>
            <c:idx val="19"/>
            <c:invertIfNegative val="0"/>
            <c:bubble3D val="0"/>
            <c:spPr>
              <a:solidFill>
                <a:schemeClr val="accent2">
                  <a:lumMod val="75000"/>
                </a:schemeClr>
              </a:solidFill>
              <a:ln w="25400" cmpd="sng"/>
            </c:spPr>
          </c:dPt>
          <c:dPt>
            <c:idx val="20"/>
            <c:invertIfNegative val="0"/>
            <c:bubble3D val="0"/>
            <c:spPr>
              <a:solidFill>
                <a:schemeClr val="accent2">
                  <a:lumMod val="75000"/>
                </a:schemeClr>
              </a:solidFill>
              <a:ln w="25400" cmpd="sng"/>
            </c:spPr>
          </c:dPt>
          <c:dPt>
            <c:idx val="21"/>
            <c:invertIfNegative val="0"/>
            <c:bubble3D val="0"/>
            <c:spPr>
              <a:solidFill>
                <a:schemeClr val="accent2">
                  <a:lumMod val="75000"/>
                </a:schemeClr>
              </a:solidFill>
              <a:ln w="25400" cmpd="sng"/>
            </c:spPr>
          </c:dPt>
          <c:dPt>
            <c:idx val="22"/>
            <c:invertIfNegative val="0"/>
            <c:bubble3D val="0"/>
            <c:spPr>
              <a:solidFill>
                <a:schemeClr val="accent2">
                  <a:lumMod val="75000"/>
                </a:schemeClr>
              </a:solidFill>
              <a:ln w="25400" cmpd="sng"/>
            </c:spPr>
          </c:dPt>
          <c:dPt>
            <c:idx val="23"/>
            <c:invertIfNegative val="0"/>
            <c:bubble3D val="0"/>
            <c:spPr>
              <a:solidFill>
                <a:schemeClr val="accent2">
                  <a:lumMod val="75000"/>
                </a:schemeClr>
              </a:solidFill>
              <a:ln w="25400" cmpd="sng"/>
            </c:spPr>
          </c:dPt>
          <c:dPt>
            <c:idx val="24"/>
            <c:invertIfNegative val="0"/>
            <c:bubble3D val="0"/>
            <c:spPr>
              <a:solidFill>
                <a:schemeClr val="accent2">
                  <a:lumMod val="75000"/>
                </a:schemeClr>
              </a:solidFill>
              <a:ln w="25400" cmpd="sng"/>
            </c:spPr>
          </c:dPt>
          <c:dPt>
            <c:idx val="25"/>
            <c:invertIfNegative val="0"/>
            <c:bubble3D val="0"/>
            <c:spPr>
              <a:solidFill>
                <a:schemeClr val="accent6">
                  <a:lumMod val="50000"/>
                </a:schemeClr>
              </a:solidFill>
              <a:ln w="25400" cmpd="sng"/>
            </c:spPr>
          </c:dPt>
          <c:dPt>
            <c:idx val="26"/>
            <c:invertIfNegative val="0"/>
            <c:bubble3D val="0"/>
            <c:spPr>
              <a:solidFill>
                <a:schemeClr val="accent6">
                  <a:lumMod val="75000"/>
                </a:schemeClr>
              </a:solidFill>
              <a:ln w="25400" cmpd="sng"/>
            </c:spPr>
          </c:dPt>
          <c:dPt>
            <c:idx val="27"/>
            <c:invertIfNegative val="0"/>
            <c:bubble3D val="0"/>
            <c:spPr>
              <a:solidFill>
                <a:schemeClr val="accent6">
                  <a:lumMod val="75000"/>
                </a:schemeClr>
              </a:solidFill>
              <a:ln w="25400" cmpd="sng"/>
            </c:spPr>
          </c:dPt>
          <c:dPt>
            <c:idx val="28"/>
            <c:invertIfNegative val="0"/>
            <c:bubble3D val="0"/>
            <c:spPr>
              <a:solidFill>
                <a:schemeClr val="accent6">
                  <a:lumMod val="75000"/>
                </a:schemeClr>
              </a:solidFill>
              <a:ln w="25400" cmpd="sng"/>
            </c:spPr>
          </c:dPt>
          <c:dPt>
            <c:idx val="29"/>
            <c:invertIfNegative val="0"/>
            <c:bubble3D val="0"/>
            <c:spPr>
              <a:solidFill>
                <a:srgbClr val="FFFF00"/>
              </a:solidFill>
              <a:ln w="25400" cmpd="sng"/>
            </c:spPr>
          </c:dPt>
          <c:dPt>
            <c:idx val="30"/>
            <c:invertIfNegative val="0"/>
            <c:bubble3D val="0"/>
            <c:spPr>
              <a:solidFill>
                <a:srgbClr val="FFFF00"/>
              </a:solidFill>
              <a:ln w="25400" cmpd="sng"/>
            </c:spPr>
          </c:dPt>
          <c:dPt>
            <c:idx val="31"/>
            <c:invertIfNegative val="0"/>
            <c:bubble3D val="0"/>
            <c:spPr>
              <a:solidFill>
                <a:srgbClr val="FFFF00"/>
              </a:solidFill>
              <a:ln w="25400" cmpd="sng"/>
            </c:spPr>
          </c:dPt>
          <c:dPt>
            <c:idx val="32"/>
            <c:invertIfNegative val="0"/>
            <c:bubble3D val="0"/>
            <c:spPr>
              <a:solidFill>
                <a:srgbClr val="FFFF00"/>
              </a:solidFill>
              <a:ln w="25400" cmpd="sng"/>
            </c:spPr>
          </c:dPt>
          <c:dPt>
            <c:idx val="33"/>
            <c:invertIfNegative val="0"/>
            <c:bubble3D val="0"/>
            <c:spPr>
              <a:solidFill>
                <a:srgbClr val="FFFF00"/>
              </a:solidFill>
              <a:ln w="25400" cmpd="sng"/>
            </c:spPr>
          </c:dPt>
          <c:dPt>
            <c:idx val="34"/>
            <c:invertIfNegative val="0"/>
            <c:bubble3D val="0"/>
            <c:spPr>
              <a:solidFill>
                <a:schemeClr val="accent3">
                  <a:lumMod val="75000"/>
                </a:schemeClr>
              </a:solidFill>
              <a:ln w="25400" cmpd="sng"/>
            </c:spPr>
          </c:dPt>
          <c:dPt>
            <c:idx val="35"/>
            <c:invertIfNegative val="0"/>
            <c:bubble3D val="0"/>
            <c:spPr>
              <a:solidFill>
                <a:schemeClr val="accent3">
                  <a:lumMod val="75000"/>
                </a:schemeClr>
              </a:solidFill>
              <a:ln w="25400" cmpd="sng"/>
            </c:spPr>
          </c:dPt>
          <c:dPt>
            <c:idx val="39"/>
            <c:invertIfNegative val="0"/>
            <c:bubble3D val="0"/>
            <c:spPr>
              <a:solidFill>
                <a:schemeClr val="accent1">
                  <a:lumMod val="75000"/>
                </a:schemeClr>
              </a:solidFill>
              <a:ln w="25400" cmpd="sng"/>
            </c:spPr>
          </c:dPt>
          <c:dPt>
            <c:idx val="40"/>
            <c:invertIfNegative val="0"/>
            <c:bubble3D val="0"/>
            <c:spPr>
              <a:solidFill>
                <a:schemeClr val="accent1">
                  <a:lumMod val="75000"/>
                </a:schemeClr>
              </a:solidFill>
              <a:ln w="25400" cmpd="sng"/>
            </c:spPr>
          </c:dPt>
          <c:dPt>
            <c:idx val="41"/>
            <c:invertIfNegative val="0"/>
            <c:bubble3D val="0"/>
            <c:spPr>
              <a:solidFill>
                <a:schemeClr val="tx2">
                  <a:lumMod val="75000"/>
                </a:schemeClr>
              </a:solidFill>
              <a:ln w="25400" cmpd="sng"/>
            </c:spPr>
          </c:dPt>
          <c:dPt>
            <c:idx val="42"/>
            <c:invertIfNegative val="0"/>
            <c:bubble3D val="0"/>
            <c:spPr>
              <a:solidFill>
                <a:schemeClr val="tx2">
                  <a:lumMod val="75000"/>
                </a:schemeClr>
              </a:solidFill>
              <a:ln w="25400" cmpd="sng"/>
            </c:spPr>
          </c:dPt>
          <c:dPt>
            <c:idx val="43"/>
            <c:invertIfNegative val="0"/>
            <c:bubble3D val="0"/>
            <c:spPr>
              <a:solidFill>
                <a:schemeClr val="tx2">
                  <a:lumMod val="75000"/>
                </a:schemeClr>
              </a:solidFill>
              <a:ln w="25400" cmpd="sng"/>
            </c:spPr>
          </c:dPt>
          <c:dPt>
            <c:idx val="44"/>
            <c:invertIfNegative val="0"/>
            <c:bubble3D val="0"/>
            <c:spPr>
              <a:solidFill>
                <a:schemeClr val="tx2">
                  <a:lumMod val="75000"/>
                </a:schemeClr>
              </a:solidFill>
              <a:ln w="25400" cmpd="sng"/>
            </c:spPr>
          </c:dPt>
          <c:dPt>
            <c:idx val="45"/>
            <c:invertIfNegative val="0"/>
            <c:bubble3D val="0"/>
            <c:spPr>
              <a:solidFill>
                <a:schemeClr val="tx2">
                  <a:lumMod val="75000"/>
                </a:schemeClr>
              </a:solidFill>
              <a:ln w="25400" cmpd="sng"/>
            </c:spPr>
          </c:dPt>
          <c:dPt>
            <c:idx val="46"/>
            <c:invertIfNegative val="0"/>
            <c:bubble3D val="0"/>
            <c:spPr>
              <a:solidFill>
                <a:schemeClr val="tx2">
                  <a:lumMod val="75000"/>
                </a:schemeClr>
              </a:solidFill>
              <a:ln w="25400" cmpd="sng"/>
            </c:spPr>
          </c:dPt>
          <c:dPt>
            <c:idx val="47"/>
            <c:invertIfNegative val="0"/>
            <c:bubble3D val="0"/>
            <c:spPr>
              <a:solidFill>
                <a:schemeClr val="tx2">
                  <a:lumMod val="75000"/>
                </a:schemeClr>
              </a:solidFill>
              <a:ln w="25400" cmpd="sng"/>
            </c:spPr>
          </c:dPt>
          <c:dPt>
            <c:idx val="48"/>
            <c:invertIfNegative val="0"/>
            <c:bubble3D val="0"/>
            <c:spPr>
              <a:solidFill>
                <a:schemeClr val="tx2">
                  <a:lumMod val="75000"/>
                </a:schemeClr>
              </a:solidFill>
              <a:ln w="25400" cmpd="sng"/>
            </c:spPr>
          </c:dPt>
          <c:dPt>
            <c:idx val="49"/>
            <c:invertIfNegative val="0"/>
            <c:bubble3D val="0"/>
            <c:spPr>
              <a:solidFill>
                <a:schemeClr val="tx2">
                  <a:lumMod val="75000"/>
                </a:schemeClr>
              </a:solidFill>
              <a:ln w="25400" cmpd="sng"/>
            </c:spPr>
          </c:dPt>
          <c:dPt>
            <c:idx val="50"/>
            <c:invertIfNegative val="0"/>
            <c:bubble3D val="0"/>
            <c:spPr>
              <a:solidFill>
                <a:schemeClr val="tx2">
                  <a:lumMod val="75000"/>
                </a:schemeClr>
              </a:solidFill>
              <a:ln w="25400" cmpd="sng"/>
            </c:spPr>
          </c:dPt>
          <c:dPt>
            <c:idx val="51"/>
            <c:invertIfNegative val="0"/>
            <c:bubble3D val="0"/>
            <c:spPr>
              <a:solidFill>
                <a:schemeClr val="tx2">
                  <a:lumMod val="75000"/>
                </a:schemeClr>
              </a:solidFill>
              <a:ln w="25400" cmpd="sng"/>
            </c:spPr>
          </c:dPt>
          <c:dPt>
            <c:idx val="52"/>
            <c:invertIfNegative val="0"/>
            <c:bubble3D val="0"/>
            <c:spPr>
              <a:solidFill>
                <a:schemeClr val="accent4">
                  <a:lumMod val="75000"/>
                </a:schemeClr>
              </a:solidFill>
              <a:ln w="25400" cmpd="sng"/>
            </c:spPr>
          </c:dPt>
          <c:dPt>
            <c:idx val="53"/>
            <c:invertIfNegative val="0"/>
            <c:bubble3D val="0"/>
            <c:spPr>
              <a:solidFill>
                <a:schemeClr val="accent4">
                  <a:lumMod val="75000"/>
                </a:schemeClr>
              </a:solidFill>
              <a:ln w="25400" cmpd="sng"/>
            </c:spPr>
          </c:dPt>
          <c:dPt>
            <c:idx val="54"/>
            <c:invertIfNegative val="0"/>
            <c:bubble3D val="0"/>
            <c:spPr>
              <a:solidFill>
                <a:schemeClr val="accent4">
                  <a:lumMod val="75000"/>
                </a:schemeClr>
              </a:solidFill>
              <a:ln w="25400" cmpd="sng"/>
            </c:spPr>
          </c:dPt>
          <c:dPt>
            <c:idx val="55"/>
            <c:invertIfNegative val="0"/>
            <c:bubble3D val="0"/>
            <c:spPr>
              <a:solidFill>
                <a:schemeClr val="accent4">
                  <a:lumMod val="75000"/>
                </a:schemeClr>
              </a:solidFill>
              <a:ln w="25400" cmpd="sng"/>
            </c:spPr>
          </c:dPt>
          <c:dPt>
            <c:idx val="56"/>
            <c:invertIfNegative val="0"/>
            <c:bubble3D val="0"/>
            <c:spPr>
              <a:solidFill>
                <a:schemeClr val="accent4">
                  <a:lumMod val="75000"/>
                </a:schemeClr>
              </a:solidFill>
              <a:ln w="25400" cmpd="sng"/>
            </c:spPr>
          </c:dPt>
          <c:dPt>
            <c:idx val="57"/>
            <c:invertIfNegative val="0"/>
            <c:bubble3D val="0"/>
            <c:spPr>
              <a:solidFill>
                <a:schemeClr val="accent4">
                  <a:lumMod val="75000"/>
                </a:schemeClr>
              </a:solidFill>
              <a:ln w="25400" cmpd="sng"/>
            </c:spPr>
          </c:dPt>
          <c:dPt>
            <c:idx val="58"/>
            <c:invertIfNegative val="0"/>
            <c:bubble3D val="0"/>
            <c:spPr>
              <a:solidFill>
                <a:schemeClr val="accent4">
                  <a:lumMod val="75000"/>
                </a:schemeClr>
              </a:solidFill>
              <a:ln w="25400" cmpd="sng"/>
            </c:spPr>
          </c:dPt>
          <c:dPt>
            <c:idx val="59"/>
            <c:invertIfNegative val="0"/>
            <c:bubble3D val="0"/>
            <c:spPr>
              <a:solidFill>
                <a:schemeClr val="accent4">
                  <a:lumMod val="75000"/>
                </a:schemeClr>
              </a:solidFill>
              <a:ln w="25400" cmpd="sng"/>
            </c:spPr>
          </c:dPt>
          <c:dPt>
            <c:idx val="60"/>
            <c:invertIfNegative val="0"/>
            <c:bubble3D val="0"/>
            <c:spPr>
              <a:solidFill>
                <a:schemeClr val="accent4">
                  <a:lumMod val="75000"/>
                </a:schemeClr>
              </a:solidFill>
              <a:ln w="25400" cmpd="sng"/>
            </c:spPr>
          </c:dPt>
          <c:dPt>
            <c:idx val="61"/>
            <c:invertIfNegative val="0"/>
            <c:bubble3D val="0"/>
            <c:spPr>
              <a:solidFill>
                <a:schemeClr val="accent2">
                  <a:lumMod val="75000"/>
                </a:schemeClr>
              </a:solidFill>
              <a:ln w="25400" cmpd="sng"/>
            </c:spPr>
          </c:dPt>
          <c:dPt>
            <c:idx val="62"/>
            <c:invertIfNegative val="0"/>
            <c:bubble3D val="0"/>
            <c:spPr>
              <a:solidFill>
                <a:schemeClr val="accent2">
                  <a:lumMod val="75000"/>
                </a:schemeClr>
              </a:solidFill>
              <a:ln w="25400" cmpd="sng"/>
            </c:spPr>
          </c:dPt>
          <c:dPt>
            <c:idx val="63"/>
            <c:invertIfNegative val="0"/>
            <c:bubble3D val="0"/>
            <c:spPr>
              <a:solidFill>
                <a:schemeClr val="accent2">
                  <a:lumMod val="75000"/>
                </a:schemeClr>
              </a:solidFill>
              <a:ln w="25400" cmpd="sng"/>
            </c:spPr>
          </c:dPt>
          <c:dPt>
            <c:idx val="64"/>
            <c:invertIfNegative val="0"/>
            <c:bubble3D val="0"/>
            <c:spPr>
              <a:solidFill>
                <a:schemeClr val="accent2">
                  <a:lumMod val="75000"/>
                </a:schemeClr>
              </a:solidFill>
              <a:ln w="25400" cmpd="sng"/>
            </c:spPr>
          </c:dPt>
          <c:dPt>
            <c:idx val="65"/>
            <c:invertIfNegative val="0"/>
            <c:bubble3D val="0"/>
            <c:spPr>
              <a:solidFill>
                <a:schemeClr val="accent6">
                  <a:lumMod val="75000"/>
                </a:schemeClr>
              </a:solidFill>
              <a:ln w="25400" cmpd="sng"/>
            </c:spPr>
          </c:dPt>
          <c:dPt>
            <c:idx val="66"/>
            <c:invertIfNegative val="0"/>
            <c:bubble3D val="0"/>
            <c:spPr>
              <a:solidFill>
                <a:schemeClr val="accent6">
                  <a:lumMod val="75000"/>
                </a:schemeClr>
              </a:solidFill>
              <a:ln w="25400" cmpd="sng"/>
            </c:spPr>
          </c:dPt>
          <c:dPt>
            <c:idx val="67"/>
            <c:invertIfNegative val="0"/>
            <c:bubble3D val="0"/>
            <c:spPr>
              <a:solidFill>
                <a:schemeClr val="accent6">
                  <a:lumMod val="75000"/>
                </a:schemeClr>
              </a:solidFill>
              <a:ln w="25400" cmpd="sng"/>
            </c:spPr>
          </c:dPt>
          <c:dPt>
            <c:idx val="68"/>
            <c:invertIfNegative val="0"/>
            <c:bubble3D val="0"/>
            <c:spPr>
              <a:solidFill>
                <a:schemeClr val="accent6">
                  <a:lumMod val="75000"/>
                </a:schemeClr>
              </a:solidFill>
              <a:ln w="25400" cmpd="sng"/>
            </c:spPr>
          </c:dPt>
          <c:dPt>
            <c:idx val="69"/>
            <c:invertIfNegative val="0"/>
            <c:bubble3D val="0"/>
            <c:spPr>
              <a:solidFill>
                <a:schemeClr val="accent6">
                  <a:lumMod val="75000"/>
                </a:schemeClr>
              </a:solidFill>
              <a:ln w="25400" cmpd="sng"/>
            </c:spPr>
          </c:dPt>
          <c:dPt>
            <c:idx val="70"/>
            <c:invertIfNegative val="0"/>
            <c:bubble3D val="0"/>
            <c:spPr>
              <a:solidFill>
                <a:schemeClr val="accent6">
                  <a:lumMod val="75000"/>
                </a:schemeClr>
              </a:solidFill>
              <a:ln w="25400" cmpd="sng"/>
            </c:spPr>
          </c:dPt>
          <c:dPt>
            <c:idx val="71"/>
            <c:invertIfNegative val="0"/>
            <c:bubble3D val="0"/>
            <c:spPr>
              <a:solidFill>
                <a:schemeClr val="accent6">
                  <a:lumMod val="75000"/>
                </a:schemeClr>
              </a:solidFill>
              <a:ln w="25400" cmpd="sng"/>
            </c:spPr>
          </c:dPt>
          <c:dPt>
            <c:idx val="72"/>
            <c:invertIfNegative val="0"/>
            <c:bubble3D val="0"/>
            <c:spPr>
              <a:solidFill>
                <a:schemeClr val="accent6">
                  <a:lumMod val="75000"/>
                </a:schemeClr>
              </a:solidFill>
              <a:ln w="25400" cmpd="sng"/>
            </c:spPr>
          </c:dPt>
          <c:dPt>
            <c:idx val="73"/>
            <c:invertIfNegative val="0"/>
            <c:bubble3D val="0"/>
            <c:spPr>
              <a:solidFill>
                <a:schemeClr val="accent6">
                  <a:lumMod val="75000"/>
                </a:schemeClr>
              </a:solidFill>
              <a:ln w="25400" cmpd="sng"/>
            </c:spPr>
          </c:dPt>
          <c:dPt>
            <c:idx val="74"/>
            <c:invertIfNegative val="0"/>
            <c:bubble3D val="0"/>
            <c:spPr>
              <a:solidFill>
                <a:schemeClr val="accent6">
                  <a:lumMod val="75000"/>
                </a:schemeClr>
              </a:solidFill>
              <a:ln w="25400" cmpd="sng"/>
            </c:spPr>
          </c:dPt>
          <c:dPt>
            <c:idx val="75"/>
            <c:invertIfNegative val="0"/>
            <c:bubble3D val="0"/>
            <c:spPr>
              <a:solidFill>
                <a:schemeClr val="accent6">
                  <a:lumMod val="75000"/>
                </a:schemeClr>
              </a:solidFill>
              <a:ln w="25400" cmpd="sng"/>
            </c:spPr>
          </c:dPt>
          <c:errBars>
            <c:errBarType val="both"/>
            <c:errValType val="cust"/>
            <c:noEndCap val="0"/>
            <c:plus>
              <c:numRef>
                <c:f>Analysis1!$P$2:$P$77</c:f>
                <c:numCache>
                  <c:formatCode>General</c:formatCode>
                  <c:ptCount val="76"/>
                  <c:pt idx="0">
                    <c:v>0.5625</c:v>
                  </c:pt>
                  <c:pt idx="1">
                    <c:v>0.8125</c:v>
                  </c:pt>
                  <c:pt idx="2">
                    <c:v>0.625</c:v>
                  </c:pt>
                  <c:pt idx="3">
                    <c:v>0.5</c:v>
                  </c:pt>
                  <c:pt idx="4">
                    <c:v>0.30000000000000004</c:v>
                  </c:pt>
                  <c:pt idx="5">
                    <c:v>0.38750000000000018</c:v>
                  </c:pt>
                  <c:pt idx="6">
                    <c:v>0.26250000000000018</c:v>
                  </c:pt>
                  <c:pt idx="7">
                    <c:v>0.5625</c:v>
                  </c:pt>
                  <c:pt idx="8">
                    <c:v>0.625</c:v>
                  </c:pt>
                  <c:pt idx="9">
                    <c:v>0.125</c:v>
                  </c:pt>
                  <c:pt idx="10">
                    <c:v>0.5</c:v>
                  </c:pt>
                  <c:pt idx="11">
                    <c:v>0.47500000000000009</c:v>
                  </c:pt>
                  <c:pt idx="12">
                    <c:v>0.27499999999999991</c:v>
                  </c:pt>
                  <c:pt idx="13">
                    <c:v>0.5625</c:v>
                  </c:pt>
                  <c:pt idx="14">
                    <c:v>0.60000000000000009</c:v>
                  </c:pt>
                  <c:pt idx="15">
                    <c:v>0.47499999999999964</c:v>
                  </c:pt>
                  <c:pt idx="16">
                    <c:v>7.5000000000000178E-2</c:v>
                  </c:pt>
                  <c:pt idx="17">
                    <c:v>0.125</c:v>
                  </c:pt>
                  <c:pt idx="18">
                    <c:v>0.29999999999999982</c:v>
                  </c:pt>
                  <c:pt idx="19">
                    <c:v>0.1875</c:v>
                  </c:pt>
                  <c:pt idx="20">
                    <c:v>0.125</c:v>
                  </c:pt>
                  <c:pt idx="21">
                    <c:v>0.20000000000000018</c:v>
                  </c:pt>
                  <c:pt idx="22">
                    <c:v>8.7499999999999911E-2</c:v>
                  </c:pt>
                  <c:pt idx="23">
                    <c:v>0.21249999999999991</c:v>
                  </c:pt>
                  <c:pt idx="24">
                    <c:v>0.22500000000000009</c:v>
                  </c:pt>
                  <c:pt idx="25">
                    <c:v>0.14999999999999991</c:v>
                  </c:pt>
                  <c:pt idx="26">
                    <c:v>6.25E-2</c:v>
                  </c:pt>
                  <c:pt idx="27">
                    <c:v>0.375</c:v>
                  </c:pt>
                  <c:pt idx="28">
                    <c:v>0.17499999999999982</c:v>
                  </c:pt>
                  <c:pt idx="29">
                    <c:v>0.25</c:v>
                  </c:pt>
                  <c:pt idx="30">
                    <c:v>0.46249999999999991</c:v>
                  </c:pt>
                  <c:pt idx="31">
                    <c:v>0.33749999999999991</c:v>
                  </c:pt>
                  <c:pt idx="32">
                    <c:v>0.39999999999999991</c:v>
                  </c:pt>
                  <c:pt idx="33">
                    <c:v>0.39999999999999991</c:v>
                  </c:pt>
                  <c:pt idx="34">
                    <c:v>0.4375</c:v>
                  </c:pt>
                  <c:pt idx="35">
                    <c:v>0.84999999999999964</c:v>
                  </c:pt>
                  <c:pt idx="36">
                    <c:v>0.27500000000000036</c:v>
                  </c:pt>
                  <c:pt idx="37">
                    <c:v>0.35000000000000009</c:v>
                  </c:pt>
                  <c:pt idx="38">
                    <c:v>0.52500000000000036</c:v>
                  </c:pt>
                  <c:pt idx="39">
                    <c:v>0.42499999999999982</c:v>
                  </c:pt>
                  <c:pt idx="40">
                    <c:v>0.39999999999999991</c:v>
                  </c:pt>
                  <c:pt idx="41">
                    <c:v>0.32500000000000018</c:v>
                  </c:pt>
                  <c:pt idx="42">
                    <c:v>0.875</c:v>
                  </c:pt>
                  <c:pt idx="43">
                    <c:v>0.5</c:v>
                  </c:pt>
                  <c:pt idx="44">
                    <c:v>0.63750000000000018</c:v>
                  </c:pt>
                  <c:pt idx="45">
                    <c:v>0.82500000000000018</c:v>
                  </c:pt>
                  <c:pt idx="46">
                    <c:v>0.5625</c:v>
                  </c:pt>
                  <c:pt idx="47">
                    <c:v>0.36249999999999982</c:v>
                  </c:pt>
                  <c:pt idx="48">
                    <c:v>0.5625</c:v>
                  </c:pt>
                  <c:pt idx="49">
                    <c:v>0.625</c:v>
                  </c:pt>
                  <c:pt idx="50">
                    <c:v>0.70000000000000018</c:v>
                  </c:pt>
                  <c:pt idx="51">
                    <c:v>0.72500000000000009</c:v>
                  </c:pt>
                  <c:pt idx="52">
                    <c:v>0.47500000000000009</c:v>
                  </c:pt>
                  <c:pt idx="53">
                    <c:v>0.42499999999999982</c:v>
                  </c:pt>
                  <c:pt idx="54">
                    <c:v>0.4375</c:v>
                  </c:pt>
                  <c:pt idx="55">
                    <c:v>0.625</c:v>
                  </c:pt>
                  <c:pt idx="56">
                    <c:v>0.41250000000000009</c:v>
                  </c:pt>
                  <c:pt idx="57">
                    <c:v>0.40000000000000036</c:v>
                  </c:pt>
                  <c:pt idx="58">
                    <c:v>0.375</c:v>
                  </c:pt>
                  <c:pt idx="59">
                    <c:v>0.5625</c:v>
                  </c:pt>
                  <c:pt idx="60">
                    <c:v>0.40000000000000036</c:v>
                  </c:pt>
                  <c:pt idx="61">
                    <c:v>0.5</c:v>
                  </c:pt>
                  <c:pt idx="62">
                    <c:v>0.5</c:v>
                  </c:pt>
                  <c:pt idx="63">
                    <c:v>0.75</c:v>
                  </c:pt>
                  <c:pt idx="64">
                    <c:v>0.25</c:v>
                  </c:pt>
                  <c:pt idx="65">
                    <c:v>0.54999999999999982</c:v>
                  </c:pt>
                  <c:pt idx="66">
                    <c:v>0.5625</c:v>
                  </c:pt>
                  <c:pt idx="67">
                    <c:v>0.29999999999999982</c:v>
                  </c:pt>
                  <c:pt idx="68">
                    <c:v>0.625</c:v>
                  </c:pt>
                  <c:pt idx="69">
                    <c:v>7.5000000000000178E-2</c:v>
                  </c:pt>
                  <c:pt idx="70">
                    <c:v>0.52500000000000036</c:v>
                  </c:pt>
                  <c:pt idx="71">
                    <c:v>0.1875</c:v>
                  </c:pt>
                  <c:pt idx="72">
                    <c:v>0.17499999999999982</c:v>
                  </c:pt>
                  <c:pt idx="73">
                    <c:v>0.42499999999999982</c:v>
                  </c:pt>
                  <c:pt idx="74">
                    <c:v>0.42499999999999982</c:v>
                  </c:pt>
                  <c:pt idx="75">
                    <c:v>0.5625</c:v>
                  </c:pt>
                </c:numCache>
              </c:numRef>
            </c:plus>
            <c:minus>
              <c:numRef>
                <c:f>Analysis1!$N$2:$N$77</c:f>
                <c:numCache>
                  <c:formatCode>General</c:formatCode>
                  <c:ptCount val="76"/>
                  <c:pt idx="0">
                    <c:v>0.5625</c:v>
                  </c:pt>
                  <c:pt idx="1">
                    <c:v>0.8125</c:v>
                  </c:pt>
                  <c:pt idx="2">
                    <c:v>0.625</c:v>
                  </c:pt>
                  <c:pt idx="3">
                    <c:v>0.5</c:v>
                  </c:pt>
                  <c:pt idx="4">
                    <c:v>5.0000000000000044E-2</c:v>
                  </c:pt>
                  <c:pt idx="5">
                    <c:v>0.32499999999999996</c:v>
                  </c:pt>
                  <c:pt idx="6">
                    <c:v>0.57500000000000018</c:v>
                  </c:pt>
                  <c:pt idx="7">
                    <c:v>0.5625</c:v>
                  </c:pt>
                  <c:pt idx="8">
                    <c:v>0.625</c:v>
                  </c:pt>
                  <c:pt idx="9">
                    <c:v>0.5625</c:v>
                  </c:pt>
                  <c:pt idx="10">
                    <c:v>0.5</c:v>
                  </c:pt>
                  <c:pt idx="11">
                    <c:v>0.60000000000000009</c:v>
                  </c:pt>
                  <c:pt idx="12">
                    <c:v>0.125</c:v>
                  </c:pt>
                  <c:pt idx="13">
                    <c:v>0.375</c:v>
                  </c:pt>
                  <c:pt idx="14">
                    <c:v>0.60000000000000009</c:v>
                  </c:pt>
                  <c:pt idx="15">
                    <c:v>1.1000000000000001</c:v>
                  </c:pt>
                  <c:pt idx="16">
                    <c:v>0.17499999999999982</c:v>
                  </c:pt>
                  <c:pt idx="17">
                    <c:v>0.875</c:v>
                  </c:pt>
                  <c:pt idx="18">
                    <c:v>0.92499999999999982</c:v>
                  </c:pt>
                  <c:pt idx="19">
                    <c:v>0.3125</c:v>
                  </c:pt>
                  <c:pt idx="20">
                    <c:v>0.875</c:v>
                  </c:pt>
                  <c:pt idx="21">
                    <c:v>0.70000000000000018</c:v>
                  </c:pt>
                  <c:pt idx="22">
                    <c:v>0.625</c:v>
                  </c:pt>
                  <c:pt idx="23">
                    <c:v>0.8125</c:v>
                  </c:pt>
                  <c:pt idx="24">
                    <c:v>0.85000000000000009</c:v>
                  </c:pt>
                  <c:pt idx="25">
                    <c:v>0.25</c:v>
                  </c:pt>
                  <c:pt idx="26">
                    <c:v>0.75</c:v>
                  </c:pt>
                  <c:pt idx="27">
                    <c:v>1</c:v>
                  </c:pt>
                  <c:pt idx="28">
                    <c:v>0.8</c:v>
                  </c:pt>
                  <c:pt idx="29">
                    <c:v>0.9375</c:v>
                  </c:pt>
                  <c:pt idx="30">
                    <c:v>0.6875</c:v>
                  </c:pt>
                  <c:pt idx="31">
                    <c:v>0.5</c:v>
                  </c:pt>
                  <c:pt idx="32">
                    <c:v>0.625</c:v>
                  </c:pt>
                  <c:pt idx="33">
                    <c:v>0.25</c:v>
                  </c:pt>
                  <c:pt idx="34">
                    <c:v>0.75</c:v>
                  </c:pt>
                  <c:pt idx="35">
                    <c:v>0.85000000000000009</c:v>
                  </c:pt>
                  <c:pt idx="36">
                    <c:v>0.27500000000000036</c:v>
                  </c:pt>
                  <c:pt idx="37">
                    <c:v>0.35000000000000009</c:v>
                  </c:pt>
                  <c:pt idx="38">
                    <c:v>0.52499999999999991</c:v>
                  </c:pt>
                  <c:pt idx="39">
                    <c:v>0.30000000000000004</c:v>
                  </c:pt>
                  <c:pt idx="40">
                    <c:v>0.25</c:v>
                  </c:pt>
                  <c:pt idx="41">
                    <c:v>0.55000000000000004</c:v>
                  </c:pt>
                  <c:pt idx="42">
                    <c:v>1.125</c:v>
                  </c:pt>
                  <c:pt idx="43">
                    <c:v>0.5</c:v>
                  </c:pt>
                  <c:pt idx="44">
                    <c:v>0.63750000000000018</c:v>
                  </c:pt>
                  <c:pt idx="45">
                    <c:v>0.82500000000000018</c:v>
                  </c:pt>
                  <c:pt idx="46">
                    <c:v>0.5</c:v>
                  </c:pt>
                  <c:pt idx="47">
                    <c:v>0.36250000000000004</c:v>
                  </c:pt>
                  <c:pt idx="48">
                    <c:v>0.5</c:v>
                  </c:pt>
                  <c:pt idx="49">
                    <c:v>0.75</c:v>
                  </c:pt>
                  <c:pt idx="50">
                    <c:v>0.7</c:v>
                  </c:pt>
                  <c:pt idx="51">
                    <c:v>0.97500000000000009</c:v>
                  </c:pt>
                  <c:pt idx="52">
                    <c:v>0.72500000000000009</c:v>
                  </c:pt>
                  <c:pt idx="53">
                    <c:v>0.67500000000000004</c:v>
                  </c:pt>
                  <c:pt idx="54">
                    <c:v>0.375</c:v>
                  </c:pt>
                  <c:pt idx="55">
                    <c:v>1</c:v>
                  </c:pt>
                  <c:pt idx="56">
                    <c:v>0.60000000000000009</c:v>
                  </c:pt>
                  <c:pt idx="57">
                    <c:v>0.64999999999999991</c:v>
                  </c:pt>
                  <c:pt idx="58">
                    <c:v>0.75</c:v>
                  </c:pt>
                  <c:pt idx="59">
                    <c:v>0.75</c:v>
                  </c:pt>
                  <c:pt idx="60">
                    <c:v>0.64999999999999991</c:v>
                  </c:pt>
                  <c:pt idx="61">
                    <c:v>0.5</c:v>
                  </c:pt>
                  <c:pt idx="62">
                    <c:v>0.5</c:v>
                  </c:pt>
                  <c:pt idx="63">
                    <c:v>0.75</c:v>
                  </c:pt>
                  <c:pt idx="64">
                    <c:v>0.5</c:v>
                  </c:pt>
                  <c:pt idx="65">
                    <c:v>0.55000000000000004</c:v>
                  </c:pt>
                  <c:pt idx="66">
                    <c:v>0.5625</c:v>
                  </c:pt>
                  <c:pt idx="67">
                    <c:v>0.67499999999999982</c:v>
                  </c:pt>
                  <c:pt idx="68">
                    <c:v>0.75</c:v>
                  </c:pt>
                  <c:pt idx="69">
                    <c:v>0.36249999999999982</c:v>
                  </c:pt>
                  <c:pt idx="70">
                    <c:v>0.52499999999999991</c:v>
                  </c:pt>
                  <c:pt idx="71">
                    <c:v>0.75</c:v>
                  </c:pt>
                  <c:pt idx="72">
                    <c:v>0.67500000000000004</c:v>
                  </c:pt>
                  <c:pt idx="73">
                    <c:v>0.42499999999999982</c:v>
                  </c:pt>
                  <c:pt idx="74">
                    <c:v>0.55000000000000004</c:v>
                  </c:pt>
                  <c:pt idx="75">
                    <c:v>0.5</c:v>
                  </c:pt>
                </c:numCache>
              </c:numRef>
            </c:minus>
          </c:errBars>
          <c:cat>
            <c:strRef>
              <c:f>Analysis1!$B$2:$B$77</c:f>
              <c:strCache>
                <c:ptCount val="76"/>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pt idx="15">
                  <c:v>Black-footed_Albatross</c:v>
                </c:pt>
                <c:pt idx="16">
                  <c:v>Laysan_Albatross</c:v>
                </c:pt>
                <c:pt idx="17">
                  <c:v>Short-tailed_Albatross</c:v>
                </c:pt>
                <c:pt idx="18">
                  <c:v>Buller's_Shearwater</c:v>
                </c:pt>
                <c:pt idx="19">
                  <c:v>Manx_Shearwater</c:v>
                </c:pt>
                <c:pt idx="20">
                  <c:v>Pink-footed_Shearwater</c:v>
                </c:pt>
                <c:pt idx="21">
                  <c:v>Flesh-footed_Shearwater</c:v>
                </c:pt>
                <c:pt idx="22">
                  <c:v>Short-tailed_Shearwater</c:v>
                </c:pt>
                <c:pt idx="23">
                  <c:v>Sooty_Shearwater</c:v>
                </c:pt>
                <c:pt idx="24">
                  <c:v>Black-vented_Shearwater</c:v>
                </c:pt>
                <c:pt idx="25">
                  <c:v>Northern_Fulmar</c:v>
                </c:pt>
                <c:pt idx="26">
                  <c:v>Hawaiian_Petrel</c:v>
                </c:pt>
                <c:pt idx="27">
                  <c:v>Cooks_Petrel</c:v>
                </c:pt>
                <c:pt idx="28">
                  <c:v>Mottled_Petrel</c:v>
                </c:pt>
                <c:pt idx="29">
                  <c:v>Ashy_Storm_Petrel</c:v>
                </c:pt>
                <c:pt idx="30">
                  <c:v>Black_Storm_Petrel</c:v>
                </c:pt>
                <c:pt idx="31">
                  <c:v>Fork-tailed_Storm_Petrel</c:v>
                </c:pt>
                <c:pt idx="32">
                  <c:v>Leach's_Storm_Petrel</c:v>
                </c:pt>
                <c:pt idx="33">
                  <c:v>Willson's_Storm_Petrel</c:v>
                </c:pt>
                <c:pt idx="34">
                  <c:v>Brown_Pelican</c:v>
                </c:pt>
                <c:pt idx="35">
                  <c:v>American_White_Pelican</c:v>
                </c:pt>
                <c:pt idx="36">
                  <c:v>Brandt's_Cormorant</c:v>
                </c:pt>
                <c:pt idx="37">
                  <c:v>Double-crested_Cormorant</c:v>
                </c:pt>
                <c:pt idx="38">
                  <c:v>Pelagic_Cormorant</c:v>
                </c:pt>
                <c:pt idx="39">
                  <c:v>Red_Phalarope</c:v>
                </c:pt>
                <c:pt idx="40">
                  <c:v>Red-necked_Phalarope</c:v>
                </c:pt>
                <c:pt idx="41">
                  <c:v>Black-legged_Kittiwake</c:v>
                </c:pt>
                <c:pt idx="42">
                  <c:v>Bonaparte's_Gull</c:v>
                </c:pt>
                <c:pt idx="43">
                  <c:v>Sabine's_Gull</c:v>
                </c:pt>
                <c:pt idx="44">
                  <c:v>California_Gull</c:v>
                </c:pt>
                <c:pt idx="45">
                  <c:v>Heermann's_Gull</c:v>
                </c:pt>
                <c:pt idx="46">
                  <c:v>Mew_Gull</c:v>
                </c:pt>
                <c:pt idx="47">
                  <c:v>Ring-billed_Gull</c:v>
                </c:pt>
                <c:pt idx="48">
                  <c:v>Herring_Gull</c:v>
                </c:pt>
                <c:pt idx="49">
                  <c:v>Thayer's_Gull</c:v>
                </c:pt>
                <c:pt idx="50">
                  <c:v>Glaucous-winged_Gull</c:v>
                </c:pt>
                <c:pt idx="51">
                  <c:v>Western_Gull</c:v>
                </c:pt>
                <c:pt idx="52">
                  <c:v>Caspian_Tern</c:v>
                </c:pt>
                <c:pt idx="53">
                  <c:v>Arctic_Tern</c:v>
                </c:pt>
                <c:pt idx="54">
                  <c:v>Common_Tern</c:v>
                </c:pt>
                <c:pt idx="55">
                  <c:v>Elegant_Tern</c:v>
                </c:pt>
                <c:pt idx="56">
                  <c:v>Royal_Tern</c:v>
                </c:pt>
                <c:pt idx="57">
                  <c:v>Forster's_Tern</c:v>
                </c:pt>
                <c:pt idx="58">
                  <c:v>Least_Tern</c:v>
                </c:pt>
                <c:pt idx="59">
                  <c:v>Gull-billed_Tern</c:v>
                </c:pt>
                <c:pt idx="60">
                  <c:v>Black_Skimmer</c:v>
                </c:pt>
                <c:pt idx="61">
                  <c:v>Long-tailed_Jaeger</c:v>
                </c:pt>
                <c:pt idx="62">
                  <c:v>Parasitic_Jaeger</c:v>
                </c:pt>
                <c:pt idx="63">
                  <c:v>Pomarine_Jaeger</c:v>
                </c:pt>
                <c:pt idx="64">
                  <c:v>South_Polar_Skua</c:v>
                </c:pt>
                <c:pt idx="65">
                  <c:v>Ancient_Murrelet</c:v>
                </c:pt>
                <c:pt idx="66">
                  <c:v>Marbled_Murrelet</c:v>
                </c:pt>
                <c:pt idx="67">
                  <c:v>Xantus's_Murrelet</c:v>
                </c:pt>
                <c:pt idx="68">
                  <c:v>Craveris Murrelet</c:v>
                </c:pt>
                <c:pt idx="69">
                  <c:v>Common_Murre</c:v>
                </c:pt>
                <c:pt idx="70">
                  <c:v>Pigeon_Guillemot</c:v>
                </c:pt>
                <c:pt idx="71">
                  <c:v>Tufted_Puffin</c:v>
                </c:pt>
                <c:pt idx="72">
                  <c:v>Horned_Puffin</c:v>
                </c:pt>
                <c:pt idx="73">
                  <c:v>Rhinoceros_Auklet</c:v>
                </c:pt>
                <c:pt idx="74">
                  <c:v>Parakeet_Auklet</c:v>
                </c:pt>
                <c:pt idx="75">
                  <c:v>Cassin's_Auklet</c:v>
                </c:pt>
              </c:strCache>
            </c:strRef>
          </c:cat>
          <c:val>
            <c:numRef>
              <c:f>Analysis1!$M$2:$M$77</c:f>
              <c:numCache>
                <c:formatCode>0.0</c:formatCode>
                <c:ptCount val="76"/>
                <c:pt idx="0">
                  <c:v>2.25</c:v>
                </c:pt>
                <c:pt idx="1">
                  <c:v>2.3125</c:v>
                </c:pt>
                <c:pt idx="2">
                  <c:v>1.8125</c:v>
                </c:pt>
                <c:pt idx="3">
                  <c:v>2.75</c:v>
                </c:pt>
                <c:pt idx="4">
                  <c:v>1.3125</c:v>
                </c:pt>
                <c:pt idx="5">
                  <c:v>1.8125</c:v>
                </c:pt>
                <c:pt idx="6">
                  <c:v>3.5</c:v>
                </c:pt>
                <c:pt idx="7">
                  <c:v>2.5625</c:v>
                </c:pt>
                <c:pt idx="8">
                  <c:v>2.8125</c:v>
                </c:pt>
                <c:pt idx="9">
                  <c:v>3.75</c:v>
                </c:pt>
                <c:pt idx="10">
                  <c:v>2.75</c:v>
                </c:pt>
                <c:pt idx="11">
                  <c:v>2.75</c:v>
                </c:pt>
                <c:pt idx="12">
                  <c:v>1.3125</c:v>
                </c:pt>
                <c:pt idx="13">
                  <c:v>2</c:v>
                </c:pt>
                <c:pt idx="14">
                  <c:v>3</c:v>
                </c:pt>
                <c:pt idx="15">
                  <c:v>3.75</c:v>
                </c:pt>
                <c:pt idx="16">
                  <c:v>2.75</c:v>
                </c:pt>
                <c:pt idx="17">
                  <c:v>4.25</c:v>
                </c:pt>
                <c:pt idx="18">
                  <c:v>3</c:v>
                </c:pt>
                <c:pt idx="19">
                  <c:v>2.5625</c:v>
                </c:pt>
                <c:pt idx="20">
                  <c:v>4</c:v>
                </c:pt>
                <c:pt idx="21">
                  <c:v>3</c:v>
                </c:pt>
                <c:pt idx="22">
                  <c:v>2.0625</c:v>
                </c:pt>
                <c:pt idx="23">
                  <c:v>2.75</c:v>
                </c:pt>
                <c:pt idx="24">
                  <c:v>3.75</c:v>
                </c:pt>
                <c:pt idx="25">
                  <c:v>2.3125</c:v>
                </c:pt>
                <c:pt idx="26">
                  <c:v>4</c:v>
                </c:pt>
                <c:pt idx="27">
                  <c:v>3.75</c:v>
                </c:pt>
                <c:pt idx="28">
                  <c:v>2.75</c:v>
                </c:pt>
                <c:pt idx="29">
                  <c:v>4.5</c:v>
                </c:pt>
                <c:pt idx="30">
                  <c:v>3.25</c:v>
                </c:pt>
                <c:pt idx="31">
                  <c:v>2.125</c:v>
                </c:pt>
                <c:pt idx="32">
                  <c:v>2.25</c:v>
                </c:pt>
                <c:pt idx="33">
                  <c:v>1.8125</c:v>
                </c:pt>
                <c:pt idx="34">
                  <c:v>4.25</c:v>
                </c:pt>
                <c:pt idx="35">
                  <c:v>3.75</c:v>
                </c:pt>
                <c:pt idx="36">
                  <c:v>3.5</c:v>
                </c:pt>
                <c:pt idx="37">
                  <c:v>2.3125</c:v>
                </c:pt>
                <c:pt idx="38">
                  <c:v>3.25</c:v>
                </c:pt>
                <c:pt idx="39">
                  <c:v>2.0625</c:v>
                </c:pt>
                <c:pt idx="40">
                  <c:v>1.8125</c:v>
                </c:pt>
                <c:pt idx="41">
                  <c:v>2.0625</c:v>
                </c:pt>
                <c:pt idx="42">
                  <c:v>3.0625</c:v>
                </c:pt>
                <c:pt idx="43">
                  <c:v>2.3125</c:v>
                </c:pt>
                <c:pt idx="44">
                  <c:v>2.75</c:v>
                </c:pt>
                <c:pt idx="45">
                  <c:v>3</c:v>
                </c:pt>
                <c:pt idx="46">
                  <c:v>1.5625</c:v>
                </c:pt>
                <c:pt idx="47">
                  <c:v>2.0625</c:v>
                </c:pt>
                <c:pt idx="48">
                  <c:v>1.8125</c:v>
                </c:pt>
                <c:pt idx="49">
                  <c:v>2.8125</c:v>
                </c:pt>
                <c:pt idx="50">
                  <c:v>2.3125</c:v>
                </c:pt>
                <c:pt idx="51">
                  <c:v>3.0625</c:v>
                </c:pt>
                <c:pt idx="52">
                  <c:v>3.25</c:v>
                </c:pt>
                <c:pt idx="53">
                  <c:v>2.5</c:v>
                </c:pt>
                <c:pt idx="54">
                  <c:v>2.25</c:v>
                </c:pt>
                <c:pt idx="55">
                  <c:v>4</c:v>
                </c:pt>
                <c:pt idx="56">
                  <c:v>2.75</c:v>
                </c:pt>
                <c:pt idx="57">
                  <c:v>2.8125</c:v>
                </c:pt>
                <c:pt idx="58">
                  <c:v>4</c:v>
                </c:pt>
                <c:pt idx="59">
                  <c:v>2.5625</c:v>
                </c:pt>
                <c:pt idx="60">
                  <c:v>3.5</c:v>
                </c:pt>
                <c:pt idx="61">
                  <c:v>1.8125</c:v>
                </c:pt>
                <c:pt idx="62">
                  <c:v>1.8125</c:v>
                </c:pt>
                <c:pt idx="63">
                  <c:v>2.0625</c:v>
                </c:pt>
                <c:pt idx="64">
                  <c:v>3.3125</c:v>
                </c:pt>
                <c:pt idx="65">
                  <c:v>2.5</c:v>
                </c:pt>
                <c:pt idx="66">
                  <c:v>3.5</c:v>
                </c:pt>
                <c:pt idx="67">
                  <c:v>3.75</c:v>
                </c:pt>
                <c:pt idx="68">
                  <c:v>3.5</c:v>
                </c:pt>
                <c:pt idx="69">
                  <c:v>2.75</c:v>
                </c:pt>
                <c:pt idx="70">
                  <c:v>3</c:v>
                </c:pt>
                <c:pt idx="71">
                  <c:v>3.25</c:v>
                </c:pt>
                <c:pt idx="72">
                  <c:v>2.5</c:v>
                </c:pt>
                <c:pt idx="73">
                  <c:v>3</c:v>
                </c:pt>
                <c:pt idx="74">
                  <c:v>2.0625</c:v>
                </c:pt>
                <c:pt idx="75">
                  <c:v>2.5</c:v>
                </c:pt>
              </c:numCache>
            </c:numRef>
          </c:val>
        </c:ser>
        <c:dLbls>
          <c:showLegendKey val="0"/>
          <c:showVal val="0"/>
          <c:showCatName val="0"/>
          <c:showSerName val="0"/>
          <c:showPercent val="0"/>
          <c:showBubbleSize val="0"/>
        </c:dLbls>
        <c:gapWidth val="150"/>
        <c:axId val="250705408"/>
        <c:axId val="251287744"/>
      </c:barChart>
      <c:catAx>
        <c:axId val="250705408"/>
        <c:scaling>
          <c:orientation val="minMax"/>
        </c:scaling>
        <c:delete val="0"/>
        <c:axPos val="l"/>
        <c:majorTickMark val="out"/>
        <c:minorTickMark val="none"/>
        <c:tickLblPos val="nextTo"/>
        <c:crossAx val="251287744"/>
        <c:crosses val="autoZero"/>
        <c:auto val="1"/>
        <c:lblAlgn val="ctr"/>
        <c:lblOffset val="100"/>
        <c:noMultiLvlLbl val="0"/>
      </c:catAx>
      <c:valAx>
        <c:axId val="251287744"/>
        <c:scaling>
          <c:orientation val="minMax"/>
        </c:scaling>
        <c:delete val="0"/>
        <c:axPos val="b"/>
        <c:majorGridlines/>
        <c:numFmt formatCode="0.0" sourceLinked="1"/>
        <c:majorTickMark val="out"/>
        <c:minorTickMark val="none"/>
        <c:tickLblPos val="nextTo"/>
        <c:crossAx val="250705408"/>
        <c:crosses val="autoZero"/>
        <c:crossBetween val="between"/>
        <c:majorUnit val="1"/>
        <c:minorUnit val="0.1"/>
      </c:valAx>
    </c:plotArea>
    <c:plotVisOnly val="1"/>
    <c:dispBlanksAs val="gap"/>
    <c:showDLblsOverMax val="0"/>
  </c:chart>
  <c:txPr>
    <a:bodyPr/>
    <a:lstStyle/>
    <a:p>
      <a:pPr>
        <a:defRPr sz="450"/>
      </a:pPr>
      <a:endParaRPr lang="en-US"/>
    </a:p>
  </c:txPr>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Macro-Avoidance Score</a:t>
            </a:r>
          </a:p>
        </c:rich>
      </c:tx>
      <c:overlay val="0"/>
    </c:title>
    <c:autoTitleDeleted val="0"/>
    <c:plotArea>
      <c:layout/>
      <c:barChart>
        <c:barDir val="col"/>
        <c:grouping val="clustered"/>
        <c:varyColors val="0"/>
        <c:ser>
          <c:idx val="0"/>
          <c:order val="0"/>
          <c:tx>
            <c:strRef>
              <c:f>Analysis2!$L$1</c:f>
              <c:strCache>
                <c:ptCount val="1"/>
                <c:pt idx="0">
                  <c:v>MA Score</c:v>
                </c:pt>
              </c:strCache>
            </c:strRef>
          </c:tx>
          <c:spPr>
            <a:solidFill>
              <a:schemeClr val="accent2">
                <a:lumMod val="75000"/>
              </a:schemeClr>
            </a:solidFill>
          </c:spPr>
          <c:invertIfNegative val="0"/>
          <c:dPt>
            <c:idx val="0"/>
            <c:invertIfNegative val="0"/>
            <c:bubble3D val="0"/>
            <c:spPr>
              <a:solidFill>
                <a:schemeClr val="accent5">
                  <a:lumMod val="75000"/>
                </a:schemeClr>
              </a:solidFill>
            </c:spPr>
          </c:dPt>
          <c:dPt>
            <c:idx val="1"/>
            <c:invertIfNegative val="0"/>
            <c:bubble3D val="0"/>
            <c:spPr>
              <a:solidFill>
                <a:schemeClr val="accent5">
                  <a:lumMod val="75000"/>
                </a:schemeClr>
              </a:solidFill>
            </c:spPr>
          </c:dPt>
          <c:dPt>
            <c:idx val="2"/>
            <c:invertIfNegative val="0"/>
            <c:bubble3D val="0"/>
            <c:spPr>
              <a:solidFill>
                <a:schemeClr val="accent5">
                  <a:lumMod val="75000"/>
                </a:schemeClr>
              </a:solidFill>
            </c:spPr>
          </c:dPt>
          <c:dPt>
            <c:idx val="3"/>
            <c:invertIfNegative val="0"/>
            <c:bubble3D val="0"/>
            <c:spPr>
              <a:solidFill>
                <a:schemeClr val="accent5">
                  <a:lumMod val="75000"/>
                </a:schemeClr>
              </a:solidFill>
            </c:spPr>
          </c:dPt>
          <c:dPt>
            <c:idx val="4"/>
            <c:invertIfNegative val="0"/>
            <c:bubble3D val="0"/>
            <c:spPr>
              <a:solidFill>
                <a:schemeClr val="accent1">
                  <a:lumMod val="75000"/>
                </a:schemeClr>
              </a:solidFill>
            </c:spPr>
          </c:dPt>
          <c:dPt>
            <c:idx val="5"/>
            <c:invertIfNegative val="0"/>
            <c:bubble3D val="0"/>
            <c:spPr>
              <a:solidFill>
                <a:schemeClr val="accent1">
                  <a:lumMod val="75000"/>
                </a:schemeClr>
              </a:solidFill>
            </c:spPr>
          </c:dPt>
          <c:dPt>
            <c:idx val="6"/>
            <c:invertIfNegative val="0"/>
            <c:bubble3D val="0"/>
            <c:spPr>
              <a:solidFill>
                <a:schemeClr val="tx2">
                  <a:lumMod val="60000"/>
                  <a:lumOff val="40000"/>
                </a:schemeClr>
              </a:solidFill>
            </c:spPr>
          </c:dPt>
          <c:dPt>
            <c:idx val="7"/>
            <c:invertIfNegative val="0"/>
            <c:bubble3D val="0"/>
            <c:spPr>
              <a:solidFill>
                <a:schemeClr val="tx2">
                  <a:lumMod val="60000"/>
                  <a:lumOff val="40000"/>
                </a:schemeClr>
              </a:solidFill>
            </c:spPr>
          </c:dPt>
          <c:dPt>
            <c:idx val="8"/>
            <c:invertIfNegative val="0"/>
            <c:bubble3D val="0"/>
            <c:spPr>
              <a:solidFill>
                <a:schemeClr val="tx2">
                  <a:lumMod val="60000"/>
                  <a:lumOff val="40000"/>
                </a:schemeClr>
              </a:solidFill>
            </c:spPr>
          </c:dPt>
          <c:dPt>
            <c:idx val="9"/>
            <c:invertIfNegative val="0"/>
            <c:bubble3D val="0"/>
            <c:spPr>
              <a:solidFill>
                <a:schemeClr val="tx2">
                  <a:lumMod val="60000"/>
                  <a:lumOff val="40000"/>
                </a:schemeClr>
              </a:solidFill>
            </c:spPr>
          </c:dPt>
          <c:dPt>
            <c:idx val="10"/>
            <c:invertIfNegative val="0"/>
            <c:bubble3D val="0"/>
            <c:spPr>
              <a:solidFill>
                <a:schemeClr val="accent4">
                  <a:lumMod val="75000"/>
                </a:schemeClr>
              </a:solidFill>
            </c:spPr>
          </c:dPt>
          <c:dPt>
            <c:idx val="11"/>
            <c:invertIfNegative val="0"/>
            <c:bubble3D val="0"/>
            <c:spPr>
              <a:solidFill>
                <a:schemeClr val="accent4">
                  <a:lumMod val="75000"/>
                </a:schemeClr>
              </a:solidFill>
            </c:spPr>
          </c:dPt>
          <c:dPt>
            <c:idx val="12"/>
            <c:invertIfNegative val="0"/>
            <c:bubble3D val="0"/>
            <c:spPr>
              <a:solidFill>
                <a:schemeClr val="accent4">
                  <a:lumMod val="75000"/>
                </a:schemeClr>
              </a:solidFill>
            </c:spPr>
          </c:dPt>
          <c:dPt>
            <c:idx val="13"/>
            <c:invertIfNegative val="0"/>
            <c:bubble3D val="0"/>
            <c:spPr>
              <a:solidFill>
                <a:schemeClr val="accent4">
                  <a:lumMod val="75000"/>
                </a:schemeClr>
              </a:solidFill>
            </c:spPr>
          </c:dPt>
          <c:dPt>
            <c:idx val="14"/>
            <c:invertIfNegative val="0"/>
            <c:bubble3D val="0"/>
            <c:spPr>
              <a:solidFill>
                <a:schemeClr val="accent4">
                  <a:lumMod val="75000"/>
                </a:schemeClr>
              </a:solidFill>
            </c:spPr>
          </c:dPt>
          <c:dPt>
            <c:idx val="34"/>
            <c:invertIfNegative val="0"/>
            <c:bubble3D val="0"/>
            <c:spPr>
              <a:solidFill>
                <a:schemeClr val="accent6">
                  <a:lumMod val="75000"/>
                </a:schemeClr>
              </a:solidFill>
            </c:spPr>
          </c:dPt>
          <c:dPt>
            <c:idx val="35"/>
            <c:invertIfNegative val="0"/>
            <c:bubble3D val="0"/>
            <c:spPr>
              <a:solidFill>
                <a:schemeClr val="accent6">
                  <a:lumMod val="75000"/>
                </a:schemeClr>
              </a:solidFill>
            </c:spPr>
          </c:dPt>
          <c:dPt>
            <c:idx val="36"/>
            <c:invertIfNegative val="0"/>
            <c:bubble3D val="0"/>
            <c:spPr>
              <a:solidFill>
                <a:srgbClr val="FFFF00"/>
              </a:solidFill>
            </c:spPr>
          </c:dPt>
          <c:dPt>
            <c:idx val="37"/>
            <c:invertIfNegative val="0"/>
            <c:bubble3D val="0"/>
            <c:spPr>
              <a:solidFill>
                <a:srgbClr val="FFFF00"/>
              </a:solidFill>
            </c:spPr>
          </c:dPt>
          <c:dPt>
            <c:idx val="38"/>
            <c:invertIfNegative val="0"/>
            <c:bubble3D val="0"/>
            <c:spPr>
              <a:solidFill>
                <a:srgbClr val="FFFF00"/>
              </a:solidFill>
            </c:spPr>
          </c:dPt>
          <c:dPt>
            <c:idx val="39"/>
            <c:invertIfNegative val="0"/>
            <c:bubble3D val="0"/>
            <c:spPr>
              <a:solidFill>
                <a:schemeClr val="accent3">
                  <a:lumMod val="75000"/>
                </a:schemeClr>
              </a:solidFill>
            </c:spPr>
          </c:dPt>
          <c:dPt>
            <c:idx val="40"/>
            <c:invertIfNegative val="0"/>
            <c:bubble3D val="0"/>
            <c:spPr>
              <a:solidFill>
                <a:schemeClr val="accent3">
                  <a:lumMod val="75000"/>
                </a:schemeClr>
              </a:solidFill>
            </c:spPr>
          </c:dPt>
          <c:dPt>
            <c:idx val="41"/>
            <c:invertIfNegative val="0"/>
            <c:bubble3D val="0"/>
            <c:spPr>
              <a:solidFill>
                <a:schemeClr val="accent5">
                  <a:lumMod val="75000"/>
                </a:schemeClr>
              </a:solidFill>
            </c:spPr>
          </c:dPt>
          <c:dPt>
            <c:idx val="42"/>
            <c:invertIfNegative val="0"/>
            <c:bubble3D val="0"/>
            <c:spPr>
              <a:solidFill>
                <a:schemeClr val="accent5">
                  <a:lumMod val="75000"/>
                </a:schemeClr>
              </a:solidFill>
            </c:spPr>
          </c:dPt>
          <c:dPt>
            <c:idx val="43"/>
            <c:invertIfNegative val="0"/>
            <c:bubble3D val="0"/>
            <c:spPr>
              <a:solidFill>
                <a:schemeClr val="accent5">
                  <a:lumMod val="75000"/>
                </a:schemeClr>
              </a:solidFill>
            </c:spPr>
          </c:dPt>
          <c:dPt>
            <c:idx val="44"/>
            <c:invertIfNegative val="0"/>
            <c:bubble3D val="0"/>
            <c:spPr>
              <a:solidFill>
                <a:schemeClr val="accent5">
                  <a:lumMod val="75000"/>
                </a:schemeClr>
              </a:solidFill>
            </c:spPr>
          </c:dPt>
          <c:dPt>
            <c:idx val="45"/>
            <c:invertIfNegative val="0"/>
            <c:bubble3D val="0"/>
            <c:spPr>
              <a:solidFill>
                <a:schemeClr val="accent5">
                  <a:lumMod val="75000"/>
                </a:schemeClr>
              </a:solidFill>
            </c:spPr>
          </c:dPt>
          <c:dPt>
            <c:idx val="46"/>
            <c:invertIfNegative val="0"/>
            <c:bubble3D val="0"/>
            <c:spPr>
              <a:solidFill>
                <a:schemeClr val="accent5">
                  <a:lumMod val="75000"/>
                </a:schemeClr>
              </a:solidFill>
            </c:spPr>
          </c:dPt>
          <c:dPt>
            <c:idx val="47"/>
            <c:invertIfNegative val="0"/>
            <c:bubble3D val="0"/>
            <c:spPr>
              <a:solidFill>
                <a:schemeClr val="accent5">
                  <a:lumMod val="75000"/>
                </a:schemeClr>
              </a:solidFill>
            </c:spPr>
          </c:dPt>
          <c:dPt>
            <c:idx val="48"/>
            <c:invertIfNegative val="0"/>
            <c:bubble3D val="0"/>
            <c:spPr>
              <a:solidFill>
                <a:schemeClr val="accent5">
                  <a:lumMod val="75000"/>
                </a:schemeClr>
              </a:solidFill>
            </c:spPr>
          </c:dPt>
          <c:dPt>
            <c:idx val="49"/>
            <c:invertIfNegative val="0"/>
            <c:bubble3D val="0"/>
            <c:spPr>
              <a:solidFill>
                <a:schemeClr val="accent5">
                  <a:lumMod val="75000"/>
                </a:schemeClr>
              </a:solidFill>
            </c:spPr>
          </c:dPt>
          <c:dPt>
            <c:idx val="50"/>
            <c:invertIfNegative val="0"/>
            <c:bubble3D val="0"/>
            <c:spPr>
              <a:solidFill>
                <a:schemeClr val="accent5">
                  <a:lumMod val="75000"/>
                </a:schemeClr>
              </a:solidFill>
            </c:spPr>
          </c:dPt>
          <c:dPt>
            <c:idx val="51"/>
            <c:invertIfNegative val="0"/>
            <c:bubble3D val="0"/>
            <c:spPr>
              <a:solidFill>
                <a:schemeClr val="accent5">
                  <a:lumMod val="75000"/>
                </a:schemeClr>
              </a:solidFill>
            </c:spPr>
          </c:dPt>
          <c:dPt>
            <c:idx val="52"/>
            <c:invertIfNegative val="0"/>
            <c:bubble3D val="0"/>
            <c:spPr>
              <a:solidFill>
                <a:schemeClr val="accent1">
                  <a:lumMod val="75000"/>
                </a:schemeClr>
              </a:solidFill>
            </c:spPr>
          </c:dPt>
          <c:dPt>
            <c:idx val="53"/>
            <c:invertIfNegative val="0"/>
            <c:bubble3D val="0"/>
            <c:spPr>
              <a:solidFill>
                <a:schemeClr val="accent1">
                  <a:lumMod val="75000"/>
                </a:schemeClr>
              </a:solidFill>
            </c:spPr>
          </c:dPt>
          <c:dPt>
            <c:idx val="54"/>
            <c:invertIfNegative val="0"/>
            <c:bubble3D val="0"/>
            <c:spPr>
              <a:solidFill>
                <a:schemeClr val="accent1">
                  <a:lumMod val="75000"/>
                </a:schemeClr>
              </a:solidFill>
            </c:spPr>
          </c:dPt>
          <c:dPt>
            <c:idx val="55"/>
            <c:invertIfNegative val="0"/>
            <c:bubble3D val="0"/>
            <c:spPr>
              <a:solidFill>
                <a:schemeClr val="accent1">
                  <a:lumMod val="75000"/>
                </a:schemeClr>
              </a:solidFill>
            </c:spPr>
          </c:dPt>
          <c:dPt>
            <c:idx val="56"/>
            <c:invertIfNegative val="0"/>
            <c:bubble3D val="0"/>
            <c:spPr>
              <a:solidFill>
                <a:schemeClr val="accent1">
                  <a:lumMod val="75000"/>
                </a:schemeClr>
              </a:solidFill>
            </c:spPr>
          </c:dPt>
          <c:dPt>
            <c:idx val="57"/>
            <c:invertIfNegative val="0"/>
            <c:bubble3D val="0"/>
            <c:spPr>
              <a:solidFill>
                <a:schemeClr val="accent1">
                  <a:lumMod val="75000"/>
                </a:schemeClr>
              </a:solidFill>
            </c:spPr>
          </c:dPt>
          <c:dPt>
            <c:idx val="58"/>
            <c:invertIfNegative val="0"/>
            <c:bubble3D val="0"/>
            <c:spPr>
              <a:solidFill>
                <a:schemeClr val="accent1">
                  <a:lumMod val="75000"/>
                </a:schemeClr>
              </a:solidFill>
            </c:spPr>
          </c:dPt>
          <c:dPt>
            <c:idx val="59"/>
            <c:invertIfNegative val="0"/>
            <c:bubble3D val="0"/>
            <c:spPr>
              <a:solidFill>
                <a:schemeClr val="accent1">
                  <a:lumMod val="75000"/>
                </a:schemeClr>
              </a:solidFill>
            </c:spPr>
          </c:dPt>
          <c:dPt>
            <c:idx val="60"/>
            <c:invertIfNegative val="0"/>
            <c:bubble3D val="0"/>
            <c:spPr>
              <a:solidFill>
                <a:schemeClr val="accent1">
                  <a:lumMod val="75000"/>
                </a:schemeClr>
              </a:solidFill>
            </c:spPr>
          </c:dPt>
          <c:dPt>
            <c:idx val="61"/>
            <c:invertIfNegative val="0"/>
            <c:bubble3D val="0"/>
            <c:spPr>
              <a:solidFill>
                <a:schemeClr val="tx2">
                  <a:lumMod val="60000"/>
                  <a:lumOff val="40000"/>
                </a:schemeClr>
              </a:solidFill>
            </c:spPr>
          </c:dPt>
          <c:dPt>
            <c:idx val="62"/>
            <c:invertIfNegative val="0"/>
            <c:bubble3D val="0"/>
            <c:spPr>
              <a:solidFill>
                <a:schemeClr val="tx2">
                  <a:lumMod val="60000"/>
                  <a:lumOff val="40000"/>
                </a:schemeClr>
              </a:solidFill>
            </c:spPr>
          </c:dPt>
          <c:dPt>
            <c:idx val="63"/>
            <c:invertIfNegative val="0"/>
            <c:bubble3D val="0"/>
            <c:spPr>
              <a:solidFill>
                <a:schemeClr val="tx2">
                  <a:lumMod val="60000"/>
                  <a:lumOff val="40000"/>
                </a:schemeClr>
              </a:solidFill>
            </c:spPr>
          </c:dPt>
          <c:dPt>
            <c:idx val="64"/>
            <c:invertIfNegative val="0"/>
            <c:bubble3D val="0"/>
            <c:spPr>
              <a:solidFill>
                <a:schemeClr val="tx2">
                  <a:lumMod val="60000"/>
                  <a:lumOff val="40000"/>
                </a:schemeClr>
              </a:solidFill>
            </c:spPr>
          </c:dPt>
          <c:dPt>
            <c:idx val="65"/>
            <c:invertIfNegative val="0"/>
            <c:bubble3D val="0"/>
            <c:spPr>
              <a:solidFill>
                <a:schemeClr val="accent4">
                  <a:lumMod val="75000"/>
                </a:schemeClr>
              </a:solidFill>
            </c:spPr>
          </c:dPt>
          <c:dPt>
            <c:idx val="66"/>
            <c:invertIfNegative val="0"/>
            <c:bubble3D val="0"/>
            <c:spPr>
              <a:solidFill>
                <a:schemeClr val="accent4">
                  <a:lumMod val="75000"/>
                </a:schemeClr>
              </a:solidFill>
            </c:spPr>
          </c:dPt>
          <c:dPt>
            <c:idx val="67"/>
            <c:invertIfNegative val="0"/>
            <c:bubble3D val="0"/>
            <c:spPr>
              <a:solidFill>
                <a:schemeClr val="accent4">
                  <a:lumMod val="75000"/>
                </a:schemeClr>
              </a:solidFill>
            </c:spPr>
          </c:dPt>
          <c:dPt>
            <c:idx val="68"/>
            <c:invertIfNegative val="0"/>
            <c:bubble3D val="0"/>
            <c:spPr>
              <a:solidFill>
                <a:schemeClr val="accent4">
                  <a:lumMod val="75000"/>
                </a:schemeClr>
              </a:solidFill>
            </c:spPr>
          </c:dPt>
          <c:dPt>
            <c:idx val="69"/>
            <c:invertIfNegative val="0"/>
            <c:bubble3D val="0"/>
            <c:spPr>
              <a:solidFill>
                <a:schemeClr val="accent4">
                  <a:lumMod val="75000"/>
                </a:schemeClr>
              </a:solidFill>
            </c:spPr>
          </c:dPt>
          <c:dPt>
            <c:idx val="70"/>
            <c:invertIfNegative val="0"/>
            <c:bubble3D val="0"/>
            <c:spPr>
              <a:solidFill>
                <a:schemeClr val="accent4">
                  <a:lumMod val="75000"/>
                </a:schemeClr>
              </a:solidFill>
            </c:spPr>
          </c:dPt>
          <c:dPt>
            <c:idx val="71"/>
            <c:invertIfNegative val="0"/>
            <c:bubble3D val="0"/>
            <c:spPr>
              <a:solidFill>
                <a:schemeClr val="accent4">
                  <a:lumMod val="75000"/>
                </a:schemeClr>
              </a:solidFill>
            </c:spPr>
          </c:dPt>
          <c:dPt>
            <c:idx val="72"/>
            <c:invertIfNegative val="0"/>
            <c:bubble3D val="0"/>
            <c:spPr>
              <a:solidFill>
                <a:schemeClr val="accent4">
                  <a:lumMod val="75000"/>
                </a:schemeClr>
              </a:solidFill>
            </c:spPr>
          </c:dPt>
          <c:dPt>
            <c:idx val="73"/>
            <c:invertIfNegative val="0"/>
            <c:bubble3D val="0"/>
            <c:spPr>
              <a:solidFill>
                <a:schemeClr val="accent4">
                  <a:lumMod val="75000"/>
                </a:schemeClr>
              </a:solidFill>
            </c:spPr>
          </c:dPt>
          <c:dPt>
            <c:idx val="74"/>
            <c:invertIfNegative val="0"/>
            <c:bubble3D val="0"/>
            <c:spPr>
              <a:solidFill>
                <a:schemeClr val="accent4">
                  <a:lumMod val="75000"/>
                </a:schemeClr>
              </a:solidFill>
            </c:spPr>
          </c:dPt>
          <c:dPt>
            <c:idx val="75"/>
            <c:invertIfNegative val="0"/>
            <c:bubble3D val="0"/>
            <c:spPr>
              <a:solidFill>
                <a:schemeClr val="accent4">
                  <a:lumMod val="75000"/>
                </a:schemeClr>
              </a:solidFill>
            </c:spPr>
          </c:dPt>
          <c:errBars>
            <c:errBarType val="both"/>
            <c:errValType val="cust"/>
            <c:noEndCap val="0"/>
            <c:plus>
              <c:numRef>
                <c:f>Analysis2!$N$2:$N$77</c:f>
                <c:numCache>
                  <c:formatCode>General</c:formatCode>
                  <c:ptCount val="7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1.5</c:v>
                  </c:pt>
                  <c:pt idx="35">
                    <c:v>1.5</c:v>
                  </c:pt>
                  <c:pt idx="36">
                    <c:v>4.5</c:v>
                  </c:pt>
                  <c:pt idx="37">
                    <c:v>4.5</c:v>
                  </c:pt>
                  <c:pt idx="38">
                    <c:v>4.5</c:v>
                  </c:pt>
                  <c:pt idx="39">
                    <c:v>4.5</c:v>
                  </c:pt>
                  <c:pt idx="40">
                    <c:v>4.5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1.25</c:v>
                  </c:pt>
                  <c:pt idx="62">
                    <c:v>1.25</c:v>
                  </c:pt>
                  <c:pt idx="63">
                    <c:v>1.25</c:v>
                  </c:pt>
                  <c:pt idx="64">
                    <c:v>1.5</c:v>
                  </c:pt>
                  <c:pt idx="65">
                    <c:v>5</c:v>
                  </c:pt>
                  <c:pt idx="66">
                    <c:v>5</c:v>
                  </c:pt>
                  <c:pt idx="67">
                    <c:v>5</c:v>
                  </c:pt>
                  <c:pt idx="68">
                    <c:v>5</c:v>
                  </c:pt>
                  <c:pt idx="69">
                    <c:v>5</c:v>
                  </c:pt>
                  <c:pt idx="70">
                    <c:v>5</c:v>
                  </c:pt>
                  <c:pt idx="71">
                    <c:v>5</c:v>
                  </c:pt>
                  <c:pt idx="72">
                    <c:v>5</c:v>
                  </c:pt>
                  <c:pt idx="73">
                    <c:v>5</c:v>
                  </c:pt>
                  <c:pt idx="74">
                    <c:v>5</c:v>
                  </c:pt>
                  <c:pt idx="75">
                    <c:v>5</c:v>
                  </c:pt>
                </c:numCache>
              </c:numRef>
            </c:plus>
            <c:minus>
              <c:numRef>
                <c:f>Analysis2!$M$2:$M$77</c:f>
                <c:numCache>
                  <c:formatCode>General</c:formatCode>
                  <c:ptCount val="76"/>
                  <c:pt idx="0">
                    <c:v>3.75</c:v>
                  </c:pt>
                  <c:pt idx="1">
                    <c:v>3.75</c:v>
                  </c:pt>
                  <c:pt idx="2">
                    <c:v>3.75</c:v>
                  </c:pt>
                  <c:pt idx="3">
                    <c:v>3.75</c:v>
                  </c:pt>
                  <c:pt idx="4">
                    <c:v>2</c:v>
                  </c:pt>
                  <c:pt idx="5">
                    <c:v>2</c:v>
                  </c:pt>
                  <c:pt idx="6">
                    <c:v>4.5</c:v>
                  </c:pt>
                  <c:pt idx="7">
                    <c:v>4.5</c:v>
                  </c:pt>
                  <c:pt idx="8">
                    <c:v>4.5</c:v>
                  </c:pt>
                  <c:pt idx="9">
                    <c:v>4.5</c:v>
                  </c:pt>
                  <c:pt idx="10">
                    <c:v>2.5</c:v>
                  </c:pt>
                  <c:pt idx="11">
                    <c:v>2.5</c:v>
                  </c:pt>
                  <c:pt idx="12">
                    <c:v>2.5</c:v>
                  </c:pt>
                  <c:pt idx="13">
                    <c:v>2.5</c:v>
                  </c:pt>
                  <c:pt idx="14">
                    <c:v>2.5</c:v>
                  </c:pt>
                  <c:pt idx="15">
                    <c:v>2.5</c:v>
                  </c:pt>
                  <c:pt idx="16">
                    <c:v>2.5</c:v>
                  </c:pt>
                  <c:pt idx="17">
                    <c:v>2.5</c:v>
                  </c:pt>
                  <c:pt idx="18">
                    <c:v>2.5</c:v>
                  </c:pt>
                  <c:pt idx="19">
                    <c:v>3.75</c:v>
                  </c:pt>
                  <c:pt idx="20">
                    <c:v>2.5</c:v>
                  </c:pt>
                  <c:pt idx="21">
                    <c:v>2.5</c:v>
                  </c:pt>
                  <c:pt idx="22">
                    <c:v>2.5</c:v>
                  </c:pt>
                  <c:pt idx="23">
                    <c:v>3.75</c:v>
                  </c:pt>
                  <c:pt idx="24">
                    <c:v>2.5</c:v>
                  </c:pt>
                  <c:pt idx="25">
                    <c:v>3.75</c:v>
                  </c:pt>
                  <c:pt idx="26">
                    <c:v>2.5</c:v>
                  </c:pt>
                  <c:pt idx="27">
                    <c:v>2.5</c:v>
                  </c:pt>
                  <c:pt idx="28">
                    <c:v>2.5</c:v>
                  </c:pt>
                  <c:pt idx="29">
                    <c:v>2.5</c:v>
                  </c:pt>
                  <c:pt idx="30">
                    <c:v>2.5</c:v>
                  </c:pt>
                  <c:pt idx="31">
                    <c:v>2.5</c:v>
                  </c:pt>
                  <c:pt idx="32">
                    <c:v>3.75</c:v>
                  </c:pt>
                  <c:pt idx="33">
                    <c:v>3.75</c:v>
                  </c:pt>
                  <c:pt idx="34">
                    <c:v>1</c:v>
                  </c:pt>
                  <c:pt idx="35">
                    <c:v>1</c:v>
                  </c:pt>
                  <c:pt idx="36">
                    <c:v>1.5</c:v>
                  </c:pt>
                  <c:pt idx="37">
                    <c:v>1.5</c:v>
                  </c:pt>
                  <c:pt idx="38">
                    <c:v>1.5</c:v>
                  </c:pt>
                  <c:pt idx="39">
                    <c:v>1.5</c:v>
                  </c:pt>
                  <c:pt idx="40">
                    <c:v>1.5</c:v>
                  </c:pt>
                  <c:pt idx="41">
                    <c:v>2</c:v>
                  </c:pt>
                  <c:pt idx="42">
                    <c:v>2</c:v>
                  </c:pt>
                  <c:pt idx="43">
                    <c:v>2</c:v>
                  </c:pt>
                  <c:pt idx="44">
                    <c:v>2</c:v>
                  </c:pt>
                  <c:pt idx="45">
                    <c:v>2</c:v>
                  </c:pt>
                  <c:pt idx="46">
                    <c:v>2</c:v>
                  </c:pt>
                  <c:pt idx="47">
                    <c:v>2</c:v>
                  </c:pt>
                  <c:pt idx="48">
                    <c:v>2</c:v>
                  </c:pt>
                  <c:pt idx="49">
                    <c:v>2</c:v>
                  </c:pt>
                  <c:pt idx="50">
                    <c:v>2</c:v>
                  </c:pt>
                  <c:pt idx="51">
                    <c:v>2</c:v>
                  </c:pt>
                  <c:pt idx="52">
                    <c:v>2.5</c:v>
                  </c:pt>
                  <c:pt idx="53">
                    <c:v>2.5</c:v>
                  </c:pt>
                  <c:pt idx="54">
                    <c:v>2.5</c:v>
                  </c:pt>
                  <c:pt idx="55">
                    <c:v>2.5</c:v>
                  </c:pt>
                  <c:pt idx="56">
                    <c:v>2.5</c:v>
                  </c:pt>
                  <c:pt idx="57">
                    <c:v>2.5</c:v>
                  </c:pt>
                  <c:pt idx="58">
                    <c:v>2.5</c:v>
                  </c:pt>
                  <c:pt idx="59">
                    <c:v>2.5</c:v>
                  </c:pt>
                  <c:pt idx="60">
                    <c:v>2.5</c:v>
                  </c:pt>
                  <c:pt idx="61">
                    <c:v>1</c:v>
                  </c:pt>
                  <c:pt idx="62">
                    <c:v>1</c:v>
                  </c:pt>
                  <c:pt idx="63">
                    <c:v>1</c:v>
                  </c:pt>
                  <c:pt idx="64">
                    <c:v>1</c:v>
                  </c:pt>
                  <c:pt idx="65">
                    <c:v>3.75</c:v>
                  </c:pt>
                  <c:pt idx="66">
                    <c:v>3.75</c:v>
                  </c:pt>
                  <c:pt idx="67">
                    <c:v>3.75</c:v>
                  </c:pt>
                  <c:pt idx="68">
                    <c:v>3.75</c:v>
                  </c:pt>
                  <c:pt idx="69">
                    <c:v>3.75</c:v>
                  </c:pt>
                  <c:pt idx="70">
                    <c:v>4.5</c:v>
                  </c:pt>
                  <c:pt idx="71">
                    <c:v>3.75</c:v>
                  </c:pt>
                  <c:pt idx="72">
                    <c:v>3.75</c:v>
                  </c:pt>
                  <c:pt idx="73">
                    <c:v>3.75</c:v>
                  </c:pt>
                  <c:pt idx="74">
                    <c:v>3.75</c:v>
                  </c:pt>
                  <c:pt idx="75">
                    <c:v>2.5</c:v>
                  </c:pt>
                </c:numCache>
              </c:numRef>
            </c:minus>
            <c:spPr>
              <a:ln w="12700" cap="sq">
                <a:solidFill>
                  <a:schemeClr val="tx1"/>
                </a:solidFill>
              </a:ln>
            </c:spPr>
          </c:errBars>
          <c:cat>
            <c:strRef>
              <c:f>Analysis2!$B$2:$B$77</c:f>
              <c:strCache>
                <c:ptCount val="76"/>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pt idx="15">
                  <c:v>Black-footed_Albatross</c:v>
                </c:pt>
                <c:pt idx="16">
                  <c:v>Laysan_Albatross</c:v>
                </c:pt>
                <c:pt idx="17">
                  <c:v>Short-tailed_Albatross</c:v>
                </c:pt>
                <c:pt idx="18">
                  <c:v>Buller's_Shearwater</c:v>
                </c:pt>
                <c:pt idx="19">
                  <c:v>Manx_Shearwater</c:v>
                </c:pt>
                <c:pt idx="20">
                  <c:v>Pink-footed_Shearwater</c:v>
                </c:pt>
                <c:pt idx="21">
                  <c:v>Flesh-footed_Shearwater</c:v>
                </c:pt>
                <c:pt idx="22">
                  <c:v>Short-tailed_Shearwater</c:v>
                </c:pt>
                <c:pt idx="23">
                  <c:v>Sooty_Shearwater</c:v>
                </c:pt>
                <c:pt idx="24">
                  <c:v>Black-vented_Shearwater</c:v>
                </c:pt>
                <c:pt idx="25">
                  <c:v>Northern_Fulmar</c:v>
                </c:pt>
                <c:pt idx="26">
                  <c:v>Hawaiian_Petrel</c:v>
                </c:pt>
                <c:pt idx="27">
                  <c:v>Cooks_Petrel</c:v>
                </c:pt>
                <c:pt idx="28">
                  <c:v>Mottled_Petrel</c:v>
                </c:pt>
                <c:pt idx="29">
                  <c:v>Ashy_Storm_Petrel</c:v>
                </c:pt>
                <c:pt idx="30">
                  <c:v>Black_Storm_Petrel</c:v>
                </c:pt>
                <c:pt idx="31">
                  <c:v>Fork-tailed_Storm_Petrel</c:v>
                </c:pt>
                <c:pt idx="32">
                  <c:v>Leach's_Storm_Petrel</c:v>
                </c:pt>
                <c:pt idx="33">
                  <c:v>Willson's_Storm_Petrel</c:v>
                </c:pt>
                <c:pt idx="34">
                  <c:v>Brown_Pelican</c:v>
                </c:pt>
                <c:pt idx="35">
                  <c:v>American_White_Pelican</c:v>
                </c:pt>
                <c:pt idx="36">
                  <c:v>Brandt's_Cormorant</c:v>
                </c:pt>
                <c:pt idx="37">
                  <c:v>Double-crested_Cormorant</c:v>
                </c:pt>
                <c:pt idx="38">
                  <c:v>Pelagic_Cormorant</c:v>
                </c:pt>
                <c:pt idx="39">
                  <c:v>Red_Phalarope</c:v>
                </c:pt>
                <c:pt idx="40">
                  <c:v>Red-necked_Phalarope</c:v>
                </c:pt>
                <c:pt idx="41">
                  <c:v>Black-legged_Kittiwake</c:v>
                </c:pt>
                <c:pt idx="42">
                  <c:v>Bonaparte's_Gull</c:v>
                </c:pt>
                <c:pt idx="43">
                  <c:v>Sabine's_Gull</c:v>
                </c:pt>
                <c:pt idx="44">
                  <c:v>California_Gull</c:v>
                </c:pt>
                <c:pt idx="45">
                  <c:v>Heermann's_Gull</c:v>
                </c:pt>
                <c:pt idx="46">
                  <c:v>Mew_Gull</c:v>
                </c:pt>
                <c:pt idx="47">
                  <c:v>Ring-billed_Gull</c:v>
                </c:pt>
                <c:pt idx="48">
                  <c:v>Herring_Gull</c:v>
                </c:pt>
                <c:pt idx="49">
                  <c:v>Thayer's_Gull</c:v>
                </c:pt>
                <c:pt idx="50">
                  <c:v>Glaucous-winged_Gull</c:v>
                </c:pt>
                <c:pt idx="51">
                  <c:v>Western_Gull</c:v>
                </c:pt>
                <c:pt idx="52">
                  <c:v>Caspian_Tern</c:v>
                </c:pt>
                <c:pt idx="53">
                  <c:v>Arctic_Tern</c:v>
                </c:pt>
                <c:pt idx="54">
                  <c:v>Common_Tern</c:v>
                </c:pt>
                <c:pt idx="55">
                  <c:v>Elegant_Tern</c:v>
                </c:pt>
                <c:pt idx="56">
                  <c:v>Royal_Tern</c:v>
                </c:pt>
                <c:pt idx="57">
                  <c:v>Forster's_Tern</c:v>
                </c:pt>
                <c:pt idx="58">
                  <c:v>Least_Tern</c:v>
                </c:pt>
                <c:pt idx="59">
                  <c:v>Gull-billed_Tern</c:v>
                </c:pt>
                <c:pt idx="60">
                  <c:v>Black_Skimmer</c:v>
                </c:pt>
                <c:pt idx="61">
                  <c:v>Long-tailed_Jaeger</c:v>
                </c:pt>
                <c:pt idx="62">
                  <c:v>Parasitic_Jaeger</c:v>
                </c:pt>
                <c:pt idx="63">
                  <c:v>Pomarine_Jaeger</c:v>
                </c:pt>
                <c:pt idx="64">
                  <c:v>South_Polar_Skua</c:v>
                </c:pt>
                <c:pt idx="65">
                  <c:v>Ancient_Murrelet</c:v>
                </c:pt>
                <c:pt idx="66">
                  <c:v>Cassin's_Auklet</c:v>
                </c:pt>
                <c:pt idx="67">
                  <c:v>Marbled_Murrelet</c:v>
                </c:pt>
                <c:pt idx="68">
                  <c:v>Xantus's_Murrelet</c:v>
                </c:pt>
                <c:pt idx="69">
                  <c:v>Craveris Murrelet</c:v>
                </c:pt>
                <c:pt idx="70">
                  <c:v>Common_Murre</c:v>
                </c:pt>
                <c:pt idx="71">
                  <c:v>Tufted_Puffin</c:v>
                </c:pt>
                <c:pt idx="72">
                  <c:v>Horned_Puffin</c:v>
                </c:pt>
                <c:pt idx="73">
                  <c:v>Pigeon_Guillemot</c:v>
                </c:pt>
                <c:pt idx="74">
                  <c:v>Parakeet_Auklet</c:v>
                </c:pt>
                <c:pt idx="75">
                  <c:v>Rhinoceros_Auklet</c:v>
                </c:pt>
              </c:strCache>
            </c:strRef>
          </c:cat>
          <c:val>
            <c:numRef>
              <c:f>Analysis2!$L$2:$L$77</c:f>
              <c:numCache>
                <c:formatCode>General</c:formatCode>
                <c:ptCount val="76"/>
                <c:pt idx="0">
                  <c:v>5</c:v>
                </c:pt>
                <c:pt idx="1">
                  <c:v>5</c:v>
                </c:pt>
                <c:pt idx="2">
                  <c:v>5</c:v>
                </c:pt>
                <c:pt idx="3">
                  <c:v>5</c:v>
                </c:pt>
                <c:pt idx="4">
                  <c:v>4</c:v>
                </c:pt>
                <c:pt idx="5">
                  <c:v>4</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1</c:v>
                </c:pt>
                <c:pt idx="35">
                  <c:v>1</c:v>
                </c:pt>
                <c:pt idx="36">
                  <c:v>3</c:v>
                </c:pt>
                <c:pt idx="37">
                  <c:v>3</c:v>
                </c:pt>
                <c:pt idx="38">
                  <c:v>3</c:v>
                </c:pt>
                <c:pt idx="39">
                  <c:v>3</c:v>
                </c:pt>
                <c:pt idx="40">
                  <c:v>3</c:v>
                </c:pt>
                <c:pt idx="41">
                  <c:v>4</c:v>
                </c:pt>
                <c:pt idx="42">
                  <c:v>4</c:v>
                </c:pt>
                <c:pt idx="43">
                  <c:v>4</c:v>
                </c:pt>
                <c:pt idx="44">
                  <c:v>4</c:v>
                </c:pt>
                <c:pt idx="45">
                  <c:v>4</c:v>
                </c:pt>
                <c:pt idx="46">
                  <c:v>4</c:v>
                </c:pt>
                <c:pt idx="47">
                  <c:v>4</c:v>
                </c:pt>
                <c:pt idx="48">
                  <c:v>4</c:v>
                </c:pt>
                <c:pt idx="49">
                  <c:v>4</c:v>
                </c:pt>
                <c:pt idx="50">
                  <c:v>4</c:v>
                </c:pt>
                <c:pt idx="51">
                  <c:v>4</c:v>
                </c:pt>
                <c:pt idx="52">
                  <c:v>5</c:v>
                </c:pt>
                <c:pt idx="53">
                  <c:v>5</c:v>
                </c:pt>
                <c:pt idx="54">
                  <c:v>5</c:v>
                </c:pt>
                <c:pt idx="55">
                  <c:v>5</c:v>
                </c:pt>
                <c:pt idx="56">
                  <c:v>5</c:v>
                </c:pt>
                <c:pt idx="57">
                  <c:v>5</c:v>
                </c:pt>
                <c:pt idx="58">
                  <c:v>5</c:v>
                </c:pt>
                <c:pt idx="59">
                  <c:v>5</c:v>
                </c:pt>
                <c:pt idx="60">
                  <c:v>5</c:v>
                </c:pt>
                <c:pt idx="61">
                  <c:v>1</c:v>
                </c:pt>
                <c:pt idx="62">
                  <c:v>1</c:v>
                </c:pt>
                <c:pt idx="63">
                  <c:v>1</c:v>
                </c:pt>
                <c:pt idx="64">
                  <c:v>1</c:v>
                </c:pt>
                <c:pt idx="65">
                  <c:v>5</c:v>
                </c:pt>
                <c:pt idx="66">
                  <c:v>5</c:v>
                </c:pt>
                <c:pt idx="67">
                  <c:v>5</c:v>
                </c:pt>
                <c:pt idx="68">
                  <c:v>5</c:v>
                </c:pt>
                <c:pt idx="69">
                  <c:v>5</c:v>
                </c:pt>
                <c:pt idx="70">
                  <c:v>5</c:v>
                </c:pt>
                <c:pt idx="71">
                  <c:v>5</c:v>
                </c:pt>
                <c:pt idx="72">
                  <c:v>5</c:v>
                </c:pt>
                <c:pt idx="73">
                  <c:v>5</c:v>
                </c:pt>
                <c:pt idx="74">
                  <c:v>5</c:v>
                </c:pt>
                <c:pt idx="75">
                  <c:v>5</c:v>
                </c:pt>
              </c:numCache>
            </c:numRef>
          </c:val>
        </c:ser>
        <c:dLbls>
          <c:showLegendKey val="0"/>
          <c:showVal val="0"/>
          <c:showCatName val="0"/>
          <c:showSerName val="0"/>
          <c:showPercent val="0"/>
          <c:showBubbleSize val="0"/>
        </c:dLbls>
        <c:gapWidth val="150"/>
        <c:axId val="250704896"/>
        <c:axId val="251371520"/>
      </c:barChart>
      <c:catAx>
        <c:axId val="250704896"/>
        <c:scaling>
          <c:orientation val="minMax"/>
        </c:scaling>
        <c:delete val="0"/>
        <c:axPos val="b"/>
        <c:majorTickMark val="out"/>
        <c:minorTickMark val="none"/>
        <c:tickLblPos val="nextTo"/>
        <c:txPr>
          <a:bodyPr/>
          <a:lstStyle/>
          <a:p>
            <a:pPr>
              <a:defRPr sz="600"/>
            </a:pPr>
            <a:endParaRPr lang="en-US"/>
          </a:p>
        </c:txPr>
        <c:crossAx val="251371520"/>
        <c:crosses val="autoZero"/>
        <c:auto val="1"/>
        <c:lblAlgn val="ctr"/>
        <c:lblOffset val="100"/>
        <c:noMultiLvlLbl val="0"/>
      </c:catAx>
      <c:valAx>
        <c:axId val="251371520"/>
        <c:scaling>
          <c:orientation val="minMax"/>
          <c:max val="5"/>
        </c:scaling>
        <c:delete val="0"/>
        <c:axPos val="l"/>
        <c:majorGridlines/>
        <c:numFmt formatCode="General" sourceLinked="1"/>
        <c:majorTickMark val="out"/>
        <c:minorTickMark val="none"/>
        <c:tickLblPos val="nextTo"/>
        <c:crossAx val="250704896"/>
        <c:crosses val="autoZero"/>
        <c:crossBetween val="between"/>
      </c:valAx>
    </c:plotArea>
    <c:plotVisOnly val="1"/>
    <c:dispBlanksAs val="gap"/>
    <c:showDLblsOverMax val="0"/>
  </c:chart>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Habitat Flexibility Score</a:t>
            </a:r>
          </a:p>
        </c:rich>
      </c:tx>
      <c:overlay val="0"/>
    </c:title>
    <c:autoTitleDeleted val="0"/>
    <c:plotArea>
      <c:layout/>
      <c:barChart>
        <c:barDir val="col"/>
        <c:grouping val="clustered"/>
        <c:varyColors val="0"/>
        <c:ser>
          <c:idx val="0"/>
          <c:order val="0"/>
          <c:tx>
            <c:strRef>
              <c:f>Analysis2!$O$1</c:f>
              <c:strCache>
                <c:ptCount val="1"/>
                <c:pt idx="0">
                  <c:v>HF Score</c:v>
                </c:pt>
              </c:strCache>
            </c:strRef>
          </c:tx>
          <c:spPr>
            <a:solidFill>
              <a:schemeClr val="accent3">
                <a:lumMod val="75000"/>
              </a:schemeClr>
            </a:solidFill>
          </c:spPr>
          <c:invertIfNegative val="0"/>
          <c:errBars>
            <c:errBarType val="both"/>
            <c:errValType val="cust"/>
            <c:noEndCap val="0"/>
            <c:plus>
              <c:numRef>
                <c:f>HF.graphs!$G$2:$G$77</c:f>
                <c:numCache>
                  <c:formatCode>General</c:formatCode>
                  <c:ptCount val="76"/>
                  <c:pt idx="0">
                    <c:v>1</c:v>
                  </c:pt>
                  <c:pt idx="1">
                    <c:v>1</c:v>
                  </c:pt>
                  <c:pt idx="2">
                    <c:v>1.5</c:v>
                  </c:pt>
                  <c:pt idx="3">
                    <c:v>1</c:v>
                  </c:pt>
                  <c:pt idx="4">
                    <c:v>0.25</c:v>
                  </c:pt>
                  <c:pt idx="5">
                    <c:v>0.5</c:v>
                  </c:pt>
                  <c:pt idx="6">
                    <c:v>0.40000000000000036</c:v>
                  </c:pt>
                  <c:pt idx="7">
                    <c:v>1</c:v>
                  </c:pt>
                  <c:pt idx="8">
                    <c:v>0.40000000000000036</c:v>
                  </c:pt>
                  <c:pt idx="9">
                    <c:v>1</c:v>
                  </c:pt>
                  <c:pt idx="10">
                    <c:v>1.5</c:v>
                  </c:pt>
                  <c:pt idx="11">
                    <c:v>1.5</c:v>
                  </c:pt>
                  <c:pt idx="12">
                    <c:v>1.5</c:v>
                  </c:pt>
                  <c:pt idx="13">
                    <c:v>0.40000000000000036</c:v>
                  </c:pt>
                  <c:pt idx="14">
                    <c:v>0.29999999999999982</c:v>
                  </c:pt>
                  <c:pt idx="15">
                    <c:v>0.5</c:v>
                  </c:pt>
                  <c:pt idx="16">
                    <c:v>0.5</c:v>
                  </c:pt>
                  <c:pt idx="17">
                    <c:v>0.5</c:v>
                  </c:pt>
                  <c:pt idx="18">
                    <c:v>0.5</c:v>
                  </c:pt>
                  <c:pt idx="19">
                    <c:v>0.10000000000000009</c:v>
                  </c:pt>
                  <c:pt idx="20">
                    <c:v>0.5</c:v>
                  </c:pt>
                  <c:pt idx="21">
                    <c:v>0.5</c:v>
                  </c:pt>
                  <c:pt idx="22">
                    <c:v>0.5</c:v>
                  </c:pt>
                  <c:pt idx="23">
                    <c:v>0.10000000000000009</c:v>
                  </c:pt>
                  <c:pt idx="24">
                    <c:v>1</c:v>
                  </c:pt>
                  <c:pt idx="25">
                    <c:v>0.10000000000000009</c:v>
                  </c:pt>
                  <c:pt idx="26">
                    <c:v>1.5</c:v>
                  </c:pt>
                  <c:pt idx="27">
                    <c:v>0.5</c:v>
                  </c:pt>
                  <c:pt idx="28">
                    <c:v>0.5</c:v>
                  </c:pt>
                  <c:pt idx="29">
                    <c:v>1</c:v>
                  </c:pt>
                  <c:pt idx="30">
                    <c:v>0.5</c:v>
                  </c:pt>
                  <c:pt idx="31">
                    <c:v>0.5</c:v>
                  </c:pt>
                  <c:pt idx="32">
                    <c:v>0.10000000000000009</c:v>
                  </c:pt>
                  <c:pt idx="33">
                    <c:v>0.5</c:v>
                  </c:pt>
                  <c:pt idx="34">
                    <c:v>1</c:v>
                  </c:pt>
                  <c:pt idx="35">
                    <c:v>1</c:v>
                  </c:pt>
                  <c:pt idx="36">
                    <c:v>0.20000000000000018</c:v>
                  </c:pt>
                  <c:pt idx="37">
                    <c:v>0.20000000000000018</c:v>
                  </c:pt>
                  <c:pt idx="38">
                    <c:v>0.20000000000000018</c:v>
                  </c:pt>
                  <c:pt idx="39">
                    <c:v>0.5</c:v>
                  </c:pt>
                  <c:pt idx="40">
                    <c:v>0.5</c:v>
                  </c:pt>
                  <c:pt idx="41">
                    <c:v>0.20000000000000018</c:v>
                  </c:pt>
                  <c:pt idx="42">
                    <c:v>0.5</c:v>
                  </c:pt>
                  <c:pt idx="43">
                    <c:v>0.5</c:v>
                  </c:pt>
                  <c:pt idx="44">
                    <c:v>0.5</c:v>
                  </c:pt>
                  <c:pt idx="45">
                    <c:v>0.5</c:v>
                  </c:pt>
                  <c:pt idx="46">
                    <c:v>0.5</c:v>
                  </c:pt>
                  <c:pt idx="47">
                    <c:v>0.5</c:v>
                  </c:pt>
                  <c:pt idx="48">
                    <c:v>0.10000000000000009</c:v>
                  </c:pt>
                  <c:pt idx="49">
                    <c:v>0.5</c:v>
                  </c:pt>
                  <c:pt idx="50">
                    <c:v>0.25</c:v>
                  </c:pt>
                  <c:pt idx="51">
                    <c:v>0.10000000000000009</c:v>
                  </c:pt>
                  <c:pt idx="52">
                    <c:v>1.5</c:v>
                  </c:pt>
                  <c:pt idx="53">
                    <c:v>0.29999999999999982</c:v>
                  </c:pt>
                  <c:pt idx="54">
                    <c:v>0.29999999999999982</c:v>
                  </c:pt>
                  <c:pt idx="55">
                    <c:v>1</c:v>
                  </c:pt>
                  <c:pt idx="56">
                    <c:v>1.5</c:v>
                  </c:pt>
                  <c:pt idx="57">
                    <c:v>1.5</c:v>
                  </c:pt>
                  <c:pt idx="58">
                    <c:v>1.5</c:v>
                  </c:pt>
                  <c:pt idx="59">
                    <c:v>1</c:v>
                  </c:pt>
                  <c:pt idx="60">
                    <c:v>1</c:v>
                  </c:pt>
                  <c:pt idx="61">
                    <c:v>1</c:v>
                  </c:pt>
                  <c:pt idx="62">
                    <c:v>0.20000000000000018</c:v>
                  </c:pt>
                  <c:pt idx="63">
                    <c:v>1</c:v>
                  </c:pt>
                  <c:pt idx="64">
                    <c:v>1</c:v>
                  </c:pt>
                  <c:pt idx="65">
                    <c:v>0.75</c:v>
                  </c:pt>
                  <c:pt idx="66">
                    <c:v>0.75</c:v>
                  </c:pt>
                  <c:pt idx="67">
                    <c:v>1</c:v>
                  </c:pt>
                  <c:pt idx="68">
                    <c:v>1</c:v>
                  </c:pt>
                  <c:pt idx="69">
                    <c:v>0.29999999999999982</c:v>
                  </c:pt>
                  <c:pt idx="70">
                    <c:v>0.75</c:v>
                  </c:pt>
                  <c:pt idx="71">
                    <c:v>0.75</c:v>
                  </c:pt>
                  <c:pt idx="72">
                    <c:v>0.75</c:v>
                  </c:pt>
                  <c:pt idx="73">
                    <c:v>0.75</c:v>
                  </c:pt>
                  <c:pt idx="74">
                    <c:v>0.5</c:v>
                  </c:pt>
                  <c:pt idx="75">
                    <c:v>0.75</c:v>
                  </c:pt>
                </c:numCache>
              </c:numRef>
            </c:plus>
            <c:minus>
              <c:numRef>
                <c:f>HF.graphs!$E$2:$E$77</c:f>
                <c:numCache>
                  <c:formatCode>General</c:formatCode>
                  <c:ptCount val="76"/>
                  <c:pt idx="0">
                    <c:v>2</c:v>
                  </c:pt>
                  <c:pt idx="1">
                    <c:v>2</c:v>
                  </c:pt>
                  <c:pt idx="2">
                    <c:v>1.5</c:v>
                  </c:pt>
                  <c:pt idx="3">
                    <c:v>2</c:v>
                  </c:pt>
                  <c:pt idx="4">
                    <c:v>0</c:v>
                  </c:pt>
                  <c:pt idx="5">
                    <c:v>0</c:v>
                  </c:pt>
                  <c:pt idx="6">
                    <c:v>0.39999999999999991</c:v>
                  </c:pt>
                  <c:pt idx="7">
                    <c:v>2</c:v>
                  </c:pt>
                  <c:pt idx="8">
                    <c:v>0.39999999999999991</c:v>
                  </c:pt>
                  <c:pt idx="9">
                    <c:v>2</c:v>
                  </c:pt>
                  <c:pt idx="10">
                    <c:v>1.5</c:v>
                  </c:pt>
                  <c:pt idx="11">
                    <c:v>1.5</c:v>
                  </c:pt>
                  <c:pt idx="12">
                    <c:v>1.5</c:v>
                  </c:pt>
                  <c:pt idx="13">
                    <c:v>0.39999999999999991</c:v>
                  </c:pt>
                  <c:pt idx="14">
                    <c:v>0.29999999999999982</c:v>
                  </c:pt>
                  <c:pt idx="15">
                    <c:v>0</c:v>
                  </c:pt>
                  <c:pt idx="16">
                    <c:v>0</c:v>
                  </c:pt>
                  <c:pt idx="17">
                    <c:v>0</c:v>
                  </c:pt>
                  <c:pt idx="18">
                    <c:v>0</c:v>
                  </c:pt>
                  <c:pt idx="19">
                    <c:v>0</c:v>
                  </c:pt>
                  <c:pt idx="20">
                    <c:v>0</c:v>
                  </c:pt>
                  <c:pt idx="21">
                    <c:v>0</c:v>
                  </c:pt>
                  <c:pt idx="22">
                    <c:v>0</c:v>
                  </c:pt>
                  <c:pt idx="23">
                    <c:v>0</c:v>
                  </c:pt>
                  <c:pt idx="24">
                    <c:v>1</c:v>
                  </c:pt>
                  <c:pt idx="25">
                    <c:v>0</c:v>
                  </c:pt>
                  <c:pt idx="26">
                    <c:v>1.5</c:v>
                  </c:pt>
                  <c:pt idx="27">
                    <c:v>0</c:v>
                  </c:pt>
                  <c:pt idx="28">
                    <c:v>0</c:v>
                  </c:pt>
                  <c:pt idx="29">
                    <c:v>1</c:v>
                  </c:pt>
                  <c:pt idx="30">
                    <c:v>0</c:v>
                  </c:pt>
                  <c:pt idx="31">
                    <c:v>0</c:v>
                  </c:pt>
                  <c:pt idx="32">
                    <c:v>0</c:v>
                  </c:pt>
                  <c:pt idx="33">
                    <c:v>0</c:v>
                  </c:pt>
                  <c:pt idx="34">
                    <c:v>2</c:v>
                  </c:pt>
                  <c:pt idx="35">
                    <c:v>2</c:v>
                  </c:pt>
                  <c:pt idx="36">
                    <c:v>0.19999999999999996</c:v>
                  </c:pt>
                  <c:pt idx="37">
                    <c:v>0.19999999999999996</c:v>
                  </c:pt>
                  <c:pt idx="38">
                    <c:v>0.19999999999999996</c:v>
                  </c:pt>
                  <c:pt idx="39">
                    <c:v>0.5</c:v>
                  </c:pt>
                  <c:pt idx="40">
                    <c:v>0.5</c:v>
                  </c:pt>
                  <c:pt idx="41">
                    <c:v>0.19999999999999996</c:v>
                  </c:pt>
                  <c:pt idx="42">
                    <c:v>0.5</c:v>
                  </c:pt>
                  <c:pt idx="43">
                    <c:v>0.5</c:v>
                  </c:pt>
                  <c:pt idx="44">
                    <c:v>0</c:v>
                  </c:pt>
                  <c:pt idx="45">
                    <c:v>0</c:v>
                  </c:pt>
                  <c:pt idx="46">
                    <c:v>0</c:v>
                  </c:pt>
                  <c:pt idx="47">
                    <c:v>0</c:v>
                  </c:pt>
                  <c:pt idx="48">
                    <c:v>0</c:v>
                  </c:pt>
                  <c:pt idx="49">
                    <c:v>0</c:v>
                  </c:pt>
                  <c:pt idx="50">
                    <c:v>0</c:v>
                  </c:pt>
                  <c:pt idx="51">
                    <c:v>0</c:v>
                  </c:pt>
                  <c:pt idx="52">
                    <c:v>1.5</c:v>
                  </c:pt>
                  <c:pt idx="53">
                    <c:v>0.29999999999999982</c:v>
                  </c:pt>
                  <c:pt idx="54">
                    <c:v>0.29999999999999982</c:v>
                  </c:pt>
                  <c:pt idx="55">
                    <c:v>2</c:v>
                  </c:pt>
                  <c:pt idx="56">
                    <c:v>1.5</c:v>
                  </c:pt>
                  <c:pt idx="57">
                    <c:v>1.5</c:v>
                  </c:pt>
                  <c:pt idx="58">
                    <c:v>1.5</c:v>
                  </c:pt>
                  <c:pt idx="59">
                    <c:v>1</c:v>
                  </c:pt>
                  <c:pt idx="60">
                    <c:v>2</c:v>
                  </c:pt>
                  <c:pt idx="61">
                    <c:v>1</c:v>
                  </c:pt>
                  <c:pt idx="62">
                    <c:v>0.19999999999999996</c:v>
                  </c:pt>
                  <c:pt idx="63">
                    <c:v>1</c:v>
                  </c:pt>
                  <c:pt idx="64">
                    <c:v>1</c:v>
                  </c:pt>
                  <c:pt idx="65">
                    <c:v>0.75</c:v>
                  </c:pt>
                  <c:pt idx="66">
                    <c:v>0.75</c:v>
                  </c:pt>
                  <c:pt idx="67">
                    <c:v>1</c:v>
                  </c:pt>
                  <c:pt idx="68">
                    <c:v>2</c:v>
                  </c:pt>
                  <c:pt idx="69">
                    <c:v>0.29999999999999982</c:v>
                  </c:pt>
                  <c:pt idx="70">
                    <c:v>0.75</c:v>
                  </c:pt>
                  <c:pt idx="71">
                    <c:v>0.75</c:v>
                  </c:pt>
                  <c:pt idx="72">
                    <c:v>0.75</c:v>
                  </c:pt>
                  <c:pt idx="73">
                    <c:v>0.75</c:v>
                  </c:pt>
                  <c:pt idx="74">
                    <c:v>0.5</c:v>
                  </c:pt>
                  <c:pt idx="75">
                    <c:v>0.75</c:v>
                  </c:pt>
                </c:numCache>
              </c:numRef>
            </c:minus>
          </c:errBars>
          <c:cat>
            <c:strRef>
              <c:f>Analysis2!$B$2:$B$77</c:f>
              <c:strCache>
                <c:ptCount val="76"/>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pt idx="15">
                  <c:v>Black-footed_Albatross</c:v>
                </c:pt>
                <c:pt idx="16">
                  <c:v>Laysan_Albatross</c:v>
                </c:pt>
                <c:pt idx="17">
                  <c:v>Short-tailed_Albatross</c:v>
                </c:pt>
                <c:pt idx="18">
                  <c:v>Buller's_Shearwater</c:v>
                </c:pt>
                <c:pt idx="19">
                  <c:v>Manx_Shearwater</c:v>
                </c:pt>
                <c:pt idx="20">
                  <c:v>Pink-footed_Shearwater</c:v>
                </c:pt>
                <c:pt idx="21">
                  <c:v>Flesh-footed_Shearwater</c:v>
                </c:pt>
                <c:pt idx="22">
                  <c:v>Short-tailed_Shearwater</c:v>
                </c:pt>
                <c:pt idx="23">
                  <c:v>Sooty_Shearwater</c:v>
                </c:pt>
                <c:pt idx="24">
                  <c:v>Black-vented_Shearwater</c:v>
                </c:pt>
                <c:pt idx="25">
                  <c:v>Northern_Fulmar</c:v>
                </c:pt>
                <c:pt idx="26">
                  <c:v>Hawaiian_Petrel</c:v>
                </c:pt>
                <c:pt idx="27">
                  <c:v>Cooks_Petrel</c:v>
                </c:pt>
                <c:pt idx="28">
                  <c:v>Mottled_Petrel</c:v>
                </c:pt>
                <c:pt idx="29">
                  <c:v>Ashy_Storm_Petrel</c:v>
                </c:pt>
                <c:pt idx="30">
                  <c:v>Black_Storm_Petrel</c:v>
                </c:pt>
                <c:pt idx="31">
                  <c:v>Fork-tailed_Storm_Petrel</c:v>
                </c:pt>
                <c:pt idx="32">
                  <c:v>Leach's_Storm_Petrel</c:v>
                </c:pt>
                <c:pt idx="33">
                  <c:v>Willson's_Storm_Petrel</c:v>
                </c:pt>
                <c:pt idx="34">
                  <c:v>Brown_Pelican</c:v>
                </c:pt>
                <c:pt idx="35">
                  <c:v>American_White_Pelican</c:v>
                </c:pt>
                <c:pt idx="36">
                  <c:v>Brandt's_Cormorant</c:v>
                </c:pt>
                <c:pt idx="37">
                  <c:v>Double-crested_Cormorant</c:v>
                </c:pt>
                <c:pt idx="38">
                  <c:v>Pelagic_Cormorant</c:v>
                </c:pt>
                <c:pt idx="39">
                  <c:v>Red_Phalarope</c:v>
                </c:pt>
                <c:pt idx="40">
                  <c:v>Red-necked_Phalarope</c:v>
                </c:pt>
                <c:pt idx="41">
                  <c:v>Black-legged_Kittiwake</c:v>
                </c:pt>
                <c:pt idx="42">
                  <c:v>Bonaparte's_Gull</c:v>
                </c:pt>
                <c:pt idx="43">
                  <c:v>Sabine's_Gull</c:v>
                </c:pt>
                <c:pt idx="44">
                  <c:v>California_Gull</c:v>
                </c:pt>
                <c:pt idx="45">
                  <c:v>Heermann's_Gull</c:v>
                </c:pt>
                <c:pt idx="46">
                  <c:v>Mew_Gull</c:v>
                </c:pt>
                <c:pt idx="47">
                  <c:v>Ring-billed_Gull</c:v>
                </c:pt>
                <c:pt idx="48">
                  <c:v>Herring_Gull</c:v>
                </c:pt>
                <c:pt idx="49">
                  <c:v>Thayer's_Gull</c:v>
                </c:pt>
                <c:pt idx="50">
                  <c:v>Glaucous-winged_Gull</c:v>
                </c:pt>
                <c:pt idx="51">
                  <c:v>Western_Gull</c:v>
                </c:pt>
                <c:pt idx="52">
                  <c:v>Caspian_Tern</c:v>
                </c:pt>
                <c:pt idx="53">
                  <c:v>Arctic_Tern</c:v>
                </c:pt>
                <c:pt idx="54">
                  <c:v>Common_Tern</c:v>
                </c:pt>
                <c:pt idx="55">
                  <c:v>Elegant_Tern</c:v>
                </c:pt>
                <c:pt idx="56">
                  <c:v>Royal_Tern</c:v>
                </c:pt>
                <c:pt idx="57">
                  <c:v>Forster's_Tern</c:v>
                </c:pt>
                <c:pt idx="58">
                  <c:v>Least_Tern</c:v>
                </c:pt>
                <c:pt idx="59">
                  <c:v>Gull-billed_Tern</c:v>
                </c:pt>
                <c:pt idx="60">
                  <c:v>Black_Skimmer</c:v>
                </c:pt>
                <c:pt idx="61">
                  <c:v>Long-tailed_Jaeger</c:v>
                </c:pt>
                <c:pt idx="62">
                  <c:v>Parasitic_Jaeger</c:v>
                </c:pt>
                <c:pt idx="63">
                  <c:v>Pomarine_Jaeger</c:v>
                </c:pt>
                <c:pt idx="64">
                  <c:v>South_Polar_Skua</c:v>
                </c:pt>
                <c:pt idx="65">
                  <c:v>Ancient_Murrelet</c:v>
                </c:pt>
                <c:pt idx="66">
                  <c:v>Cassin's_Auklet</c:v>
                </c:pt>
                <c:pt idx="67">
                  <c:v>Marbled_Murrelet</c:v>
                </c:pt>
                <c:pt idx="68">
                  <c:v>Xantus's_Murrelet</c:v>
                </c:pt>
                <c:pt idx="69">
                  <c:v>Craveris Murrelet</c:v>
                </c:pt>
                <c:pt idx="70">
                  <c:v>Common_Murre</c:v>
                </c:pt>
                <c:pt idx="71">
                  <c:v>Tufted_Puffin</c:v>
                </c:pt>
                <c:pt idx="72">
                  <c:v>Horned_Puffin</c:v>
                </c:pt>
                <c:pt idx="73">
                  <c:v>Pigeon_Guillemot</c:v>
                </c:pt>
                <c:pt idx="74">
                  <c:v>Parakeet_Auklet</c:v>
                </c:pt>
                <c:pt idx="75">
                  <c:v>Rhinoceros_Auklet</c:v>
                </c:pt>
              </c:strCache>
            </c:strRef>
          </c:cat>
          <c:val>
            <c:numRef>
              <c:f>Analysis2!$O$2:$O$77</c:f>
              <c:numCache>
                <c:formatCode>General</c:formatCode>
                <c:ptCount val="76"/>
                <c:pt idx="0">
                  <c:v>4</c:v>
                </c:pt>
                <c:pt idx="1">
                  <c:v>4</c:v>
                </c:pt>
                <c:pt idx="2">
                  <c:v>3</c:v>
                </c:pt>
                <c:pt idx="3">
                  <c:v>1</c:v>
                </c:pt>
                <c:pt idx="4">
                  <c:v>1</c:v>
                </c:pt>
                <c:pt idx="5">
                  <c:v>1</c:v>
                </c:pt>
                <c:pt idx="6">
                  <c:v>4</c:v>
                </c:pt>
                <c:pt idx="7">
                  <c:v>4</c:v>
                </c:pt>
                <c:pt idx="8">
                  <c:v>4</c:v>
                </c:pt>
                <c:pt idx="9">
                  <c:v>4</c:v>
                </c:pt>
                <c:pt idx="10">
                  <c:v>3</c:v>
                </c:pt>
                <c:pt idx="11">
                  <c:v>3</c:v>
                </c:pt>
                <c:pt idx="12">
                  <c:v>3</c:v>
                </c:pt>
                <c:pt idx="13">
                  <c:v>4</c:v>
                </c:pt>
                <c:pt idx="14">
                  <c:v>3</c:v>
                </c:pt>
                <c:pt idx="15">
                  <c:v>1</c:v>
                </c:pt>
                <c:pt idx="16">
                  <c:v>1</c:v>
                </c:pt>
                <c:pt idx="17">
                  <c:v>1</c:v>
                </c:pt>
                <c:pt idx="18">
                  <c:v>1</c:v>
                </c:pt>
                <c:pt idx="19">
                  <c:v>1</c:v>
                </c:pt>
                <c:pt idx="20">
                  <c:v>1</c:v>
                </c:pt>
                <c:pt idx="21">
                  <c:v>1</c:v>
                </c:pt>
                <c:pt idx="22">
                  <c:v>1</c:v>
                </c:pt>
                <c:pt idx="23">
                  <c:v>1</c:v>
                </c:pt>
                <c:pt idx="24">
                  <c:v>2</c:v>
                </c:pt>
                <c:pt idx="25">
                  <c:v>1</c:v>
                </c:pt>
                <c:pt idx="26">
                  <c:v>3</c:v>
                </c:pt>
                <c:pt idx="27">
                  <c:v>1</c:v>
                </c:pt>
                <c:pt idx="28">
                  <c:v>1</c:v>
                </c:pt>
                <c:pt idx="29">
                  <c:v>2</c:v>
                </c:pt>
                <c:pt idx="30">
                  <c:v>1</c:v>
                </c:pt>
                <c:pt idx="31">
                  <c:v>1</c:v>
                </c:pt>
                <c:pt idx="32">
                  <c:v>1</c:v>
                </c:pt>
                <c:pt idx="33">
                  <c:v>1</c:v>
                </c:pt>
                <c:pt idx="34">
                  <c:v>4</c:v>
                </c:pt>
                <c:pt idx="35">
                  <c:v>4</c:v>
                </c:pt>
                <c:pt idx="36">
                  <c:v>2</c:v>
                </c:pt>
                <c:pt idx="37">
                  <c:v>2</c:v>
                </c:pt>
                <c:pt idx="38">
                  <c:v>2</c:v>
                </c:pt>
                <c:pt idx="39">
                  <c:v>2</c:v>
                </c:pt>
                <c:pt idx="40">
                  <c:v>2</c:v>
                </c:pt>
                <c:pt idx="41">
                  <c:v>2</c:v>
                </c:pt>
                <c:pt idx="42">
                  <c:v>2</c:v>
                </c:pt>
                <c:pt idx="43">
                  <c:v>2</c:v>
                </c:pt>
                <c:pt idx="44">
                  <c:v>1</c:v>
                </c:pt>
                <c:pt idx="45">
                  <c:v>1</c:v>
                </c:pt>
                <c:pt idx="46">
                  <c:v>1</c:v>
                </c:pt>
                <c:pt idx="47">
                  <c:v>1</c:v>
                </c:pt>
                <c:pt idx="48">
                  <c:v>1</c:v>
                </c:pt>
                <c:pt idx="49">
                  <c:v>1</c:v>
                </c:pt>
                <c:pt idx="50">
                  <c:v>1</c:v>
                </c:pt>
                <c:pt idx="51">
                  <c:v>1</c:v>
                </c:pt>
                <c:pt idx="52">
                  <c:v>3</c:v>
                </c:pt>
                <c:pt idx="53">
                  <c:v>3</c:v>
                </c:pt>
                <c:pt idx="54">
                  <c:v>3</c:v>
                </c:pt>
                <c:pt idx="55">
                  <c:v>4</c:v>
                </c:pt>
                <c:pt idx="56">
                  <c:v>3</c:v>
                </c:pt>
                <c:pt idx="57">
                  <c:v>3</c:v>
                </c:pt>
                <c:pt idx="58">
                  <c:v>3</c:v>
                </c:pt>
                <c:pt idx="59">
                  <c:v>2</c:v>
                </c:pt>
                <c:pt idx="60">
                  <c:v>4</c:v>
                </c:pt>
                <c:pt idx="61">
                  <c:v>2</c:v>
                </c:pt>
                <c:pt idx="62">
                  <c:v>2</c:v>
                </c:pt>
                <c:pt idx="63">
                  <c:v>2</c:v>
                </c:pt>
                <c:pt idx="64">
                  <c:v>2</c:v>
                </c:pt>
                <c:pt idx="65">
                  <c:v>3</c:v>
                </c:pt>
                <c:pt idx="66">
                  <c:v>3</c:v>
                </c:pt>
                <c:pt idx="67">
                  <c:v>3</c:v>
                </c:pt>
                <c:pt idx="68">
                  <c:v>4</c:v>
                </c:pt>
                <c:pt idx="69">
                  <c:v>4</c:v>
                </c:pt>
                <c:pt idx="70">
                  <c:v>3</c:v>
                </c:pt>
                <c:pt idx="71">
                  <c:v>3</c:v>
                </c:pt>
                <c:pt idx="72">
                  <c:v>3</c:v>
                </c:pt>
                <c:pt idx="73">
                  <c:v>3</c:v>
                </c:pt>
                <c:pt idx="74">
                  <c:v>2</c:v>
                </c:pt>
                <c:pt idx="75">
                  <c:v>3</c:v>
                </c:pt>
              </c:numCache>
            </c:numRef>
          </c:val>
        </c:ser>
        <c:dLbls>
          <c:showLegendKey val="0"/>
          <c:showVal val="0"/>
          <c:showCatName val="0"/>
          <c:showSerName val="0"/>
          <c:showPercent val="0"/>
          <c:showBubbleSize val="0"/>
        </c:dLbls>
        <c:gapWidth val="150"/>
        <c:axId val="246761984"/>
        <c:axId val="251373824"/>
      </c:barChart>
      <c:catAx>
        <c:axId val="246761984"/>
        <c:scaling>
          <c:orientation val="minMax"/>
        </c:scaling>
        <c:delete val="0"/>
        <c:axPos val="b"/>
        <c:majorTickMark val="out"/>
        <c:minorTickMark val="none"/>
        <c:tickLblPos val="nextTo"/>
        <c:crossAx val="251373824"/>
        <c:crosses val="autoZero"/>
        <c:auto val="1"/>
        <c:lblAlgn val="ctr"/>
        <c:lblOffset val="100"/>
        <c:noMultiLvlLbl val="0"/>
      </c:catAx>
      <c:valAx>
        <c:axId val="251373824"/>
        <c:scaling>
          <c:orientation val="minMax"/>
          <c:max val="5"/>
        </c:scaling>
        <c:delete val="0"/>
        <c:axPos val="l"/>
        <c:majorGridlines/>
        <c:numFmt formatCode="General" sourceLinked="1"/>
        <c:majorTickMark val="out"/>
        <c:minorTickMark val="none"/>
        <c:tickLblPos val="nextTo"/>
        <c:crossAx val="246761984"/>
        <c:crosses val="autoZero"/>
        <c:crossBetween val="between"/>
      </c:valAx>
    </c:plotArea>
    <c:plotVisOnly val="1"/>
    <c:dispBlanksAs val="gap"/>
    <c:showDLblsOverMax val="0"/>
  </c:chart>
  <c:txPr>
    <a:bodyPr/>
    <a:lstStyle/>
    <a:p>
      <a:pPr>
        <a:defRPr sz="600"/>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Final Ranking Score: Gulls, Terns, Jaegers, and Skuas</a:t>
            </a:r>
            <a:endParaRPr lang="en-US">
              <a:effectLst/>
            </a:endParaRPr>
          </a:p>
        </c:rich>
      </c:tx>
      <c:overlay val="0"/>
    </c:title>
    <c:autoTitleDeleted val="0"/>
    <c:plotArea>
      <c:layout/>
      <c:barChart>
        <c:barDir val="col"/>
        <c:grouping val="clustered"/>
        <c:varyColors val="0"/>
        <c:ser>
          <c:idx val="0"/>
          <c:order val="0"/>
          <c:tx>
            <c:strRef>
              <c:f>Analysis1!$C$1</c:f>
              <c:strCache>
                <c:ptCount val="1"/>
                <c:pt idx="0">
                  <c:v>Collision</c:v>
                </c:pt>
              </c:strCache>
            </c:strRef>
          </c:tx>
          <c:invertIfNegative val="0"/>
          <c:errBars>
            <c:errBarType val="both"/>
            <c:errValType val="cust"/>
            <c:noEndCap val="0"/>
            <c:plus>
              <c:numRef>
                <c:f>Analysis1!$G$43:$G$66</c:f>
                <c:numCache>
                  <c:formatCode>General</c:formatCode>
                  <c:ptCount val="24"/>
                  <c:pt idx="0">
                    <c:v>1.2999999999999998</c:v>
                  </c:pt>
                  <c:pt idx="1">
                    <c:v>1.4999999999999982</c:v>
                  </c:pt>
                  <c:pt idx="2">
                    <c:v>1.8999999999999986</c:v>
                  </c:pt>
                  <c:pt idx="3">
                    <c:v>1</c:v>
                  </c:pt>
                  <c:pt idx="4">
                    <c:v>1.4999999999999982</c:v>
                  </c:pt>
                  <c:pt idx="5">
                    <c:v>2.3999999999999995</c:v>
                  </c:pt>
                  <c:pt idx="6">
                    <c:v>1.0999999999999996</c:v>
                  </c:pt>
                  <c:pt idx="7">
                    <c:v>1.8999999999999995</c:v>
                  </c:pt>
                  <c:pt idx="8">
                    <c:v>1.9000000000000012</c:v>
                  </c:pt>
                  <c:pt idx="9">
                    <c:v>1.5</c:v>
                  </c:pt>
                  <c:pt idx="10">
                    <c:v>1.3000000000000007</c:v>
                  </c:pt>
                  <c:pt idx="11">
                    <c:v>0.49999999999999822</c:v>
                  </c:pt>
                  <c:pt idx="12">
                    <c:v>1.3000000000000007</c:v>
                  </c:pt>
                  <c:pt idx="13">
                    <c:v>3.4000000000000004</c:v>
                  </c:pt>
                  <c:pt idx="14">
                    <c:v>0.79999999999999893</c:v>
                  </c:pt>
                  <c:pt idx="15">
                    <c:v>0.69999999999999929</c:v>
                  </c:pt>
                  <c:pt idx="16">
                    <c:v>0.29999999999999893</c:v>
                  </c:pt>
                  <c:pt idx="17">
                    <c:v>0.80000000000000071</c:v>
                  </c:pt>
                  <c:pt idx="18">
                    <c:v>1.2000000000000002</c:v>
                  </c:pt>
                  <c:pt idx="19">
                    <c:v>1.0000000000000018</c:v>
                  </c:pt>
                  <c:pt idx="20">
                    <c:v>0.59999999999999964</c:v>
                  </c:pt>
                  <c:pt idx="21">
                    <c:v>0.5</c:v>
                  </c:pt>
                  <c:pt idx="22">
                    <c:v>0.80000000000000071</c:v>
                  </c:pt>
                  <c:pt idx="23">
                    <c:v>0.40000000000000036</c:v>
                  </c:pt>
                </c:numCache>
              </c:numRef>
            </c:plus>
            <c:minus>
              <c:numRef>
                <c:f>Analysis1!$E$43:$E$66</c:f>
                <c:numCache>
                  <c:formatCode>General</c:formatCode>
                  <c:ptCount val="24"/>
                  <c:pt idx="0">
                    <c:v>3.1999999999999993</c:v>
                  </c:pt>
                  <c:pt idx="1">
                    <c:v>4.1000000000000014</c:v>
                  </c:pt>
                  <c:pt idx="2">
                    <c:v>4.6000000000000005</c:v>
                  </c:pt>
                  <c:pt idx="3">
                    <c:v>3.0999999999999988</c:v>
                  </c:pt>
                  <c:pt idx="4">
                    <c:v>3.8000000000000016</c:v>
                  </c:pt>
                  <c:pt idx="5">
                    <c:v>4.5000000000000009</c:v>
                  </c:pt>
                  <c:pt idx="6">
                    <c:v>3.0999999999999996</c:v>
                  </c:pt>
                  <c:pt idx="7">
                    <c:v>4</c:v>
                  </c:pt>
                  <c:pt idx="8">
                    <c:v>4.1999999999999993</c:v>
                  </c:pt>
                  <c:pt idx="9">
                    <c:v>3.0999999999999996</c:v>
                  </c:pt>
                  <c:pt idx="10">
                    <c:v>3.5999999999999996</c:v>
                  </c:pt>
                  <c:pt idx="11">
                    <c:v>0.30000000000000071</c:v>
                  </c:pt>
                  <c:pt idx="12">
                    <c:v>1.6999999999999993</c:v>
                  </c:pt>
                  <c:pt idx="13">
                    <c:v>0</c:v>
                  </c:pt>
                  <c:pt idx="14">
                    <c:v>1.7000000000000002</c:v>
                  </c:pt>
                  <c:pt idx="15">
                    <c:v>0.70000000000000018</c:v>
                  </c:pt>
                  <c:pt idx="16">
                    <c:v>0.80000000000000071</c:v>
                  </c:pt>
                  <c:pt idx="17">
                    <c:v>0.89999999999999947</c:v>
                  </c:pt>
                  <c:pt idx="18">
                    <c:v>0.40000000000000036</c:v>
                  </c:pt>
                  <c:pt idx="19">
                    <c:v>1.2999999999999998</c:v>
                  </c:pt>
                  <c:pt idx="20">
                    <c:v>1.8000000000000007</c:v>
                  </c:pt>
                  <c:pt idx="21">
                    <c:v>1.4000000000000004</c:v>
                  </c:pt>
                  <c:pt idx="22">
                    <c:v>2.0999999999999988</c:v>
                  </c:pt>
                  <c:pt idx="23">
                    <c:v>1.2000000000000002</c:v>
                  </c:pt>
                </c:numCache>
              </c:numRef>
            </c:minus>
          </c:errBars>
          <c:cat>
            <c:strRef>
              <c:f>Analysis1!$B$43:$B$66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Analysis1!$C$43:$C$66</c:f>
              <c:numCache>
                <c:formatCode>General</c:formatCode>
                <c:ptCount val="24"/>
                <c:pt idx="0">
                  <c:v>6.8999999999999995</c:v>
                </c:pt>
                <c:pt idx="1">
                  <c:v>8.1000000000000014</c:v>
                </c:pt>
                <c:pt idx="2">
                  <c:v>6.4</c:v>
                </c:pt>
                <c:pt idx="3">
                  <c:v>8.6999999999999993</c:v>
                </c:pt>
                <c:pt idx="4">
                  <c:v>8.1000000000000014</c:v>
                </c:pt>
                <c:pt idx="5">
                  <c:v>5.3000000000000007</c:v>
                </c:pt>
                <c:pt idx="6">
                  <c:v>8.6</c:v>
                </c:pt>
                <c:pt idx="7">
                  <c:v>6.7</c:v>
                </c:pt>
                <c:pt idx="8">
                  <c:v>7.3</c:v>
                </c:pt>
                <c:pt idx="9">
                  <c:v>8.4</c:v>
                </c:pt>
                <c:pt idx="10">
                  <c:v>8.5</c:v>
                </c:pt>
                <c:pt idx="11">
                  <c:v>8.9</c:v>
                </c:pt>
                <c:pt idx="12">
                  <c:v>5.6999999999999993</c:v>
                </c:pt>
                <c:pt idx="13">
                  <c:v>4.5</c:v>
                </c:pt>
                <c:pt idx="14">
                  <c:v>7.9</c:v>
                </c:pt>
                <c:pt idx="15">
                  <c:v>8.4</c:v>
                </c:pt>
                <c:pt idx="16">
                  <c:v>8.8000000000000007</c:v>
                </c:pt>
                <c:pt idx="17">
                  <c:v>8.1999999999999993</c:v>
                </c:pt>
                <c:pt idx="18">
                  <c:v>6.2</c:v>
                </c:pt>
                <c:pt idx="19">
                  <c:v>8.1999999999999993</c:v>
                </c:pt>
                <c:pt idx="20">
                  <c:v>6.5</c:v>
                </c:pt>
                <c:pt idx="21">
                  <c:v>9</c:v>
                </c:pt>
                <c:pt idx="22">
                  <c:v>8.6999999999999993</c:v>
                </c:pt>
                <c:pt idx="23">
                  <c:v>5.8999999999999995</c:v>
                </c:pt>
              </c:numCache>
            </c:numRef>
          </c:val>
        </c:ser>
        <c:ser>
          <c:idx val="1"/>
          <c:order val="1"/>
          <c:tx>
            <c:strRef>
              <c:f>Analysis1!$H$1</c:f>
              <c:strCache>
                <c:ptCount val="1"/>
                <c:pt idx="0">
                  <c:v>Displacement</c:v>
                </c:pt>
              </c:strCache>
            </c:strRef>
          </c:tx>
          <c:invertIfNegative val="0"/>
          <c:errBars>
            <c:errBarType val="both"/>
            <c:errValType val="cust"/>
            <c:noEndCap val="0"/>
            <c:plus>
              <c:numRef>
                <c:f>Analysis1!$K$43:$K$66</c:f>
                <c:numCache>
                  <c:formatCode>General</c:formatCode>
                  <c:ptCount val="24"/>
                  <c:pt idx="0">
                    <c:v>1.6999999999999997</c:v>
                  </c:pt>
                  <c:pt idx="1">
                    <c:v>1.9000000000000012</c:v>
                  </c:pt>
                  <c:pt idx="2">
                    <c:v>2.4</c:v>
                  </c:pt>
                  <c:pt idx="3">
                    <c:v>2.3999999999999995</c:v>
                  </c:pt>
                  <c:pt idx="4">
                    <c:v>2.9000000000000004</c:v>
                  </c:pt>
                  <c:pt idx="5">
                    <c:v>1.7999999999999998</c:v>
                  </c:pt>
                  <c:pt idx="6">
                    <c:v>2.1999999999999993</c:v>
                  </c:pt>
                  <c:pt idx="7">
                    <c:v>1.4000000000000004</c:v>
                  </c:pt>
                  <c:pt idx="8">
                    <c:v>2.7000000000000006</c:v>
                  </c:pt>
                  <c:pt idx="9">
                    <c:v>2</c:v>
                  </c:pt>
                  <c:pt idx="10">
                    <c:v>1.7000000000000002</c:v>
                  </c:pt>
                  <c:pt idx="11">
                    <c:v>1.1999999999999993</c:v>
                  </c:pt>
                  <c:pt idx="12">
                    <c:v>0.69999999999999929</c:v>
                  </c:pt>
                  <c:pt idx="13">
                    <c:v>0.70000000000000018</c:v>
                  </c:pt>
                  <c:pt idx="14">
                    <c:v>0.79999999999999893</c:v>
                  </c:pt>
                  <c:pt idx="15">
                    <c:v>1.1000000000000014</c:v>
                  </c:pt>
                  <c:pt idx="16">
                    <c:v>0.99999999999999822</c:v>
                  </c:pt>
                  <c:pt idx="17">
                    <c:v>1</c:v>
                  </c:pt>
                  <c:pt idx="18">
                    <c:v>1.7000000000000002</c:v>
                  </c:pt>
                  <c:pt idx="19">
                    <c:v>0.69999999999999929</c:v>
                  </c:pt>
                  <c:pt idx="20">
                    <c:v>0.3</c:v>
                  </c:pt>
                  <c:pt idx="21">
                    <c:v>1.1000000000000001</c:v>
                  </c:pt>
                  <c:pt idx="22">
                    <c:v>1.8</c:v>
                  </c:pt>
                  <c:pt idx="23">
                    <c:v>1.4</c:v>
                  </c:pt>
                </c:numCache>
              </c:numRef>
            </c:plus>
            <c:minus>
              <c:numRef>
                <c:f>Analysis1!$I$43:$I$66</c:f>
                <c:numCache>
                  <c:formatCode>General</c:formatCode>
                  <c:ptCount val="24"/>
                  <c:pt idx="0">
                    <c:v>2.3000000000000003</c:v>
                  </c:pt>
                  <c:pt idx="1">
                    <c:v>4.1999999999999993</c:v>
                  </c:pt>
                  <c:pt idx="2">
                    <c:v>2.2999999999999998</c:v>
                  </c:pt>
                  <c:pt idx="3">
                    <c:v>2.9</c:v>
                  </c:pt>
                  <c:pt idx="4">
                    <c:v>2.2000000000000002</c:v>
                  </c:pt>
                  <c:pt idx="5">
                    <c:v>0.60000000000000009</c:v>
                  </c:pt>
                  <c:pt idx="6">
                    <c:v>2.5</c:v>
                  </c:pt>
                  <c:pt idx="7">
                    <c:v>1.4999999999999998</c:v>
                  </c:pt>
                  <c:pt idx="8">
                    <c:v>1.9</c:v>
                  </c:pt>
                  <c:pt idx="9">
                    <c:v>2.8999999999999995</c:v>
                  </c:pt>
                  <c:pt idx="10">
                    <c:v>2.5999999999999996</c:v>
                  </c:pt>
                  <c:pt idx="11">
                    <c:v>4.0999999999999996</c:v>
                  </c:pt>
                  <c:pt idx="12">
                    <c:v>3.4000000000000004</c:v>
                  </c:pt>
                  <c:pt idx="13">
                    <c:v>3.2</c:v>
                  </c:pt>
                  <c:pt idx="14">
                    <c:v>4.3000000000000007</c:v>
                  </c:pt>
                  <c:pt idx="15">
                    <c:v>4.5999999999999996</c:v>
                  </c:pt>
                  <c:pt idx="16">
                    <c:v>4.7</c:v>
                  </c:pt>
                  <c:pt idx="17">
                    <c:v>4.0000000000000009</c:v>
                  </c:pt>
                  <c:pt idx="18">
                    <c:v>3.6999999999999997</c:v>
                  </c:pt>
                  <c:pt idx="19">
                    <c:v>3.6000000000000005</c:v>
                  </c:pt>
                  <c:pt idx="20">
                    <c:v>0</c:v>
                  </c:pt>
                  <c:pt idx="21">
                    <c:v>0.39999999999999991</c:v>
                  </c:pt>
                  <c:pt idx="22">
                    <c:v>1</c:v>
                  </c:pt>
                  <c:pt idx="23">
                    <c:v>0.60000000000000009</c:v>
                  </c:pt>
                </c:numCache>
              </c:numRef>
            </c:minus>
          </c:errBars>
          <c:cat>
            <c:strRef>
              <c:f>Analysis1!$B$43:$B$66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Analysis1!$H$43:$H$66</c:f>
              <c:numCache>
                <c:formatCode>General</c:formatCode>
                <c:ptCount val="24"/>
                <c:pt idx="0">
                  <c:v>3.3000000000000003</c:v>
                </c:pt>
                <c:pt idx="1">
                  <c:v>5.8999999999999995</c:v>
                </c:pt>
                <c:pt idx="2">
                  <c:v>3.1</c:v>
                </c:pt>
                <c:pt idx="3">
                  <c:v>4.8</c:v>
                </c:pt>
                <c:pt idx="4">
                  <c:v>3.5</c:v>
                </c:pt>
                <c:pt idx="5">
                  <c:v>0.70000000000000007</c:v>
                </c:pt>
                <c:pt idx="6">
                  <c:v>3.9000000000000004</c:v>
                </c:pt>
                <c:pt idx="7">
                  <c:v>1.7999999999999998</c:v>
                </c:pt>
                <c:pt idx="8">
                  <c:v>2.6</c:v>
                </c:pt>
                <c:pt idx="9">
                  <c:v>4.3</c:v>
                </c:pt>
                <c:pt idx="10">
                  <c:v>3.8</c:v>
                </c:pt>
                <c:pt idx="11">
                  <c:v>8.5</c:v>
                </c:pt>
                <c:pt idx="12">
                  <c:v>5.6000000000000005</c:v>
                </c:pt>
                <c:pt idx="13">
                  <c:v>6.7</c:v>
                </c:pt>
                <c:pt idx="14">
                  <c:v>8.8000000000000007</c:v>
                </c:pt>
                <c:pt idx="15">
                  <c:v>8.1999999999999993</c:v>
                </c:pt>
                <c:pt idx="16">
                  <c:v>8.4</c:v>
                </c:pt>
                <c:pt idx="17">
                  <c:v>8.8000000000000007</c:v>
                </c:pt>
                <c:pt idx="18">
                  <c:v>4.0999999999999996</c:v>
                </c:pt>
                <c:pt idx="19">
                  <c:v>9.2000000000000011</c:v>
                </c:pt>
                <c:pt idx="20">
                  <c:v>0</c:v>
                </c:pt>
                <c:pt idx="21">
                  <c:v>0.89999999999999991</c:v>
                </c:pt>
                <c:pt idx="22">
                  <c:v>1.2</c:v>
                </c:pt>
                <c:pt idx="23">
                  <c:v>0.70000000000000007</c:v>
                </c:pt>
              </c:numCache>
            </c:numRef>
          </c:val>
        </c:ser>
        <c:dLbls>
          <c:showLegendKey val="0"/>
          <c:showVal val="0"/>
          <c:showCatName val="0"/>
          <c:showSerName val="0"/>
          <c:showPercent val="0"/>
          <c:showBubbleSize val="0"/>
        </c:dLbls>
        <c:gapWidth val="150"/>
        <c:axId val="248168960"/>
        <c:axId val="248112832"/>
      </c:barChart>
      <c:catAx>
        <c:axId val="248168960"/>
        <c:scaling>
          <c:orientation val="minMax"/>
        </c:scaling>
        <c:delete val="0"/>
        <c:axPos val="b"/>
        <c:majorTickMark val="out"/>
        <c:minorTickMark val="none"/>
        <c:tickLblPos val="nextTo"/>
        <c:crossAx val="248112832"/>
        <c:crosses val="autoZero"/>
        <c:auto val="1"/>
        <c:lblAlgn val="ctr"/>
        <c:lblOffset val="100"/>
        <c:noMultiLvlLbl val="0"/>
      </c:catAx>
      <c:valAx>
        <c:axId val="248112832"/>
        <c:scaling>
          <c:orientation val="minMax"/>
          <c:max val="10"/>
        </c:scaling>
        <c:delete val="0"/>
        <c:axPos val="l"/>
        <c:numFmt formatCode="General" sourceLinked="1"/>
        <c:majorTickMark val="out"/>
        <c:minorTickMark val="none"/>
        <c:tickLblPos val="nextTo"/>
        <c:crossAx val="248168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Final Ranking Score: Alcids</a:t>
            </a:r>
            <a:endParaRPr lang="en-US">
              <a:effectLst/>
            </a:endParaRPr>
          </a:p>
        </c:rich>
      </c:tx>
      <c:overlay val="0"/>
    </c:title>
    <c:autoTitleDeleted val="0"/>
    <c:plotArea>
      <c:layout/>
      <c:barChart>
        <c:barDir val="col"/>
        <c:grouping val="clustered"/>
        <c:varyColors val="0"/>
        <c:ser>
          <c:idx val="0"/>
          <c:order val="0"/>
          <c:tx>
            <c:strRef>
              <c:f>Analysis1!$C$1</c:f>
              <c:strCache>
                <c:ptCount val="1"/>
                <c:pt idx="0">
                  <c:v>Collision</c:v>
                </c:pt>
              </c:strCache>
            </c:strRef>
          </c:tx>
          <c:invertIfNegative val="0"/>
          <c:errBars>
            <c:errBarType val="both"/>
            <c:errValType val="cust"/>
            <c:noEndCap val="0"/>
            <c:plus>
              <c:numRef>
                <c:f>Analysis1!$G$67:$G$77</c:f>
                <c:numCache>
                  <c:formatCode>General</c:formatCode>
                  <c:ptCount val="11"/>
                  <c:pt idx="0">
                    <c:v>2.1999999999999997</c:v>
                  </c:pt>
                  <c:pt idx="1">
                    <c:v>2.2999999999999998</c:v>
                  </c:pt>
                  <c:pt idx="2">
                    <c:v>1.7999999999999994</c:v>
                  </c:pt>
                  <c:pt idx="3">
                    <c:v>0.39999999999999991</c:v>
                  </c:pt>
                  <c:pt idx="4">
                    <c:v>1.2999999999999998</c:v>
                  </c:pt>
                  <c:pt idx="5">
                    <c:v>0.29999999999999993</c:v>
                  </c:pt>
                  <c:pt idx="6">
                    <c:v>1.3999999999999995</c:v>
                  </c:pt>
                  <c:pt idx="7">
                    <c:v>0.1</c:v>
                  </c:pt>
                  <c:pt idx="8">
                    <c:v>2.2999999999999998</c:v>
                  </c:pt>
                  <c:pt idx="9">
                    <c:v>0.19999999999999998</c:v>
                  </c:pt>
                  <c:pt idx="10">
                    <c:v>2.3000000000000003</c:v>
                  </c:pt>
                </c:numCache>
              </c:numRef>
            </c:plus>
            <c:minus>
              <c:numRef>
                <c:f>Analysis1!$E$67:$E$77</c:f>
                <c:numCache>
                  <c:formatCode>General</c:formatCode>
                  <c:ptCount val="11"/>
                  <c:pt idx="0">
                    <c:v>0.79999999999999982</c:v>
                  </c:pt>
                  <c:pt idx="1">
                    <c:v>0</c:v>
                  </c:pt>
                  <c:pt idx="2">
                    <c:v>0.40000000000000036</c:v>
                  </c:pt>
                  <c:pt idx="3">
                    <c:v>0.2</c:v>
                  </c:pt>
                  <c:pt idx="4">
                    <c:v>0.20000000000000018</c:v>
                  </c:pt>
                  <c:pt idx="5">
                    <c:v>0</c:v>
                  </c:pt>
                  <c:pt idx="6">
                    <c:v>0</c:v>
                  </c:pt>
                  <c:pt idx="7">
                    <c:v>0</c:v>
                  </c:pt>
                  <c:pt idx="8">
                    <c:v>0</c:v>
                  </c:pt>
                  <c:pt idx="9">
                    <c:v>0</c:v>
                  </c:pt>
                  <c:pt idx="10">
                    <c:v>0.69999999999999973</c:v>
                  </c:pt>
                </c:numCache>
              </c:numRef>
            </c:minus>
          </c:errBars>
          <c:cat>
            <c:strRef>
              <c:f>Analysis1!$B$67:$B$77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Analysis1!$C$67:$C$77</c:f>
              <c:numCache>
                <c:formatCode>General</c:formatCode>
                <c:ptCount val="11"/>
                <c:pt idx="0">
                  <c:v>2.9</c:v>
                </c:pt>
                <c:pt idx="1">
                  <c:v>3.7</c:v>
                </c:pt>
                <c:pt idx="2">
                  <c:v>3.3000000000000003</c:v>
                </c:pt>
                <c:pt idx="3">
                  <c:v>0.5</c:v>
                </c:pt>
                <c:pt idx="4">
                  <c:v>3.2</c:v>
                </c:pt>
                <c:pt idx="5">
                  <c:v>0.6</c:v>
                </c:pt>
                <c:pt idx="6">
                  <c:v>2.7</c:v>
                </c:pt>
                <c:pt idx="7">
                  <c:v>0</c:v>
                </c:pt>
                <c:pt idx="8">
                  <c:v>2.5</c:v>
                </c:pt>
                <c:pt idx="9">
                  <c:v>0.1</c:v>
                </c:pt>
                <c:pt idx="10">
                  <c:v>2.9</c:v>
                </c:pt>
              </c:numCache>
            </c:numRef>
          </c:val>
        </c:ser>
        <c:ser>
          <c:idx val="1"/>
          <c:order val="1"/>
          <c:tx>
            <c:strRef>
              <c:f>Analysis1!$H$1</c:f>
              <c:strCache>
                <c:ptCount val="1"/>
                <c:pt idx="0">
                  <c:v>Displacement</c:v>
                </c:pt>
              </c:strCache>
            </c:strRef>
          </c:tx>
          <c:invertIfNegative val="0"/>
          <c:errBars>
            <c:errBarType val="both"/>
            <c:errValType val="cust"/>
            <c:noEndCap val="0"/>
            <c:plus>
              <c:numRef>
                <c:f>Analysis1!$K$67:$K$77</c:f>
                <c:numCache>
                  <c:formatCode>General</c:formatCode>
                  <c:ptCount val="11"/>
                  <c:pt idx="0">
                    <c:v>0.90000000000000036</c:v>
                  </c:pt>
                  <c:pt idx="1">
                    <c:v>0.79999999999999893</c:v>
                  </c:pt>
                  <c:pt idx="2">
                    <c:v>0.40000000000000036</c:v>
                  </c:pt>
                  <c:pt idx="3">
                    <c:v>1.2000000000000002</c:v>
                  </c:pt>
                  <c:pt idx="4">
                    <c:v>0.20000000000000107</c:v>
                  </c:pt>
                  <c:pt idx="5">
                    <c:v>0.99999999999999911</c:v>
                  </c:pt>
                  <c:pt idx="6">
                    <c:v>0.59999999999999964</c:v>
                  </c:pt>
                  <c:pt idx="7">
                    <c:v>1.1000000000000001</c:v>
                  </c:pt>
                  <c:pt idx="8">
                    <c:v>0.59999999999999964</c:v>
                  </c:pt>
                  <c:pt idx="9">
                    <c:v>1.5</c:v>
                  </c:pt>
                  <c:pt idx="10">
                    <c:v>0.90000000000000036</c:v>
                  </c:pt>
                </c:numCache>
              </c:numRef>
            </c:plus>
            <c:minus>
              <c:numRef>
                <c:f>Analysis1!$I$67:$I$77</c:f>
                <c:numCache>
                  <c:formatCode>General</c:formatCode>
                  <c:ptCount val="11"/>
                  <c:pt idx="0">
                    <c:v>1.7999999999999998</c:v>
                  </c:pt>
                  <c:pt idx="1">
                    <c:v>1.4000000000000004</c:v>
                  </c:pt>
                  <c:pt idx="2">
                    <c:v>1.5999999999999996</c:v>
                  </c:pt>
                  <c:pt idx="3">
                    <c:v>3.5999999999999996</c:v>
                  </c:pt>
                  <c:pt idx="4">
                    <c:v>0.89999999999999858</c:v>
                  </c:pt>
                  <c:pt idx="5">
                    <c:v>2.2000000000000002</c:v>
                  </c:pt>
                  <c:pt idx="6">
                    <c:v>1.7000000000000011</c:v>
                  </c:pt>
                  <c:pt idx="7">
                    <c:v>1.7999999999999998</c:v>
                  </c:pt>
                  <c:pt idx="8">
                    <c:v>2.5999999999999996</c:v>
                  </c:pt>
                  <c:pt idx="9">
                    <c:v>1.8000000000000003</c:v>
                  </c:pt>
                  <c:pt idx="10">
                    <c:v>1.6999999999999993</c:v>
                  </c:pt>
                </c:numCache>
              </c:numRef>
            </c:minus>
          </c:errBars>
          <c:cat>
            <c:strRef>
              <c:f>Analysis1!$B$67:$B$77</c:f>
              <c:strCache>
                <c:ptCount val="11"/>
                <c:pt idx="0">
                  <c:v>Ancient_Murrelet</c:v>
                </c:pt>
                <c:pt idx="1">
                  <c:v>Marbled_Murrelet</c:v>
                </c:pt>
                <c:pt idx="2">
                  <c:v>Xantus's_Murrelet</c:v>
                </c:pt>
                <c:pt idx="3">
                  <c:v>Craveris Murrelet</c:v>
                </c:pt>
                <c:pt idx="4">
                  <c:v>Common_Murre</c:v>
                </c:pt>
                <c:pt idx="5">
                  <c:v>Pigeon_Guillemot</c:v>
                </c:pt>
                <c:pt idx="6">
                  <c:v>Tufted_Puffin</c:v>
                </c:pt>
                <c:pt idx="7">
                  <c:v>Horned_Puffin</c:v>
                </c:pt>
                <c:pt idx="8">
                  <c:v>Rhinoceros_Auklet</c:v>
                </c:pt>
                <c:pt idx="9">
                  <c:v>Parakeet_Auklet</c:v>
                </c:pt>
                <c:pt idx="10">
                  <c:v>Cassin's_Auklet</c:v>
                </c:pt>
              </c:strCache>
            </c:strRef>
          </c:cat>
          <c:val>
            <c:numRef>
              <c:f>Analysis1!$H$67:$H$77</c:f>
              <c:numCache>
                <c:formatCode>General</c:formatCode>
                <c:ptCount val="11"/>
                <c:pt idx="0">
                  <c:v>8.6999999999999993</c:v>
                </c:pt>
                <c:pt idx="1">
                  <c:v>9.2000000000000011</c:v>
                </c:pt>
                <c:pt idx="2">
                  <c:v>9.5</c:v>
                </c:pt>
                <c:pt idx="3">
                  <c:v>5.8</c:v>
                </c:pt>
                <c:pt idx="4">
                  <c:v>9</c:v>
                </c:pt>
                <c:pt idx="5">
                  <c:v>6.6000000000000005</c:v>
                </c:pt>
                <c:pt idx="6">
                  <c:v>9.2000000000000011</c:v>
                </c:pt>
                <c:pt idx="7">
                  <c:v>2.9</c:v>
                </c:pt>
                <c:pt idx="8">
                  <c:v>9.1</c:v>
                </c:pt>
                <c:pt idx="9">
                  <c:v>2.7</c:v>
                </c:pt>
                <c:pt idx="10">
                  <c:v>8.6999999999999993</c:v>
                </c:pt>
              </c:numCache>
            </c:numRef>
          </c:val>
        </c:ser>
        <c:dLbls>
          <c:showLegendKey val="0"/>
          <c:showVal val="0"/>
          <c:showCatName val="0"/>
          <c:showSerName val="0"/>
          <c:showPercent val="0"/>
          <c:showBubbleSize val="0"/>
        </c:dLbls>
        <c:gapWidth val="150"/>
        <c:axId val="248171008"/>
        <c:axId val="248114560"/>
      </c:barChart>
      <c:catAx>
        <c:axId val="248171008"/>
        <c:scaling>
          <c:orientation val="minMax"/>
        </c:scaling>
        <c:delete val="0"/>
        <c:axPos val="b"/>
        <c:majorTickMark val="out"/>
        <c:minorTickMark val="none"/>
        <c:tickLblPos val="nextTo"/>
        <c:crossAx val="248114560"/>
        <c:crosses val="autoZero"/>
        <c:auto val="1"/>
        <c:lblAlgn val="ctr"/>
        <c:lblOffset val="100"/>
        <c:noMultiLvlLbl val="0"/>
      </c:catAx>
      <c:valAx>
        <c:axId val="248114560"/>
        <c:scaling>
          <c:orientation val="minMax"/>
          <c:max val="10"/>
        </c:scaling>
        <c:delete val="0"/>
        <c:axPos val="l"/>
        <c:numFmt formatCode="General" sourceLinked="1"/>
        <c:majorTickMark val="out"/>
        <c:minorTickMark val="none"/>
        <c:tickLblPos val="nextTo"/>
        <c:crossAx val="248171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Proportion of Time in Flight</a:t>
            </a:r>
            <a:r>
              <a:rPr lang="en-US" sz="1800" b="0" i="0" baseline="0">
                <a:effectLst/>
              </a:rPr>
              <a:t>: </a:t>
            </a:r>
          </a:p>
          <a:p>
            <a:pPr>
              <a:defRPr/>
            </a:pPr>
            <a:r>
              <a:rPr lang="en-US" sz="1800" b="1" i="0" baseline="0">
                <a:effectLst/>
              </a:rPr>
              <a:t>Seaducks, Looks, &amp; Grebes</a:t>
            </a:r>
            <a:endParaRPr lang="en-US">
              <a:effectLst/>
            </a:endParaRPr>
          </a:p>
        </c:rich>
      </c:tx>
      <c:overlay val="0"/>
    </c:title>
    <c:autoTitleDeleted val="0"/>
    <c:plotArea>
      <c:layout/>
      <c:barChart>
        <c:barDir val="col"/>
        <c:grouping val="clustered"/>
        <c:varyColors val="0"/>
        <c:ser>
          <c:idx val="0"/>
          <c:order val="0"/>
          <c:tx>
            <c:strRef>
              <c:f>NFR.DFR.graphs!$C$1</c:f>
              <c:strCache>
                <c:ptCount val="1"/>
                <c:pt idx="0">
                  <c:v>Night</c:v>
                </c:pt>
              </c:strCache>
            </c:strRef>
          </c:tx>
          <c:spPr>
            <a:solidFill>
              <a:schemeClr val="tx2">
                <a:lumMod val="75000"/>
              </a:schemeClr>
            </a:solidFill>
          </c:spPr>
          <c:invertIfNegative val="0"/>
          <c:errBars>
            <c:errBarType val="both"/>
            <c:errValType val="cust"/>
            <c:noEndCap val="0"/>
            <c:plus>
              <c:numRef>
                <c:f>NFR.DFR.graphs!#REF!</c:f>
                <c:numCache>
                  <c:formatCode>General</c:formatCode>
                  <c:ptCount val="1"/>
                  <c:pt idx="0">
                    <c:v>1</c:v>
                  </c:pt>
                </c:numCache>
              </c:numRef>
            </c:plus>
            <c:minus>
              <c:numRef>
                <c:f>NFR.DFR.graphs!#REF!</c:f>
                <c:numCache>
                  <c:formatCode>General</c:formatCode>
                  <c:ptCount val="1"/>
                  <c:pt idx="0">
                    <c:v>1</c:v>
                  </c:pt>
                </c:numCache>
              </c:numRef>
            </c:minus>
          </c:errBars>
          <c:cat>
            <c:strRef>
              <c:f>NFR.DFR.graphs!$B$2:$B$16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NFR.DFR.graphs!$C$2:$C$16</c:f>
              <c:numCache>
                <c:formatCode>General</c:formatCode>
                <c:ptCount val="15"/>
                <c:pt idx="0">
                  <c:v>3</c:v>
                </c:pt>
                <c:pt idx="1">
                  <c:v>4</c:v>
                </c:pt>
                <c:pt idx="2">
                  <c:v>3</c:v>
                </c:pt>
                <c:pt idx="3">
                  <c:v>1</c:v>
                </c:pt>
                <c:pt idx="4">
                  <c:v>1</c:v>
                </c:pt>
                <c:pt idx="5">
                  <c:v>1</c:v>
                </c:pt>
                <c:pt idx="6">
                  <c:v>1</c:v>
                </c:pt>
                <c:pt idx="7">
                  <c:v>1</c:v>
                </c:pt>
                <c:pt idx="8">
                  <c:v>1</c:v>
                </c:pt>
                <c:pt idx="9">
                  <c:v>1</c:v>
                </c:pt>
                <c:pt idx="10">
                  <c:v>2</c:v>
                </c:pt>
                <c:pt idx="11">
                  <c:v>3</c:v>
                </c:pt>
                <c:pt idx="12">
                  <c:v>3</c:v>
                </c:pt>
                <c:pt idx="13">
                  <c:v>3</c:v>
                </c:pt>
                <c:pt idx="14">
                  <c:v>3</c:v>
                </c:pt>
              </c:numCache>
            </c:numRef>
          </c:val>
        </c:ser>
        <c:ser>
          <c:idx val="1"/>
          <c:order val="1"/>
          <c:tx>
            <c:strRef>
              <c:f>NFR.DFR.graphs!$F$1</c:f>
              <c:strCache>
                <c:ptCount val="1"/>
                <c:pt idx="0">
                  <c:v>Day</c:v>
                </c:pt>
              </c:strCache>
            </c:strRef>
          </c:tx>
          <c:spPr>
            <a:solidFill>
              <a:srgbClr val="FFFF00"/>
            </a:solidFill>
          </c:spPr>
          <c:invertIfNegative val="0"/>
          <c:dPt>
            <c:idx val="3"/>
            <c:invertIfNegative val="0"/>
            <c:bubble3D val="0"/>
            <c:spPr>
              <a:solidFill>
                <a:srgbClr val="FFC000"/>
              </a:solidFill>
            </c:spPr>
          </c:dPt>
          <c:dPt>
            <c:idx val="6"/>
            <c:invertIfNegative val="0"/>
            <c:bubble3D val="0"/>
            <c:spPr>
              <a:solidFill>
                <a:srgbClr val="FFC000"/>
              </a:solidFill>
            </c:spPr>
          </c:dPt>
          <c:dPt>
            <c:idx val="7"/>
            <c:invertIfNegative val="0"/>
            <c:bubble3D val="0"/>
            <c:spPr>
              <a:solidFill>
                <a:srgbClr val="FFC000"/>
              </a:solidFill>
            </c:spPr>
          </c:dPt>
          <c:dPt>
            <c:idx val="8"/>
            <c:invertIfNegative val="0"/>
            <c:bubble3D val="0"/>
            <c:spPr>
              <a:solidFill>
                <a:srgbClr val="FFC000"/>
              </a:solidFill>
            </c:spPr>
          </c:dPt>
          <c:dPt>
            <c:idx val="9"/>
            <c:invertIfNegative val="0"/>
            <c:bubble3D val="0"/>
            <c:spPr>
              <a:solidFill>
                <a:srgbClr val="FFC000"/>
              </a:solidFill>
            </c:spPr>
          </c:dPt>
          <c:errBars>
            <c:errBarType val="both"/>
            <c:errValType val="cust"/>
            <c:noEndCap val="0"/>
            <c:plus>
              <c:numRef>
                <c:f>NFR.DFR.graphs!$H$2:$H$77</c:f>
                <c:numCache>
                  <c:formatCode>General</c:formatCode>
                  <c:ptCount val="76"/>
                  <c:pt idx="0">
                    <c:v>1.5</c:v>
                  </c:pt>
                  <c:pt idx="1">
                    <c:v>1</c:v>
                  </c:pt>
                  <c:pt idx="2">
                    <c:v>0.75</c:v>
                  </c:pt>
                  <c:pt idx="3">
                    <c:v>0.5</c:v>
                  </c:pt>
                  <c:pt idx="4">
                    <c:v>0.25</c:v>
                  </c:pt>
                  <c:pt idx="5">
                    <c:v>0.10000000000000009</c:v>
                  </c:pt>
                  <c:pt idx="6">
                    <c:v>1</c:v>
                  </c:pt>
                  <c:pt idx="7">
                    <c:v>1.5</c:v>
                  </c:pt>
                  <c:pt idx="8">
                    <c:v>0.5</c:v>
                  </c:pt>
                  <c:pt idx="9">
                    <c:v>1</c:v>
                  </c:pt>
                  <c:pt idx="10">
                    <c:v>0.5</c:v>
                  </c:pt>
                  <c:pt idx="11">
                    <c:v>0.5</c:v>
                  </c:pt>
                  <c:pt idx="12">
                    <c:v>0.5</c:v>
                  </c:pt>
                  <c:pt idx="13">
                    <c:v>1</c:v>
                  </c:pt>
                  <c:pt idx="14">
                    <c:v>0.5</c:v>
                  </c:pt>
                  <c:pt idx="15">
                    <c:v>1</c:v>
                  </c:pt>
                  <c:pt idx="16">
                    <c:v>1</c:v>
                  </c:pt>
                  <c:pt idx="17">
                    <c:v>1</c:v>
                  </c:pt>
                  <c:pt idx="18">
                    <c:v>1.5</c:v>
                  </c:pt>
                  <c:pt idx="19">
                    <c:v>0.75</c:v>
                  </c:pt>
                  <c:pt idx="20">
                    <c:v>1.5</c:v>
                  </c:pt>
                  <c:pt idx="21">
                    <c:v>1</c:v>
                  </c:pt>
                  <c:pt idx="22">
                    <c:v>1.5</c:v>
                  </c:pt>
                  <c:pt idx="23">
                    <c:v>0.75</c:v>
                  </c:pt>
                  <c:pt idx="24">
                    <c:v>1.5</c:v>
                  </c:pt>
                  <c:pt idx="25">
                    <c:v>0.5</c:v>
                  </c:pt>
                  <c:pt idx="26">
                    <c:v>0</c:v>
                  </c:pt>
                  <c:pt idx="27">
                    <c:v>0</c:v>
                  </c:pt>
                  <c:pt idx="28">
                    <c:v>0</c:v>
                  </c:pt>
                  <c:pt idx="29">
                    <c:v>1.5</c:v>
                  </c:pt>
                  <c:pt idx="30">
                    <c:v>1.5</c:v>
                  </c:pt>
                  <c:pt idx="31">
                    <c:v>1.5</c:v>
                  </c:pt>
                  <c:pt idx="32">
                    <c:v>0.75</c:v>
                  </c:pt>
                  <c:pt idx="33">
                    <c:v>0.75</c:v>
                  </c:pt>
                  <c:pt idx="34">
                    <c:v>0.75</c:v>
                  </c:pt>
                  <c:pt idx="35">
                    <c:v>1.5</c:v>
                  </c:pt>
                  <c:pt idx="36">
                    <c:v>1.5</c:v>
                  </c:pt>
                  <c:pt idx="37">
                    <c:v>0</c:v>
                  </c:pt>
                  <c:pt idx="38">
                    <c:v>1.5</c:v>
                  </c:pt>
                  <c:pt idx="39">
                    <c:v>1.5</c:v>
                  </c:pt>
                  <c:pt idx="40">
                    <c:v>1.5</c:v>
                  </c:pt>
                  <c:pt idx="41">
                    <c:v>0.75</c:v>
                  </c:pt>
                  <c:pt idx="42">
                    <c:v>1.5</c:v>
                  </c:pt>
                  <c:pt idx="43">
                    <c:v>1.5</c:v>
                  </c:pt>
                  <c:pt idx="44">
                    <c:v>1.5</c:v>
                  </c:pt>
                  <c:pt idx="45">
                    <c:v>1.5</c:v>
                  </c:pt>
                  <c:pt idx="46">
                    <c:v>1.5</c:v>
                  </c:pt>
                  <c:pt idx="47">
                    <c:v>1.5</c:v>
                  </c:pt>
                  <c:pt idx="48">
                    <c:v>1</c:v>
                  </c:pt>
                  <c:pt idx="49">
                    <c:v>1.5</c:v>
                  </c:pt>
                  <c:pt idx="50">
                    <c:v>1.5</c:v>
                  </c:pt>
                  <c:pt idx="51">
                    <c:v>1.5</c:v>
                  </c:pt>
                  <c:pt idx="52">
                    <c:v>0</c:v>
                  </c:pt>
                  <c:pt idx="53">
                    <c:v>0</c:v>
                  </c:pt>
                  <c:pt idx="54">
                    <c:v>0</c:v>
                  </c:pt>
                  <c:pt idx="55">
                    <c:v>0</c:v>
                  </c:pt>
                  <c:pt idx="56">
                    <c:v>1</c:v>
                  </c:pt>
                  <c:pt idx="57">
                    <c:v>0</c:v>
                  </c:pt>
                  <c:pt idx="58">
                    <c:v>0</c:v>
                  </c:pt>
                  <c:pt idx="59">
                    <c:v>0</c:v>
                  </c:pt>
                  <c:pt idx="60">
                    <c:v>1.5</c:v>
                  </c:pt>
                  <c:pt idx="61">
                    <c:v>0</c:v>
                  </c:pt>
                  <c:pt idx="62">
                    <c:v>0</c:v>
                  </c:pt>
                  <c:pt idx="63">
                    <c:v>1.5</c:v>
                  </c:pt>
                  <c:pt idx="64">
                    <c:v>1</c:v>
                  </c:pt>
                  <c:pt idx="65">
                    <c:v>0.5</c:v>
                  </c:pt>
                  <c:pt idx="66">
                    <c:v>0.5</c:v>
                  </c:pt>
                  <c:pt idx="67">
                    <c:v>0.5</c:v>
                  </c:pt>
                  <c:pt idx="68">
                    <c:v>0.5</c:v>
                  </c:pt>
                  <c:pt idx="69">
                    <c:v>0.5</c:v>
                  </c:pt>
                  <c:pt idx="70">
                    <c:v>0.5</c:v>
                  </c:pt>
                  <c:pt idx="71">
                    <c:v>0.5</c:v>
                  </c:pt>
                  <c:pt idx="72">
                    <c:v>0.5</c:v>
                  </c:pt>
                  <c:pt idx="73">
                    <c:v>0.5</c:v>
                  </c:pt>
                  <c:pt idx="74">
                    <c:v>0.5</c:v>
                  </c:pt>
                  <c:pt idx="75">
                    <c:v>0.5</c:v>
                  </c:pt>
                </c:numCache>
              </c:numRef>
            </c:plus>
            <c:minus>
              <c:numRef>
                <c:f>NFR.DFR.graphs!$G$2:$G$77</c:f>
                <c:numCache>
                  <c:formatCode>General</c:formatCode>
                  <c:ptCount val="76"/>
                  <c:pt idx="0">
                    <c:v>1.5</c:v>
                  </c:pt>
                  <c:pt idx="1">
                    <c:v>1</c:v>
                  </c:pt>
                  <c:pt idx="2">
                    <c:v>0.75</c:v>
                  </c:pt>
                  <c:pt idx="3">
                    <c:v>0</c:v>
                  </c:pt>
                  <c:pt idx="4">
                    <c:v>0</c:v>
                  </c:pt>
                  <c:pt idx="5">
                    <c:v>0</c:v>
                  </c:pt>
                  <c:pt idx="6">
                    <c:v>1</c:v>
                  </c:pt>
                  <c:pt idx="7">
                    <c:v>1.5</c:v>
                  </c:pt>
                  <c:pt idx="8">
                    <c:v>0.5</c:v>
                  </c:pt>
                  <c:pt idx="9">
                    <c:v>1</c:v>
                  </c:pt>
                  <c:pt idx="10">
                    <c:v>0</c:v>
                  </c:pt>
                  <c:pt idx="11">
                    <c:v>0</c:v>
                  </c:pt>
                  <c:pt idx="12">
                    <c:v>0</c:v>
                  </c:pt>
                  <c:pt idx="13">
                    <c:v>1</c:v>
                  </c:pt>
                  <c:pt idx="14">
                    <c:v>0</c:v>
                  </c:pt>
                  <c:pt idx="15">
                    <c:v>2</c:v>
                  </c:pt>
                  <c:pt idx="16">
                    <c:v>2</c:v>
                  </c:pt>
                  <c:pt idx="17">
                    <c:v>2</c:v>
                  </c:pt>
                  <c:pt idx="18">
                    <c:v>1.5</c:v>
                  </c:pt>
                  <c:pt idx="19">
                    <c:v>0.75</c:v>
                  </c:pt>
                  <c:pt idx="20">
                    <c:v>1.5</c:v>
                  </c:pt>
                  <c:pt idx="21">
                    <c:v>2</c:v>
                  </c:pt>
                  <c:pt idx="22">
                    <c:v>1.5</c:v>
                  </c:pt>
                  <c:pt idx="23">
                    <c:v>0.75</c:v>
                  </c:pt>
                  <c:pt idx="24">
                    <c:v>1.5</c:v>
                  </c:pt>
                  <c:pt idx="25">
                    <c:v>0.5</c:v>
                  </c:pt>
                  <c:pt idx="26">
                    <c:v>2.5</c:v>
                  </c:pt>
                  <c:pt idx="27">
                    <c:v>2.5</c:v>
                  </c:pt>
                  <c:pt idx="28">
                    <c:v>2.5</c:v>
                  </c:pt>
                  <c:pt idx="29">
                    <c:v>1.5</c:v>
                  </c:pt>
                  <c:pt idx="30">
                    <c:v>1.5</c:v>
                  </c:pt>
                  <c:pt idx="31">
                    <c:v>1.5</c:v>
                  </c:pt>
                  <c:pt idx="32">
                    <c:v>0.75</c:v>
                  </c:pt>
                  <c:pt idx="33">
                    <c:v>0.75</c:v>
                  </c:pt>
                  <c:pt idx="34">
                    <c:v>0.75</c:v>
                  </c:pt>
                  <c:pt idx="35">
                    <c:v>1.5</c:v>
                  </c:pt>
                  <c:pt idx="36">
                    <c:v>1.5</c:v>
                  </c:pt>
                  <c:pt idx="37">
                    <c:v>0.5</c:v>
                  </c:pt>
                  <c:pt idx="38">
                    <c:v>1.5</c:v>
                  </c:pt>
                  <c:pt idx="39">
                    <c:v>1.5</c:v>
                  </c:pt>
                  <c:pt idx="40">
                    <c:v>1.5</c:v>
                  </c:pt>
                  <c:pt idx="41">
                    <c:v>0.75</c:v>
                  </c:pt>
                  <c:pt idx="42">
                    <c:v>1.5</c:v>
                  </c:pt>
                  <c:pt idx="43">
                    <c:v>1.5</c:v>
                  </c:pt>
                  <c:pt idx="44">
                    <c:v>1.5</c:v>
                  </c:pt>
                  <c:pt idx="45">
                    <c:v>1.5</c:v>
                  </c:pt>
                  <c:pt idx="46">
                    <c:v>1.5</c:v>
                  </c:pt>
                  <c:pt idx="47">
                    <c:v>1.5</c:v>
                  </c:pt>
                  <c:pt idx="48">
                    <c:v>1</c:v>
                  </c:pt>
                  <c:pt idx="49">
                    <c:v>1.5</c:v>
                  </c:pt>
                  <c:pt idx="50">
                    <c:v>1.5</c:v>
                  </c:pt>
                  <c:pt idx="51">
                    <c:v>1.5</c:v>
                  </c:pt>
                  <c:pt idx="52">
                    <c:v>0.5</c:v>
                  </c:pt>
                  <c:pt idx="53">
                    <c:v>1.25</c:v>
                  </c:pt>
                  <c:pt idx="54">
                    <c:v>1.25</c:v>
                  </c:pt>
                  <c:pt idx="55">
                    <c:v>2.5</c:v>
                  </c:pt>
                  <c:pt idx="56">
                    <c:v>1</c:v>
                  </c:pt>
                  <c:pt idx="57">
                    <c:v>1.25</c:v>
                  </c:pt>
                  <c:pt idx="58">
                    <c:v>2.5</c:v>
                  </c:pt>
                  <c:pt idx="59">
                    <c:v>0.5</c:v>
                  </c:pt>
                  <c:pt idx="60">
                    <c:v>1.5</c:v>
                  </c:pt>
                  <c:pt idx="61">
                    <c:v>1.25</c:v>
                  </c:pt>
                  <c:pt idx="62">
                    <c:v>2.5</c:v>
                  </c:pt>
                  <c:pt idx="63">
                    <c:v>1.5</c:v>
                  </c:pt>
                  <c:pt idx="64">
                    <c:v>2</c:v>
                  </c:pt>
                  <c:pt idx="65">
                    <c:v>0</c:v>
                  </c:pt>
                  <c:pt idx="66">
                    <c:v>0</c:v>
                  </c:pt>
                  <c:pt idx="67">
                    <c:v>0</c:v>
                  </c:pt>
                  <c:pt idx="68">
                    <c:v>0</c:v>
                  </c:pt>
                  <c:pt idx="69">
                    <c:v>0</c:v>
                  </c:pt>
                  <c:pt idx="70">
                    <c:v>0</c:v>
                  </c:pt>
                  <c:pt idx="71">
                    <c:v>0</c:v>
                  </c:pt>
                  <c:pt idx="72">
                    <c:v>0</c:v>
                  </c:pt>
                  <c:pt idx="73">
                    <c:v>0</c:v>
                  </c:pt>
                  <c:pt idx="74">
                    <c:v>0</c:v>
                  </c:pt>
                  <c:pt idx="75">
                    <c:v>0</c:v>
                  </c:pt>
                </c:numCache>
              </c:numRef>
            </c:minus>
          </c:errBars>
          <c:cat>
            <c:strRef>
              <c:f>NFR.DFR.graphs!$B$2:$B$16</c:f>
              <c:strCache>
                <c:ptCount val="15"/>
                <c:pt idx="0">
                  <c:v>Black_Scoter</c:v>
                </c:pt>
                <c:pt idx="1">
                  <c:v>Surf_Scoter</c:v>
                </c:pt>
                <c:pt idx="2">
                  <c:v>White-winged_Scoter</c:v>
                </c:pt>
                <c:pt idx="3">
                  <c:v>Brant</c:v>
                </c:pt>
                <c:pt idx="4">
                  <c:v>Common_Merganser</c:v>
                </c:pt>
                <c:pt idx="5">
                  <c:v>Red-breasted_Merganser</c:v>
                </c:pt>
                <c:pt idx="6">
                  <c:v>Common_Loon</c:v>
                </c:pt>
                <c:pt idx="7">
                  <c:v>Pacific_Loon</c:v>
                </c:pt>
                <c:pt idx="8">
                  <c:v>Red-throated_Loon</c:v>
                </c:pt>
                <c:pt idx="9">
                  <c:v>Yellow-billed_Loon</c:v>
                </c:pt>
                <c:pt idx="10">
                  <c:v>Clark's_Grebe</c:v>
                </c:pt>
                <c:pt idx="11">
                  <c:v>Western_Grebe</c:v>
                </c:pt>
                <c:pt idx="12">
                  <c:v>Eared_Grebe</c:v>
                </c:pt>
                <c:pt idx="13">
                  <c:v>Horned_Grebe</c:v>
                </c:pt>
                <c:pt idx="14">
                  <c:v>Red-necked_Grebe</c:v>
                </c:pt>
              </c:strCache>
            </c:strRef>
          </c:cat>
          <c:val>
            <c:numRef>
              <c:f>NFR.DFR.graphs!$F$2:$F$16</c:f>
              <c:numCache>
                <c:formatCode>General</c:formatCode>
                <c:ptCount val="15"/>
                <c:pt idx="0">
                  <c:v>3</c:v>
                </c:pt>
                <c:pt idx="1">
                  <c:v>2</c:v>
                </c:pt>
                <c:pt idx="2">
                  <c:v>3</c:v>
                </c:pt>
                <c:pt idx="3">
                  <c:v>1</c:v>
                </c:pt>
                <c:pt idx="4">
                  <c:v>1</c:v>
                </c:pt>
                <c:pt idx="5">
                  <c:v>1</c:v>
                </c:pt>
                <c:pt idx="6">
                  <c:v>2</c:v>
                </c:pt>
                <c:pt idx="7">
                  <c:v>3</c:v>
                </c:pt>
                <c:pt idx="8">
                  <c:v>2</c:v>
                </c:pt>
                <c:pt idx="9">
                  <c:v>2</c:v>
                </c:pt>
                <c:pt idx="10">
                  <c:v>1</c:v>
                </c:pt>
                <c:pt idx="11">
                  <c:v>1</c:v>
                </c:pt>
                <c:pt idx="12">
                  <c:v>1</c:v>
                </c:pt>
                <c:pt idx="13">
                  <c:v>2</c:v>
                </c:pt>
                <c:pt idx="14">
                  <c:v>1</c:v>
                </c:pt>
              </c:numCache>
            </c:numRef>
          </c:val>
        </c:ser>
        <c:dLbls>
          <c:showLegendKey val="0"/>
          <c:showVal val="0"/>
          <c:showCatName val="0"/>
          <c:showSerName val="0"/>
          <c:showPercent val="0"/>
          <c:showBubbleSize val="0"/>
        </c:dLbls>
        <c:gapWidth val="150"/>
        <c:axId val="248723456"/>
        <c:axId val="248115712"/>
      </c:barChart>
      <c:catAx>
        <c:axId val="248723456"/>
        <c:scaling>
          <c:orientation val="minMax"/>
        </c:scaling>
        <c:delete val="0"/>
        <c:axPos val="b"/>
        <c:majorTickMark val="out"/>
        <c:minorTickMark val="none"/>
        <c:tickLblPos val="nextTo"/>
        <c:crossAx val="248115712"/>
        <c:crosses val="autoZero"/>
        <c:auto val="1"/>
        <c:lblAlgn val="ctr"/>
        <c:lblOffset val="100"/>
        <c:noMultiLvlLbl val="0"/>
      </c:catAx>
      <c:valAx>
        <c:axId val="248115712"/>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8723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Proportion of Time in Flight</a:t>
            </a:r>
            <a:r>
              <a:rPr lang="en-US" sz="1800" b="0" i="0" baseline="0">
                <a:effectLst/>
              </a:rPr>
              <a:t>:</a:t>
            </a:r>
            <a:r>
              <a:rPr lang="en-US" sz="1800" b="1" i="0" baseline="0">
                <a:effectLst/>
              </a:rPr>
              <a:t> Procellariids</a:t>
            </a:r>
            <a:endParaRPr lang="en-US">
              <a:effectLst/>
            </a:endParaRPr>
          </a:p>
        </c:rich>
      </c:tx>
      <c:overlay val="0"/>
    </c:title>
    <c:autoTitleDeleted val="0"/>
    <c:plotArea>
      <c:layout/>
      <c:barChart>
        <c:barDir val="col"/>
        <c:grouping val="clustered"/>
        <c:varyColors val="0"/>
        <c:ser>
          <c:idx val="0"/>
          <c:order val="0"/>
          <c:tx>
            <c:strRef>
              <c:f>NFR.DFR.graphs!$C$1</c:f>
              <c:strCache>
                <c:ptCount val="1"/>
                <c:pt idx="0">
                  <c:v>Night</c:v>
                </c:pt>
              </c:strCache>
            </c:strRef>
          </c:tx>
          <c:spPr>
            <a:solidFill>
              <a:schemeClr val="tx2">
                <a:lumMod val="75000"/>
              </a:schemeClr>
            </a:solidFill>
          </c:spPr>
          <c:invertIfNegative val="0"/>
          <c:errBars>
            <c:errBarType val="both"/>
            <c:errValType val="cust"/>
            <c:noEndCap val="0"/>
            <c:plus>
              <c:numRef>
                <c:f>NFR.DFR.graphs!$E$17:$E$35</c:f>
                <c:numCache>
                  <c:formatCode>General</c:formatCode>
                  <c:ptCount val="19"/>
                  <c:pt idx="0">
                    <c:v>0.75</c:v>
                  </c:pt>
                  <c:pt idx="1">
                    <c:v>0.75</c:v>
                  </c:pt>
                  <c:pt idx="2">
                    <c:v>1.5</c:v>
                  </c:pt>
                  <c:pt idx="3">
                    <c:v>1.5</c:v>
                  </c:pt>
                  <c:pt idx="4">
                    <c:v>0.75</c:v>
                  </c:pt>
                  <c:pt idx="5">
                    <c:v>1.5</c:v>
                  </c:pt>
                  <c:pt idx="6">
                    <c:v>1.5</c:v>
                  </c:pt>
                  <c:pt idx="7">
                    <c:v>1.5</c:v>
                  </c:pt>
                  <c:pt idx="8">
                    <c:v>0.75</c:v>
                  </c:pt>
                  <c:pt idx="9">
                    <c:v>1.5</c:v>
                  </c:pt>
                  <c:pt idx="10">
                    <c:v>1</c:v>
                  </c:pt>
                  <c:pt idx="11">
                    <c:v>1.5</c:v>
                  </c:pt>
                  <c:pt idx="12">
                    <c:v>0</c:v>
                  </c:pt>
                  <c:pt idx="13">
                    <c:v>0.5</c:v>
                  </c:pt>
                  <c:pt idx="14">
                    <c:v>1</c:v>
                  </c:pt>
                  <c:pt idx="15">
                    <c:v>1</c:v>
                  </c:pt>
                  <c:pt idx="16">
                    <c:v>1</c:v>
                  </c:pt>
                  <c:pt idx="17">
                    <c:v>1</c:v>
                  </c:pt>
                  <c:pt idx="18">
                    <c:v>1</c:v>
                  </c:pt>
                </c:numCache>
              </c:numRef>
            </c:plus>
            <c:minus>
              <c:numRef>
                <c:f>NFR.DFR.graphs!$D$17:$D$35</c:f>
                <c:numCache>
                  <c:formatCode>General</c:formatCode>
                  <c:ptCount val="19"/>
                  <c:pt idx="0">
                    <c:v>0.75</c:v>
                  </c:pt>
                  <c:pt idx="1">
                    <c:v>0.75</c:v>
                  </c:pt>
                  <c:pt idx="2">
                    <c:v>1.5</c:v>
                  </c:pt>
                  <c:pt idx="3">
                    <c:v>1.5</c:v>
                  </c:pt>
                  <c:pt idx="4">
                    <c:v>0.75</c:v>
                  </c:pt>
                  <c:pt idx="5">
                    <c:v>1.5</c:v>
                  </c:pt>
                  <c:pt idx="6">
                    <c:v>1.5</c:v>
                  </c:pt>
                  <c:pt idx="7">
                    <c:v>1.5</c:v>
                  </c:pt>
                  <c:pt idx="8">
                    <c:v>0.75</c:v>
                  </c:pt>
                  <c:pt idx="9">
                    <c:v>1.5</c:v>
                  </c:pt>
                  <c:pt idx="10">
                    <c:v>1</c:v>
                  </c:pt>
                  <c:pt idx="11">
                    <c:v>1.5</c:v>
                  </c:pt>
                  <c:pt idx="12">
                    <c:v>3</c:v>
                  </c:pt>
                  <c:pt idx="13">
                    <c:v>2.5</c:v>
                  </c:pt>
                  <c:pt idx="14">
                    <c:v>2</c:v>
                  </c:pt>
                  <c:pt idx="15">
                    <c:v>2</c:v>
                  </c:pt>
                  <c:pt idx="16">
                    <c:v>2</c:v>
                  </c:pt>
                  <c:pt idx="17">
                    <c:v>1</c:v>
                  </c:pt>
                  <c:pt idx="18">
                    <c:v>1</c:v>
                  </c:pt>
                </c:numCache>
              </c:numRef>
            </c:minus>
          </c:errBars>
          <c:cat>
            <c:strRef>
              <c:f>NFR.DFR.graphs!$B$17:$B$35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NFR.DFR.graphs!$C$17:$C$35</c:f>
              <c:numCache>
                <c:formatCode>General</c:formatCode>
                <c:ptCount val="19"/>
                <c:pt idx="0">
                  <c:v>3</c:v>
                </c:pt>
                <c:pt idx="1">
                  <c:v>3</c:v>
                </c:pt>
                <c:pt idx="2">
                  <c:v>3</c:v>
                </c:pt>
                <c:pt idx="3">
                  <c:v>3</c:v>
                </c:pt>
                <c:pt idx="4">
                  <c:v>3</c:v>
                </c:pt>
                <c:pt idx="5">
                  <c:v>3</c:v>
                </c:pt>
                <c:pt idx="6">
                  <c:v>3</c:v>
                </c:pt>
                <c:pt idx="7">
                  <c:v>3</c:v>
                </c:pt>
                <c:pt idx="8">
                  <c:v>3</c:v>
                </c:pt>
                <c:pt idx="9">
                  <c:v>3</c:v>
                </c:pt>
                <c:pt idx="10">
                  <c:v>4</c:v>
                </c:pt>
                <c:pt idx="11">
                  <c:v>3</c:v>
                </c:pt>
                <c:pt idx="12">
                  <c:v>5</c:v>
                </c:pt>
                <c:pt idx="13">
                  <c:v>4</c:v>
                </c:pt>
                <c:pt idx="14">
                  <c:v>4</c:v>
                </c:pt>
                <c:pt idx="15">
                  <c:v>4</c:v>
                </c:pt>
                <c:pt idx="16">
                  <c:v>4</c:v>
                </c:pt>
                <c:pt idx="17">
                  <c:v>4</c:v>
                </c:pt>
                <c:pt idx="18">
                  <c:v>4</c:v>
                </c:pt>
              </c:numCache>
            </c:numRef>
          </c:val>
        </c:ser>
        <c:ser>
          <c:idx val="1"/>
          <c:order val="1"/>
          <c:tx>
            <c:strRef>
              <c:f>NFR.DFR.graphs!$F$1</c:f>
              <c:strCache>
                <c:ptCount val="1"/>
                <c:pt idx="0">
                  <c:v>Day</c:v>
                </c:pt>
              </c:strCache>
            </c:strRef>
          </c:tx>
          <c:spPr>
            <a:solidFill>
              <a:srgbClr val="FFFF00"/>
            </a:solidFill>
          </c:spPr>
          <c:invertIfNegative val="0"/>
          <c:dPt>
            <c:idx val="0"/>
            <c:invertIfNegative val="0"/>
            <c:bubble3D val="0"/>
            <c:spPr>
              <a:solidFill>
                <a:srgbClr val="FFC000"/>
              </a:solidFill>
            </c:spPr>
          </c:dPt>
          <c:dPt>
            <c:idx val="1"/>
            <c:invertIfNegative val="0"/>
            <c:bubble3D val="0"/>
            <c:spPr>
              <a:solidFill>
                <a:srgbClr val="FFC000"/>
              </a:solidFill>
            </c:spPr>
          </c:dPt>
          <c:dPt>
            <c:idx val="2"/>
            <c:invertIfNegative val="0"/>
            <c:bubble3D val="0"/>
            <c:spPr>
              <a:solidFill>
                <a:srgbClr val="FFC000"/>
              </a:solidFill>
            </c:spPr>
          </c:dPt>
          <c:dPt>
            <c:idx val="10"/>
            <c:invertIfNegative val="0"/>
            <c:bubble3D val="0"/>
            <c:spPr>
              <a:solidFill>
                <a:srgbClr val="FFC000"/>
              </a:solidFill>
            </c:spPr>
          </c:dPt>
          <c:dPt>
            <c:idx val="11"/>
            <c:invertIfNegative val="0"/>
            <c:bubble3D val="0"/>
            <c:spPr>
              <a:solidFill>
                <a:srgbClr val="FFC000"/>
              </a:solidFill>
            </c:spPr>
          </c:dPt>
          <c:dPt>
            <c:idx val="12"/>
            <c:invertIfNegative val="0"/>
            <c:bubble3D val="0"/>
            <c:spPr>
              <a:solidFill>
                <a:srgbClr val="FFC000"/>
              </a:solidFill>
            </c:spPr>
          </c:dPt>
          <c:dPt>
            <c:idx val="13"/>
            <c:invertIfNegative val="0"/>
            <c:bubble3D val="0"/>
            <c:spPr>
              <a:solidFill>
                <a:srgbClr val="FFC000"/>
              </a:solidFill>
            </c:spPr>
          </c:dPt>
          <c:errBars>
            <c:errBarType val="both"/>
            <c:errValType val="cust"/>
            <c:noEndCap val="0"/>
            <c:plus>
              <c:numRef>
                <c:f>NFR.DFR.graphs!$H$17:$H$35</c:f>
                <c:numCache>
                  <c:formatCode>General</c:formatCode>
                  <c:ptCount val="19"/>
                  <c:pt idx="0">
                    <c:v>1</c:v>
                  </c:pt>
                  <c:pt idx="1">
                    <c:v>1</c:v>
                  </c:pt>
                  <c:pt idx="2">
                    <c:v>1</c:v>
                  </c:pt>
                  <c:pt idx="3">
                    <c:v>1.5</c:v>
                  </c:pt>
                  <c:pt idx="4">
                    <c:v>0.75</c:v>
                  </c:pt>
                  <c:pt idx="5">
                    <c:v>1.5</c:v>
                  </c:pt>
                  <c:pt idx="6">
                    <c:v>1</c:v>
                  </c:pt>
                  <c:pt idx="7">
                    <c:v>1.5</c:v>
                  </c:pt>
                  <c:pt idx="8">
                    <c:v>0.75</c:v>
                  </c:pt>
                  <c:pt idx="9">
                    <c:v>1.5</c:v>
                  </c:pt>
                  <c:pt idx="10">
                    <c:v>0.5</c:v>
                  </c:pt>
                  <c:pt idx="11">
                    <c:v>0</c:v>
                  </c:pt>
                  <c:pt idx="12">
                    <c:v>0</c:v>
                  </c:pt>
                  <c:pt idx="13">
                    <c:v>0</c:v>
                  </c:pt>
                  <c:pt idx="14">
                    <c:v>1.5</c:v>
                  </c:pt>
                  <c:pt idx="15">
                    <c:v>1.5</c:v>
                  </c:pt>
                  <c:pt idx="16">
                    <c:v>1.5</c:v>
                  </c:pt>
                  <c:pt idx="17">
                    <c:v>0.75</c:v>
                  </c:pt>
                  <c:pt idx="18">
                    <c:v>0.75</c:v>
                  </c:pt>
                </c:numCache>
              </c:numRef>
            </c:plus>
            <c:minus>
              <c:numRef>
                <c:f>NFR.DFR.graphs!$G$17:$G$35</c:f>
                <c:numCache>
                  <c:formatCode>General</c:formatCode>
                  <c:ptCount val="19"/>
                  <c:pt idx="0">
                    <c:v>2</c:v>
                  </c:pt>
                  <c:pt idx="1">
                    <c:v>2</c:v>
                  </c:pt>
                  <c:pt idx="2">
                    <c:v>2</c:v>
                  </c:pt>
                  <c:pt idx="3">
                    <c:v>1.5</c:v>
                  </c:pt>
                  <c:pt idx="4">
                    <c:v>0.75</c:v>
                  </c:pt>
                  <c:pt idx="5">
                    <c:v>1.5</c:v>
                  </c:pt>
                  <c:pt idx="6">
                    <c:v>2</c:v>
                  </c:pt>
                  <c:pt idx="7">
                    <c:v>1.5</c:v>
                  </c:pt>
                  <c:pt idx="8">
                    <c:v>0.75</c:v>
                  </c:pt>
                  <c:pt idx="9">
                    <c:v>1.5</c:v>
                  </c:pt>
                  <c:pt idx="10">
                    <c:v>0.5</c:v>
                  </c:pt>
                  <c:pt idx="11">
                    <c:v>2.5</c:v>
                  </c:pt>
                  <c:pt idx="12">
                    <c:v>2.5</c:v>
                  </c:pt>
                  <c:pt idx="13">
                    <c:v>2.5</c:v>
                  </c:pt>
                  <c:pt idx="14">
                    <c:v>1.5</c:v>
                  </c:pt>
                  <c:pt idx="15">
                    <c:v>1.5</c:v>
                  </c:pt>
                  <c:pt idx="16">
                    <c:v>1.5</c:v>
                  </c:pt>
                  <c:pt idx="17">
                    <c:v>0.75</c:v>
                  </c:pt>
                  <c:pt idx="18">
                    <c:v>0.75</c:v>
                  </c:pt>
                </c:numCache>
              </c:numRef>
            </c:minus>
          </c:errBars>
          <c:cat>
            <c:strRef>
              <c:f>NFR.DFR.graphs!$B$17:$B$35</c:f>
              <c:strCache>
                <c:ptCount val="19"/>
                <c:pt idx="0">
                  <c:v>Black-footed_Albatross</c:v>
                </c:pt>
                <c:pt idx="1">
                  <c:v>Laysan_Albatross</c:v>
                </c:pt>
                <c:pt idx="2">
                  <c:v>Short-tailed_Albatross</c:v>
                </c:pt>
                <c:pt idx="3">
                  <c:v>Buller's_Shearwater</c:v>
                </c:pt>
                <c:pt idx="4">
                  <c:v>Manx_Shearwater</c:v>
                </c:pt>
                <c:pt idx="5">
                  <c:v>Pink-footed_Shearwater</c:v>
                </c:pt>
                <c:pt idx="6">
                  <c:v>Flesh-footed_Shearwater</c:v>
                </c:pt>
                <c:pt idx="7">
                  <c:v>Short-tailed_Shearwater</c:v>
                </c:pt>
                <c:pt idx="8">
                  <c:v>Sooty_Shearwater</c:v>
                </c:pt>
                <c:pt idx="9">
                  <c:v>Black-vented_Shearwater</c:v>
                </c:pt>
                <c:pt idx="10">
                  <c:v>Northern_Fulmar</c:v>
                </c:pt>
                <c:pt idx="11">
                  <c:v>Hawaiian_Petrel</c:v>
                </c:pt>
                <c:pt idx="12">
                  <c:v>Cooks_Petrel</c:v>
                </c:pt>
                <c:pt idx="13">
                  <c:v>Mottled_Petrel</c:v>
                </c:pt>
                <c:pt idx="14">
                  <c:v>Ashy_Storm_Petrel</c:v>
                </c:pt>
                <c:pt idx="15">
                  <c:v>Black_Storm_Petrel</c:v>
                </c:pt>
                <c:pt idx="16">
                  <c:v>Fork-tailed_Storm_Petrel</c:v>
                </c:pt>
                <c:pt idx="17">
                  <c:v>Leach's_Storm_Petrel</c:v>
                </c:pt>
                <c:pt idx="18">
                  <c:v>Willson's_Storm_Petrel</c:v>
                </c:pt>
              </c:strCache>
            </c:strRef>
          </c:cat>
          <c:val>
            <c:numRef>
              <c:f>NFR.DFR.graphs!$F$17:$F$35</c:f>
              <c:numCache>
                <c:formatCode>General</c:formatCode>
                <c:ptCount val="19"/>
                <c:pt idx="0">
                  <c:v>4</c:v>
                </c:pt>
                <c:pt idx="1">
                  <c:v>4</c:v>
                </c:pt>
                <c:pt idx="2">
                  <c:v>4</c:v>
                </c:pt>
                <c:pt idx="3">
                  <c:v>3</c:v>
                </c:pt>
                <c:pt idx="4">
                  <c:v>3</c:v>
                </c:pt>
                <c:pt idx="5">
                  <c:v>3</c:v>
                </c:pt>
                <c:pt idx="6">
                  <c:v>4</c:v>
                </c:pt>
                <c:pt idx="7">
                  <c:v>3</c:v>
                </c:pt>
                <c:pt idx="8">
                  <c:v>3</c:v>
                </c:pt>
                <c:pt idx="9">
                  <c:v>3</c:v>
                </c:pt>
                <c:pt idx="10">
                  <c:v>2</c:v>
                </c:pt>
                <c:pt idx="11">
                  <c:v>5</c:v>
                </c:pt>
                <c:pt idx="12">
                  <c:v>5</c:v>
                </c:pt>
                <c:pt idx="13">
                  <c:v>5</c:v>
                </c:pt>
                <c:pt idx="14">
                  <c:v>3</c:v>
                </c:pt>
                <c:pt idx="15">
                  <c:v>3</c:v>
                </c:pt>
                <c:pt idx="16">
                  <c:v>3</c:v>
                </c:pt>
                <c:pt idx="17">
                  <c:v>3</c:v>
                </c:pt>
                <c:pt idx="18">
                  <c:v>3</c:v>
                </c:pt>
              </c:numCache>
            </c:numRef>
          </c:val>
        </c:ser>
        <c:dLbls>
          <c:showLegendKey val="0"/>
          <c:showVal val="0"/>
          <c:showCatName val="0"/>
          <c:showSerName val="0"/>
          <c:showPercent val="0"/>
          <c:showBubbleSize val="0"/>
        </c:dLbls>
        <c:gapWidth val="150"/>
        <c:axId val="247880704"/>
        <c:axId val="248117440"/>
      </c:barChart>
      <c:catAx>
        <c:axId val="247880704"/>
        <c:scaling>
          <c:orientation val="minMax"/>
        </c:scaling>
        <c:delete val="0"/>
        <c:axPos val="b"/>
        <c:majorTickMark val="out"/>
        <c:minorTickMark val="none"/>
        <c:tickLblPos val="nextTo"/>
        <c:crossAx val="248117440"/>
        <c:crosses val="autoZero"/>
        <c:auto val="1"/>
        <c:lblAlgn val="ctr"/>
        <c:lblOffset val="100"/>
        <c:noMultiLvlLbl val="0"/>
      </c:catAx>
      <c:valAx>
        <c:axId val="248117440"/>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7880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Proportion of Time in Flight</a:t>
            </a:r>
            <a:r>
              <a:rPr lang="en-US" sz="1800" b="0" i="0" baseline="0">
                <a:effectLst/>
              </a:rPr>
              <a:t>:</a:t>
            </a:r>
          </a:p>
          <a:p>
            <a:pPr>
              <a:defRPr/>
            </a:pPr>
            <a:r>
              <a:rPr lang="en-US" sz="1800" b="1" i="0" baseline="0">
                <a:effectLst/>
              </a:rPr>
              <a:t>Pelicans, Cormorants, &amp; Phalaropes</a:t>
            </a:r>
            <a:endParaRPr lang="en-US">
              <a:effectLst/>
            </a:endParaRPr>
          </a:p>
        </c:rich>
      </c:tx>
      <c:overlay val="0"/>
    </c:title>
    <c:autoTitleDeleted val="0"/>
    <c:plotArea>
      <c:layout/>
      <c:barChart>
        <c:barDir val="col"/>
        <c:grouping val="clustered"/>
        <c:varyColors val="0"/>
        <c:ser>
          <c:idx val="0"/>
          <c:order val="0"/>
          <c:tx>
            <c:strRef>
              <c:f>NFR.DFR.graphs!$C$1</c:f>
              <c:strCache>
                <c:ptCount val="1"/>
                <c:pt idx="0">
                  <c:v>Night</c:v>
                </c:pt>
              </c:strCache>
            </c:strRef>
          </c:tx>
          <c:spPr>
            <a:solidFill>
              <a:schemeClr val="tx2">
                <a:lumMod val="75000"/>
              </a:schemeClr>
            </a:solidFill>
          </c:spPr>
          <c:invertIfNegative val="0"/>
          <c:errBars>
            <c:errBarType val="both"/>
            <c:errValType val="cust"/>
            <c:noEndCap val="0"/>
            <c:plus>
              <c:numRef>
                <c:f>NFR.DFR.graphs!$E$36:$E$42</c:f>
                <c:numCache>
                  <c:formatCode>General</c:formatCode>
                  <c:ptCount val="7"/>
                  <c:pt idx="0">
                    <c:v>0.25</c:v>
                  </c:pt>
                  <c:pt idx="1">
                    <c:v>0.5</c:v>
                  </c:pt>
                  <c:pt idx="2">
                    <c:v>0.5</c:v>
                  </c:pt>
                  <c:pt idx="3">
                    <c:v>0.10000000000000009</c:v>
                  </c:pt>
                  <c:pt idx="4">
                    <c:v>0.5</c:v>
                  </c:pt>
                  <c:pt idx="5">
                    <c:v>1.5</c:v>
                  </c:pt>
                  <c:pt idx="6">
                    <c:v>1</c:v>
                  </c:pt>
                </c:numCache>
              </c:numRef>
            </c:plus>
            <c:minus>
              <c:numRef>
                <c:f>NFR.DFR.graphs!$D$36:$D$42</c:f>
                <c:numCache>
                  <c:formatCode>General</c:formatCode>
                  <c:ptCount val="7"/>
                  <c:pt idx="0">
                    <c:v>0</c:v>
                  </c:pt>
                  <c:pt idx="1">
                    <c:v>0</c:v>
                  </c:pt>
                  <c:pt idx="2">
                    <c:v>0</c:v>
                  </c:pt>
                  <c:pt idx="3">
                    <c:v>0</c:v>
                  </c:pt>
                  <c:pt idx="4">
                    <c:v>0</c:v>
                  </c:pt>
                  <c:pt idx="5">
                    <c:v>1.5</c:v>
                  </c:pt>
                  <c:pt idx="6">
                    <c:v>1</c:v>
                  </c:pt>
                </c:numCache>
              </c:numRef>
            </c:minus>
          </c:errBars>
          <c:cat>
            <c:strRef>
              <c:f>NFR.DFR.graphs!$B$36:$B$42</c:f>
              <c:strCache>
                <c:ptCount val="7"/>
                <c:pt idx="0">
                  <c:v>Brown_Pelican</c:v>
                </c:pt>
                <c:pt idx="1">
                  <c:v>AmericanWhitePelican</c:v>
                </c:pt>
                <c:pt idx="2">
                  <c:v>Brandt's_Cormorant</c:v>
                </c:pt>
                <c:pt idx="3">
                  <c:v>DCCO</c:v>
                </c:pt>
                <c:pt idx="4">
                  <c:v>Pelagic_Cormorant</c:v>
                </c:pt>
                <c:pt idx="5">
                  <c:v>Red_Phalarope</c:v>
                </c:pt>
                <c:pt idx="6">
                  <c:v>Red-necked_Phalarope</c:v>
                </c:pt>
              </c:strCache>
            </c:strRef>
          </c:cat>
          <c:val>
            <c:numRef>
              <c:f>NFR.DFR.graphs!$C$36:$C$42</c:f>
              <c:numCache>
                <c:formatCode>General</c:formatCode>
                <c:ptCount val="7"/>
                <c:pt idx="0">
                  <c:v>1</c:v>
                </c:pt>
                <c:pt idx="1">
                  <c:v>1</c:v>
                </c:pt>
                <c:pt idx="2">
                  <c:v>1</c:v>
                </c:pt>
                <c:pt idx="3">
                  <c:v>1</c:v>
                </c:pt>
                <c:pt idx="4">
                  <c:v>1</c:v>
                </c:pt>
                <c:pt idx="5">
                  <c:v>3</c:v>
                </c:pt>
                <c:pt idx="6">
                  <c:v>2</c:v>
                </c:pt>
              </c:numCache>
            </c:numRef>
          </c:val>
        </c:ser>
        <c:ser>
          <c:idx val="1"/>
          <c:order val="1"/>
          <c:tx>
            <c:strRef>
              <c:f>NFR.DFR.graphs!$F$1</c:f>
              <c:strCache>
                <c:ptCount val="1"/>
                <c:pt idx="0">
                  <c:v>Day</c:v>
                </c:pt>
              </c:strCache>
            </c:strRef>
          </c:tx>
          <c:spPr>
            <a:solidFill>
              <a:srgbClr val="FFFF00"/>
            </a:solidFill>
          </c:spPr>
          <c:invertIfNegative val="0"/>
          <c:dPt>
            <c:idx val="2"/>
            <c:invertIfNegative val="0"/>
            <c:bubble3D val="0"/>
            <c:spPr>
              <a:solidFill>
                <a:srgbClr val="FFC000"/>
              </a:solidFill>
            </c:spPr>
          </c:dPt>
          <c:dPt>
            <c:idx val="3"/>
            <c:invertIfNegative val="0"/>
            <c:bubble3D val="0"/>
            <c:spPr>
              <a:solidFill>
                <a:srgbClr val="FFC000"/>
              </a:solidFill>
            </c:spPr>
          </c:dPt>
          <c:dPt>
            <c:idx val="4"/>
            <c:invertIfNegative val="0"/>
            <c:bubble3D val="0"/>
            <c:spPr>
              <a:solidFill>
                <a:srgbClr val="FFC000"/>
              </a:solidFill>
            </c:spPr>
          </c:dPt>
          <c:errBars>
            <c:errBarType val="both"/>
            <c:errValType val="cust"/>
            <c:noEndCap val="0"/>
            <c:plus>
              <c:numRef>
                <c:f>NFR.DFR.graphs!$H$36:$H$42</c:f>
                <c:numCache>
                  <c:formatCode>General</c:formatCode>
                  <c:ptCount val="7"/>
                  <c:pt idx="0">
                    <c:v>0.75</c:v>
                  </c:pt>
                  <c:pt idx="1">
                    <c:v>1.5</c:v>
                  </c:pt>
                  <c:pt idx="2">
                    <c:v>1.5</c:v>
                  </c:pt>
                  <c:pt idx="3">
                    <c:v>0</c:v>
                  </c:pt>
                  <c:pt idx="4">
                    <c:v>1.5</c:v>
                  </c:pt>
                  <c:pt idx="5">
                    <c:v>1.5</c:v>
                  </c:pt>
                  <c:pt idx="6">
                    <c:v>1.5</c:v>
                  </c:pt>
                </c:numCache>
              </c:numRef>
            </c:plus>
            <c:minus>
              <c:numRef>
                <c:f>NFR.DFR.graphs!$G$36:$G$42</c:f>
                <c:numCache>
                  <c:formatCode>General</c:formatCode>
                  <c:ptCount val="7"/>
                  <c:pt idx="0">
                    <c:v>0.75</c:v>
                  </c:pt>
                  <c:pt idx="1">
                    <c:v>1.5</c:v>
                  </c:pt>
                  <c:pt idx="2">
                    <c:v>1.5</c:v>
                  </c:pt>
                  <c:pt idx="3">
                    <c:v>0.5</c:v>
                  </c:pt>
                  <c:pt idx="4">
                    <c:v>1.5</c:v>
                  </c:pt>
                  <c:pt idx="5">
                    <c:v>1.5</c:v>
                  </c:pt>
                  <c:pt idx="6">
                    <c:v>1.5</c:v>
                  </c:pt>
                </c:numCache>
              </c:numRef>
            </c:minus>
          </c:errBars>
          <c:cat>
            <c:strRef>
              <c:f>NFR.DFR.graphs!$B$36:$B$42</c:f>
              <c:strCache>
                <c:ptCount val="7"/>
                <c:pt idx="0">
                  <c:v>Brown_Pelican</c:v>
                </c:pt>
                <c:pt idx="1">
                  <c:v>AmericanWhitePelican</c:v>
                </c:pt>
                <c:pt idx="2">
                  <c:v>Brandt's_Cormorant</c:v>
                </c:pt>
                <c:pt idx="3">
                  <c:v>DCCO</c:v>
                </c:pt>
                <c:pt idx="4">
                  <c:v>Pelagic_Cormorant</c:v>
                </c:pt>
                <c:pt idx="5">
                  <c:v>Red_Phalarope</c:v>
                </c:pt>
                <c:pt idx="6">
                  <c:v>Red-necked_Phalarope</c:v>
                </c:pt>
              </c:strCache>
            </c:strRef>
          </c:cat>
          <c:val>
            <c:numRef>
              <c:f>NFR.DFR.graphs!$F$36:$F$42</c:f>
              <c:numCache>
                <c:formatCode>General</c:formatCode>
                <c:ptCount val="7"/>
                <c:pt idx="0">
                  <c:v>3</c:v>
                </c:pt>
                <c:pt idx="1">
                  <c:v>3</c:v>
                </c:pt>
                <c:pt idx="2">
                  <c:v>3</c:v>
                </c:pt>
                <c:pt idx="3">
                  <c:v>5</c:v>
                </c:pt>
                <c:pt idx="4">
                  <c:v>3</c:v>
                </c:pt>
                <c:pt idx="5">
                  <c:v>3</c:v>
                </c:pt>
                <c:pt idx="6">
                  <c:v>3</c:v>
                </c:pt>
              </c:numCache>
            </c:numRef>
          </c:val>
        </c:ser>
        <c:dLbls>
          <c:showLegendKey val="0"/>
          <c:showVal val="0"/>
          <c:showCatName val="0"/>
          <c:showSerName val="0"/>
          <c:showPercent val="0"/>
          <c:showBubbleSize val="0"/>
        </c:dLbls>
        <c:gapWidth val="150"/>
        <c:axId val="247877632"/>
        <c:axId val="248317632"/>
      </c:barChart>
      <c:catAx>
        <c:axId val="247877632"/>
        <c:scaling>
          <c:orientation val="minMax"/>
        </c:scaling>
        <c:delete val="0"/>
        <c:axPos val="b"/>
        <c:majorTickMark val="out"/>
        <c:minorTickMark val="none"/>
        <c:tickLblPos val="nextTo"/>
        <c:crossAx val="248317632"/>
        <c:crosses val="autoZero"/>
        <c:auto val="1"/>
        <c:lblAlgn val="ctr"/>
        <c:lblOffset val="100"/>
        <c:noMultiLvlLbl val="0"/>
      </c:catAx>
      <c:valAx>
        <c:axId val="248317632"/>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7877632"/>
        <c:crosses val="autoZero"/>
        <c:crossBetween val="between"/>
      </c:valAx>
    </c:plotArea>
    <c:legend>
      <c:legendPos val="r"/>
      <c:layout>
        <c:manualLayout>
          <c:xMode val="edge"/>
          <c:yMode val="edge"/>
          <c:x val="0.87111932551839377"/>
          <c:y val="0.33537493967669352"/>
          <c:w val="0.11601910693639179"/>
          <c:h val="0.17612170471531957"/>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Proportion of Time in Flight</a:t>
            </a:r>
            <a:r>
              <a:rPr lang="en-US" sz="1800" b="0" i="0" baseline="0">
                <a:effectLst/>
              </a:rPr>
              <a:t>: </a:t>
            </a:r>
            <a:r>
              <a:rPr lang="en-US" sz="1800" b="1" i="0" baseline="0">
                <a:effectLst/>
              </a:rPr>
              <a:t>Gulls, Terns, Jaegers, &amp; Skuas</a:t>
            </a:r>
            <a:endParaRPr lang="en-US">
              <a:effectLst/>
            </a:endParaRPr>
          </a:p>
          <a:p>
            <a:pPr>
              <a:defRPr/>
            </a:pPr>
            <a:endParaRPr lang="en-US"/>
          </a:p>
        </c:rich>
      </c:tx>
      <c:layout>
        <c:manualLayout>
          <c:xMode val="edge"/>
          <c:yMode val="edge"/>
          <c:x val="0.17483137087885675"/>
          <c:y val="3.6850911552272769E-2"/>
        </c:manualLayout>
      </c:layout>
      <c:overlay val="0"/>
    </c:title>
    <c:autoTitleDeleted val="0"/>
    <c:plotArea>
      <c:layout/>
      <c:barChart>
        <c:barDir val="col"/>
        <c:grouping val="clustered"/>
        <c:varyColors val="0"/>
        <c:ser>
          <c:idx val="0"/>
          <c:order val="0"/>
          <c:tx>
            <c:strRef>
              <c:f>NFR.DFR.graphs!$C$1</c:f>
              <c:strCache>
                <c:ptCount val="1"/>
                <c:pt idx="0">
                  <c:v>Night</c:v>
                </c:pt>
              </c:strCache>
            </c:strRef>
          </c:tx>
          <c:spPr>
            <a:solidFill>
              <a:schemeClr val="tx2">
                <a:lumMod val="75000"/>
              </a:schemeClr>
            </a:solidFill>
          </c:spPr>
          <c:invertIfNegative val="0"/>
          <c:errBars>
            <c:errBarType val="both"/>
            <c:errValType val="cust"/>
            <c:noEndCap val="0"/>
            <c:plus>
              <c:numRef>
                <c:f>NFR.DFR.graphs!$E$43:$E$66</c:f>
                <c:numCache>
                  <c:formatCode>General</c:formatCode>
                  <c:ptCount val="24"/>
                  <c:pt idx="0">
                    <c:v>0.75</c:v>
                  </c:pt>
                  <c:pt idx="1">
                    <c:v>1</c:v>
                  </c:pt>
                  <c:pt idx="2">
                    <c:v>1</c:v>
                  </c:pt>
                  <c:pt idx="3">
                    <c:v>1</c:v>
                  </c:pt>
                  <c:pt idx="4">
                    <c:v>1</c:v>
                  </c:pt>
                  <c:pt idx="5">
                    <c:v>1</c:v>
                  </c:pt>
                  <c:pt idx="6">
                    <c:v>1.5</c:v>
                  </c:pt>
                  <c:pt idx="7">
                    <c:v>0.75</c:v>
                  </c:pt>
                  <c:pt idx="8">
                    <c:v>1</c:v>
                  </c:pt>
                  <c:pt idx="9">
                    <c:v>1.5</c:v>
                  </c:pt>
                  <c:pt idx="10">
                    <c:v>1.5</c:v>
                  </c:pt>
                  <c:pt idx="11">
                    <c:v>0</c:v>
                  </c:pt>
                  <c:pt idx="12">
                    <c:v>1</c:v>
                  </c:pt>
                  <c:pt idx="13">
                    <c:v>1.5</c:v>
                  </c:pt>
                  <c:pt idx="14">
                    <c:v>1</c:v>
                  </c:pt>
                  <c:pt idx="15">
                    <c:v>1</c:v>
                  </c:pt>
                  <c:pt idx="16">
                    <c:v>0</c:v>
                  </c:pt>
                  <c:pt idx="17">
                    <c:v>0.5</c:v>
                  </c:pt>
                  <c:pt idx="18">
                    <c:v>0</c:v>
                  </c:pt>
                  <c:pt idx="19">
                    <c:v>1.5</c:v>
                  </c:pt>
                  <c:pt idx="20">
                    <c:v>0.25</c:v>
                  </c:pt>
                  <c:pt idx="21">
                    <c:v>0.5</c:v>
                  </c:pt>
                  <c:pt idx="22">
                    <c:v>0.25</c:v>
                  </c:pt>
                  <c:pt idx="23">
                    <c:v>0.5</c:v>
                  </c:pt>
                </c:numCache>
              </c:numRef>
            </c:plus>
            <c:minus>
              <c:numRef>
                <c:f>NFR.DFR.graphs!$D$43:$D$66</c:f>
                <c:numCache>
                  <c:formatCode>General</c:formatCode>
                  <c:ptCount val="24"/>
                  <c:pt idx="0">
                    <c:v>0.75</c:v>
                  </c:pt>
                  <c:pt idx="1">
                    <c:v>1</c:v>
                  </c:pt>
                  <c:pt idx="2">
                    <c:v>1</c:v>
                  </c:pt>
                  <c:pt idx="3">
                    <c:v>1</c:v>
                  </c:pt>
                  <c:pt idx="4">
                    <c:v>1</c:v>
                  </c:pt>
                  <c:pt idx="5">
                    <c:v>1</c:v>
                  </c:pt>
                  <c:pt idx="6">
                    <c:v>1.5</c:v>
                  </c:pt>
                  <c:pt idx="7">
                    <c:v>0.75</c:v>
                  </c:pt>
                  <c:pt idx="8">
                    <c:v>1</c:v>
                  </c:pt>
                  <c:pt idx="9">
                    <c:v>1.5</c:v>
                  </c:pt>
                  <c:pt idx="10">
                    <c:v>1.5</c:v>
                  </c:pt>
                  <c:pt idx="11">
                    <c:v>0.5</c:v>
                  </c:pt>
                  <c:pt idx="12">
                    <c:v>1</c:v>
                  </c:pt>
                  <c:pt idx="13">
                    <c:v>1.5</c:v>
                  </c:pt>
                  <c:pt idx="14">
                    <c:v>1</c:v>
                  </c:pt>
                  <c:pt idx="15">
                    <c:v>1</c:v>
                  </c:pt>
                  <c:pt idx="16">
                    <c:v>1.25</c:v>
                  </c:pt>
                  <c:pt idx="17">
                    <c:v>0</c:v>
                  </c:pt>
                  <c:pt idx="18">
                    <c:v>0.5</c:v>
                  </c:pt>
                  <c:pt idx="19">
                    <c:v>1.5</c:v>
                  </c:pt>
                  <c:pt idx="20">
                    <c:v>0</c:v>
                  </c:pt>
                  <c:pt idx="21">
                    <c:v>0</c:v>
                  </c:pt>
                  <c:pt idx="22">
                    <c:v>0</c:v>
                  </c:pt>
                  <c:pt idx="23">
                    <c:v>0</c:v>
                  </c:pt>
                </c:numCache>
              </c:numRef>
            </c:minus>
          </c:errBars>
          <c:cat>
            <c:strRef>
              <c:f>NFR.DFR.graphs!$B$43:$B$66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NFR.DFR.graphs!$C$43:$C$66</c:f>
              <c:numCache>
                <c:formatCode>General</c:formatCode>
                <c:ptCount val="24"/>
                <c:pt idx="0">
                  <c:v>3</c:v>
                </c:pt>
                <c:pt idx="1">
                  <c:v>2</c:v>
                </c:pt>
                <c:pt idx="2">
                  <c:v>2</c:v>
                </c:pt>
                <c:pt idx="3">
                  <c:v>2</c:v>
                </c:pt>
                <c:pt idx="4">
                  <c:v>2</c:v>
                </c:pt>
                <c:pt idx="5">
                  <c:v>2</c:v>
                </c:pt>
                <c:pt idx="6">
                  <c:v>3</c:v>
                </c:pt>
                <c:pt idx="7">
                  <c:v>3</c:v>
                </c:pt>
                <c:pt idx="8">
                  <c:v>2</c:v>
                </c:pt>
                <c:pt idx="9">
                  <c:v>3</c:v>
                </c:pt>
                <c:pt idx="10">
                  <c:v>3</c:v>
                </c:pt>
                <c:pt idx="11">
                  <c:v>5</c:v>
                </c:pt>
                <c:pt idx="12">
                  <c:v>2</c:v>
                </c:pt>
                <c:pt idx="13">
                  <c:v>3</c:v>
                </c:pt>
                <c:pt idx="14">
                  <c:v>2</c:v>
                </c:pt>
                <c:pt idx="15">
                  <c:v>4</c:v>
                </c:pt>
                <c:pt idx="16">
                  <c:v>5</c:v>
                </c:pt>
                <c:pt idx="17">
                  <c:v>1</c:v>
                </c:pt>
                <c:pt idx="18">
                  <c:v>5</c:v>
                </c:pt>
                <c:pt idx="19">
                  <c:v>3</c:v>
                </c:pt>
                <c:pt idx="20">
                  <c:v>1</c:v>
                </c:pt>
                <c:pt idx="21">
                  <c:v>1</c:v>
                </c:pt>
                <c:pt idx="22">
                  <c:v>1</c:v>
                </c:pt>
                <c:pt idx="23">
                  <c:v>1</c:v>
                </c:pt>
              </c:numCache>
            </c:numRef>
          </c:val>
        </c:ser>
        <c:ser>
          <c:idx val="1"/>
          <c:order val="1"/>
          <c:tx>
            <c:strRef>
              <c:f>NFR.DFR.graphs!$F$1</c:f>
              <c:strCache>
                <c:ptCount val="1"/>
                <c:pt idx="0">
                  <c:v>Day</c:v>
                </c:pt>
              </c:strCache>
            </c:strRef>
          </c:tx>
          <c:spPr>
            <a:solidFill>
              <a:srgbClr val="FFFF00"/>
            </a:solidFill>
          </c:spPr>
          <c:invertIfNegative val="0"/>
          <c:dPt>
            <c:idx val="11"/>
            <c:invertIfNegative val="0"/>
            <c:bubble3D val="0"/>
            <c:spPr>
              <a:solidFill>
                <a:srgbClr val="FFC000"/>
              </a:solidFill>
            </c:spPr>
          </c:dPt>
          <c:dPt>
            <c:idx val="12"/>
            <c:invertIfNegative val="0"/>
            <c:bubble3D val="0"/>
            <c:spPr>
              <a:solidFill>
                <a:srgbClr val="FFC000"/>
              </a:solidFill>
            </c:spPr>
          </c:dPt>
          <c:dPt>
            <c:idx val="13"/>
            <c:invertIfNegative val="0"/>
            <c:bubble3D val="0"/>
            <c:spPr>
              <a:solidFill>
                <a:srgbClr val="FFC000"/>
              </a:solidFill>
            </c:spPr>
          </c:dPt>
          <c:dPt>
            <c:idx val="14"/>
            <c:invertIfNegative val="0"/>
            <c:bubble3D val="0"/>
            <c:spPr>
              <a:solidFill>
                <a:srgbClr val="FFC000"/>
              </a:solidFill>
            </c:spPr>
          </c:dPt>
          <c:dPt>
            <c:idx val="15"/>
            <c:invertIfNegative val="0"/>
            <c:bubble3D val="0"/>
            <c:spPr>
              <a:solidFill>
                <a:srgbClr val="FFC000"/>
              </a:solidFill>
            </c:spPr>
          </c:dPt>
          <c:dPt>
            <c:idx val="16"/>
            <c:invertIfNegative val="0"/>
            <c:bubble3D val="0"/>
            <c:spPr>
              <a:solidFill>
                <a:srgbClr val="FFC000"/>
              </a:solidFill>
            </c:spPr>
          </c:dPt>
          <c:dPt>
            <c:idx val="17"/>
            <c:invertIfNegative val="0"/>
            <c:bubble3D val="0"/>
            <c:spPr>
              <a:solidFill>
                <a:srgbClr val="FFC000"/>
              </a:solidFill>
            </c:spPr>
          </c:dPt>
          <c:dPt>
            <c:idx val="18"/>
            <c:invertIfNegative val="0"/>
            <c:bubble3D val="0"/>
            <c:spPr>
              <a:solidFill>
                <a:srgbClr val="FFC000"/>
              </a:solidFill>
            </c:spPr>
          </c:dPt>
          <c:dPt>
            <c:idx val="19"/>
            <c:invertIfNegative val="0"/>
            <c:bubble3D val="0"/>
            <c:spPr>
              <a:solidFill>
                <a:srgbClr val="FFC000"/>
              </a:solidFill>
            </c:spPr>
          </c:dPt>
          <c:errBars>
            <c:errBarType val="both"/>
            <c:errValType val="cust"/>
            <c:noEndCap val="0"/>
            <c:plus>
              <c:numRef>
                <c:f>NFR.DFR.graphs!$H$43:$H$66</c:f>
                <c:numCache>
                  <c:formatCode>General</c:formatCode>
                  <c:ptCount val="24"/>
                  <c:pt idx="0">
                    <c:v>0.75</c:v>
                  </c:pt>
                  <c:pt idx="1">
                    <c:v>1.5</c:v>
                  </c:pt>
                  <c:pt idx="2">
                    <c:v>1.5</c:v>
                  </c:pt>
                  <c:pt idx="3">
                    <c:v>1.5</c:v>
                  </c:pt>
                  <c:pt idx="4">
                    <c:v>1.5</c:v>
                  </c:pt>
                  <c:pt idx="5">
                    <c:v>1.5</c:v>
                  </c:pt>
                  <c:pt idx="6">
                    <c:v>1.5</c:v>
                  </c:pt>
                  <c:pt idx="7">
                    <c:v>1</c:v>
                  </c:pt>
                  <c:pt idx="8">
                    <c:v>1.5</c:v>
                  </c:pt>
                  <c:pt idx="9">
                    <c:v>1.5</c:v>
                  </c:pt>
                  <c:pt idx="10">
                    <c:v>1.5</c:v>
                  </c:pt>
                  <c:pt idx="11">
                    <c:v>0</c:v>
                  </c:pt>
                  <c:pt idx="12">
                    <c:v>0</c:v>
                  </c:pt>
                  <c:pt idx="13">
                    <c:v>0</c:v>
                  </c:pt>
                  <c:pt idx="14">
                    <c:v>0</c:v>
                  </c:pt>
                  <c:pt idx="15">
                    <c:v>1</c:v>
                  </c:pt>
                  <c:pt idx="16">
                    <c:v>0</c:v>
                  </c:pt>
                  <c:pt idx="17">
                    <c:v>0</c:v>
                  </c:pt>
                  <c:pt idx="18">
                    <c:v>0</c:v>
                  </c:pt>
                  <c:pt idx="19">
                    <c:v>1.5</c:v>
                  </c:pt>
                  <c:pt idx="20">
                    <c:v>0</c:v>
                  </c:pt>
                  <c:pt idx="21">
                    <c:v>0</c:v>
                  </c:pt>
                  <c:pt idx="22">
                    <c:v>1.5</c:v>
                  </c:pt>
                  <c:pt idx="23">
                    <c:v>1</c:v>
                  </c:pt>
                </c:numCache>
              </c:numRef>
            </c:plus>
            <c:minus>
              <c:numRef>
                <c:f>NFR.DFR.graphs!$G$43:$G$66</c:f>
                <c:numCache>
                  <c:formatCode>General</c:formatCode>
                  <c:ptCount val="24"/>
                  <c:pt idx="0">
                    <c:v>0.75</c:v>
                  </c:pt>
                  <c:pt idx="1">
                    <c:v>1.5</c:v>
                  </c:pt>
                  <c:pt idx="2">
                    <c:v>1.5</c:v>
                  </c:pt>
                  <c:pt idx="3">
                    <c:v>1.5</c:v>
                  </c:pt>
                  <c:pt idx="4">
                    <c:v>1.5</c:v>
                  </c:pt>
                  <c:pt idx="5">
                    <c:v>1.5</c:v>
                  </c:pt>
                  <c:pt idx="6">
                    <c:v>1.5</c:v>
                  </c:pt>
                  <c:pt idx="7">
                    <c:v>1</c:v>
                  </c:pt>
                  <c:pt idx="8">
                    <c:v>1.5</c:v>
                  </c:pt>
                  <c:pt idx="9">
                    <c:v>1.5</c:v>
                  </c:pt>
                  <c:pt idx="10">
                    <c:v>1.5</c:v>
                  </c:pt>
                  <c:pt idx="11">
                    <c:v>0.5</c:v>
                  </c:pt>
                  <c:pt idx="12">
                    <c:v>1.25</c:v>
                  </c:pt>
                  <c:pt idx="13">
                    <c:v>1.25</c:v>
                  </c:pt>
                  <c:pt idx="14">
                    <c:v>2.5</c:v>
                  </c:pt>
                  <c:pt idx="15">
                    <c:v>1</c:v>
                  </c:pt>
                  <c:pt idx="16">
                    <c:v>1.25</c:v>
                  </c:pt>
                  <c:pt idx="17">
                    <c:v>2.5</c:v>
                  </c:pt>
                  <c:pt idx="18">
                    <c:v>0.5</c:v>
                  </c:pt>
                  <c:pt idx="19">
                    <c:v>1.5</c:v>
                  </c:pt>
                  <c:pt idx="20">
                    <c:v>1.25</c:v>
                  </c:pt>
                  <c:pt idx="21">
                    <c:v>2.5</c:v>
                  </c:pt>
                  <c:pt idx="22">
                    <c:v>1.5</c:v>
                  </c:pt>
                  <c:pt idx="23">
                    <c:v>2</c:v>
                  </c:pt>
                </c:numCache>
              </c:numRef>
            </c:minus>
          </c:errBars>
          <c:cat>
            <c:strRef>
              <c:f>NFR.DFR.graphs!$B$43:$B$66</c:f>
              <c:strCache>
                <c:ptCount val="24"/>
                <c:pt idx="0">
                  <c:v>Black-legged_Kittiwake</c:v>
                </c:pt>
                <c:pt idx="1">
                  <c:v>Bonaparte's_Gull</c:v>
                </c:pt>
                <c:pt idx="2">
                  <c:v>Sabine's_Gull</c:v>
                </c:pt>
                <c:pt idx="3">
                  <c:v>California_Gull</c:v>
                </c:pt>
                <c:pt idx="4">
                  <c:v>Heermann's_Gull</c:v>
                </c:pt>
                <c:pt idx="5">
                  <c:v>Mew_Gull</c:v>
                </c:pt>
                <c:pt idx="6">
                  <c:v>Ring-billed_Gull</c:v>
                </c:pt>
                <c:pt idx="7">
                  <c:v>Herring_Gull</c:v>
                </c:pt>
                <c:pt idx="8">
                  <c:v>Thayer's_Gull</c:v>
                </c:pt>
                <c:pt idx="9">
                  <c:v>Glaucous-winged_Gull</c:v>
                </c:pt>
                <c:pt idx="10">
                  <c:v>Western_Gull</c:v>
                </c:pt>
                <c:pt idx="11">
                  <c:v>Caspian_Tern</c:v>
                </c:pt>
                <c:pt idx="12">
                  <c:v>Arctic_Tern</c:v>
                </c:pt>
                <c:pt idx="13">
                  <c:v>Common_Tern</c:v>
                </c:pt>
                <c:pt idx="14">
                  <c:v>Elegant_Tern</c:v>
                </c:pt>
                <c:pt idx="15">
                  <c:v>Royal_Tern</c:v>
                </c:pt>
                <c:pt idx="16">
                  <c:v>Forster's_Tern</c:v>
                </c:pt>
                <c:pt idx="17">
                  <c:v>Least_Tern</c:v>
                </c:pt>
                <c:pt idx="18">
                  <c:v>Gull-billed_Tern</c:v>
                </c:pt>
                <c:pt idx="19">
                  <c:v>Black_Skimmer</c:v>
                </c:pt>
                <c:pt idx="20">
                  <c:v>Long-tailed_Jaeger</c:v>
                </c:pt>
                <c:pt idx="21">
                  <c:v>Parasitic_Jaeger</c:v>
                </c:pt>
                <c:pt idx="22">
                  <c:v>Pomarine_Jaeger</c:v>
                </c:pt>
                <c:pt idx="23">
                  <c:v>South_Polar_Skua</c:v>
                </c:pt>
              </c:strCache>
            </c:strRef>
          </c:cat>
          <c:val>
            <c:numRef>
              <c:f>NFR.DFR.graphs!$F$43:$F$66</c:f>
              <c:numCache>
                <c:formatCode>General</c:formatCode>
                <c:ptCount val="24"/>
                <c:pt idx="0">
                  <c:v>3</c:v>
                </c:pt>
                <c:pt idx="1">
                  <c:v>3</c:v>
                </c:pt>
                <c:pt idx="2">
                  <c:v>3</c:v>
                </c:pt>
                <c:pt idx="3">
                  <c:v>3</c:v>
                </c:pt>
                <c:pt idx="4">
                  <c:v>3</c:v>
                </c:pt>
                <c:pt idx="5">
                  <c:v>3</c:v>
                </c:pt>
                <c:pt idx="6">
                  <c:v>3</c:v>
                </c:pt>
                <c:pt idx="7">
                  <c:v>2</c:v>
                </c:pt>
                <c:pt idx="8">
                  <c:v>3</c:v>
                </c:pt>
                <c:pt idx="9">
                  <c:v>3</c:v>
                </c:pt>
                <c:pt idx="10">
                  <c:v>3</c:v>
                </c:pt>
                <c:pt idx="11">
                  <c:v>5</c:v>
                </c:pt>
                <c:pt idx="12">
                  <c:v>5</c:v>
                </c:pt>
                <c:pt idx="13">
                  <c:v>5</c:v>
                </c:pt>
                <c:pt idx="14">
                  <c:v>5</c:v>
                </c:pt>
                <c:pt idx="15">
                  <c:v>4</c:v>
                </c:pt>
                <c:pt idx="16">
                  <c:v>5</c:v>
                </c:pt>
                <c:pt idx="17">
                  <c:v>5</c:v>
                </c:pt>
                <c:pt idx="18">
                  <c:v>5</c:v>
                </c:pt>
                <c:pt idx="19">
                  <c:v>3</c:v>
                </c:pt>
                <c:pt idx="20">
                  <c:v>5</c:v>
                </c:pt>
                <c:pt idx="21">
                  <c:v>5</c:v>
                </c:pt>
                <c:pt idx="22">
                  <c:v>3</c:v>
                </c:pt>
                <c:pt idx="23">
                  <c:v>4</c:v>
                </c:pt>
              </c:numCache>
            </c:numRef>
          </c:val>
        </c:ser>
        <c:dLbls>
          <c:showLegendKey val="0"/>
          <c:showVal val="0"/>
          <c:showCatName val="0"/>
          <c:showSerName val="0"/>
          <c:showPercent val="0"/>
          <c:showBubbleSize val="0"/>
        </c:dLbls>
        <c:gapWidth val="150"/>
        <c:axId val="247881216"/>
        <c:axId val="248322816"/>
      </c:barChart>
      <c:catAx>
        <c:axId val="247881216"/>
        <c:scaling>
          <c:orientation val="minMax"/>
        </c:scaling>
        <c:delete val="0"/>
        <c:axPos val="b"/>
        <c:majorTickMark val="out"/>
        <c:minorTickMark val="none"/>
        <c:tickLblPos val="nextTo"/>
        <c:crossAx val="248322816"/>
        <c:crosses val="autoZero"/>
        <c:auto val="1"/>
        <c:lblAlgn val="ctr"/>
        <c:lblOffset val="100"/>
        <c:noMultiLvlLbl val="0"/>
      </c:catAx>
      <c:valAx>
        <c:axId val="248322816"/>
        <c:scaling>
          <c:orientation val="minMax"/>
          <c:max val="5"/>
        </c:scaling>
        <c:delete val="0"/>
        <c:axPos val="l"/>
        <c:title>
          <c:tx>
            <c:rich>
              <a:bodyPr rot="0" vert="horz"/>
              <a:lstStyle/>
              <a:p>
                <a:pPr>
                  <a:defRPr/>
                </a:pPr>
                <a:r>
                  <a:rPr lang="en-US"/>
                  <a:t>High</a:t>
                </a:r>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endParaRPr lang="en-US"/>
              </a:p>
              <a:p>
                <a:pPr>
                  <a:defRPr/>
                </a:pPr>
                <a:r>
                  <a:rPr lang="en-US"/>
                  <a:t>Low</a:t>
                </a:r>
              </a:p>
            </c:rich>
          </c:tx>
          <c:overlay val="0"/>
        </c:title>
        <c:numFmt formatCode="General" sourceLinked="1"/>
        <c:majorTickMark val="out"/>
        <c:minorTickMark val="none"/>
        <c:tickLblPos val="nextTo"/>
        <c:crossAx val="247881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126" workbookViewId="0" zoomToFit="1"/>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126"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4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26"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18</xdr:col>
      <xdr:colOff>28575</xdr:colOff>
      <xdr:row>15</xdr:row>
      <xdr:rowOff>190500</xdr:rowOff>
    </xdr:from>
    <xdr:to>
      <xdr:col>29</xdr:col>
      <xdr:colOff>582084</xdr:colOff>
      <xdr:row>32</xdr:row>
      <xdr:rowOff>21167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10581</xdr:colOff>
      <xdr:row>33</xdr:row>
      <xdr:rowOff>9524</xdr:rowOff>
    </xdr:from>
    <xdr:to>
      <xdr:col>33</xdr:col>
      <xdr:colOff>423333</xdr:colOff>
      <xdr:row>50</xdr:row>
      <xdr:rowOff>52917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21167</xdr:colOff>
      <xdr:row>50</xdr:row>
      <xdr:rowOff>178859</xdr:rowOff>
    </xdr:from>
    <xdr:to>
      <xdr:col>27</xdr:col>
      <xdr:colOff>42334</xdr:colOff>
      <xdr:row>64</xdr:row>
      <xdr:rowOff>169334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31748</xdr:colOff>
      <xdr:row>65</xdr:row>
      <xdr:rowOff>136523</xdr:rowOff>
    </xdr:from>
    <xdr:to>
      <xdr:col>33</xdr:col>
      <xdr:colOff>656167</xdr:colOff>
      <xdr:row>84</xdr:row>
      <xdr:rowOff>31750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666750</xdr:colOff>
      <xdr:row>84</xdr:row>
      <xdr:rowOff>200023</xdr:rowOff>
    </xdr:from>
    <xdr:to>
      <xdr:col>30</xdr:col>
      <xdr:colOff>592667</xdr:colOff>
      <xdr:row>101</xdr:row>
      <xdr:rowOff>148167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8670774"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11</xdr:col>
      <xdr:colOff>390523</xdr:colOff>
      <xdr:row>0</xdr:row>
      <xdr:rowOff>352426</xdr:rowOff>
    </xdr:from>
    <xdr:to>
      <xdr:col>22</xdr:col>
      <xdr:colOff>66674</xdr:colOff>
      <xdr:row>21</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647701</xdr:colOff>
      <xdr:row>21</xdr:row>
      <xdr:rowOff>161924</xdr:rowOff>
    </xdr:from>
    <xdr:to>
      <xdr:col>28</xdr:col>
      <xdr:colOff>257175</xdr:colOff>
      <xdr:row>40</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41</xdr:row>
      <xdr:rowOff>28573</xdr:rowOff>
    </xdr:from>
    <xdr:to>
      <xdr:col>19</xdr:col>
      <xdr:colOff>495300</xdr:colOff>
      <xdr:row>58</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638174</xdr:colOff>
      <xdr:row>60</xdr:row>
      <xdr:rowOff>114299</xdr:rowOff>
    </xdr:from>
    <xdr:to>
      <xdr:col>30</xdr:col>
      <xdr:colOff>381000</xdr:colOff>
      <xdr:row>79</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323849</xdr:colOff>
      <xdr:row>83</xdr:row>
      <xdr:rowOff>19050</xdr:rowOff>
    </xdr:from>
    <xdr:to>
      <xdr:col>23</xdr:col>
      <xdr:colOff>323850</xdr:colOff>
      <xdr:row>104</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466724</xdr:colOff>
      <xdr:row>0</xdr:row>
      <xdr:rowOff>276224</xdr:rowOff>
    </xdr:from>
    <xdr:to>
      <xdr:col>17</xdr:col>
      <xdr:colOff>647699</xdr:colOff>
      <xdr:row>16</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16</xdr:row>
      <xdr:rowOff>152400</xdr:rowOff>
    </xdr:from>
    <xdr:to>
      <xdr:col>20</xdr:col>
      <xdr:colOff>19050</xdr:colOff>
      <xdr:row>32</xdr:row>
      <xdr:rowOff>123826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557212</xdr:colOff>
      <xdr:row>33</xdr:row>
      <xdr:rowOff>157162</xdr:rowOff>
    </xdr:from>
    <xdr:to>
      <xdr:col>14</xdr:col>
      <xdr:colOff>523875</xdr:colOff>
      <xdr:row>49</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519112</xdr:colOff>
      <xdr:row>50</xdr:row>
      <xdr:rowOff>90487</xdr:rowOff>
    </xdr:from>
    <xdr:to>
      <xdr:col>21</xdr:col>
      <xdr:colOff>361950</xdr:colOff>
      <xdr:row>66</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557212</xdr:colOff>
      <xdr:row>67</xdr:row>
      <xdr:rowOff>0</xdr:rowOff>
    </xdr:from>
    <xdr:to>
      <xdr:col>16</xdr:col>
      <xdr:colOff>466725</xdr:colOff>
      <xdr:row>84</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28574</xdr:colOff>
      <xdr:row>1</xdr:row>
      <xdr:rowOff>76199</xdr:rowOff>
    </xdr:from>
    <xdr:to>
      <xdr:col>23</xdr:col>
      <xdr:colOff>380999</xdr:colOff>
      <xdr:row>20</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52387</xdr:colOff>
      <xdr:row>20</xdr:row>
      <xdr:rowOff>109537</xdr:rowOff>
    </xdr:from>
    <xdr:to>
      <xdr:col>23</xdr:col>
      <xdr:colOff>390525</xdr:colOff>
      <xdr:row>37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61912</xdr:colOff>
      <xdr:row>37</xdr:row>
      <xdr:rowOff>80961</xdr:rowOff>
    </xdr:from>
    <xdr:to>
      <xdr:col>20</xdr:col>
      <xdr:colOff>519112</xdr:colOff>
      <xdr:row>52</xdr:row>
      <xdr:rowOff>114299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71437</xdr:colOff>
      <xdr:row>52</xdr:row>
      <xdr:rowOff>157161</xdr:rowOff>
    </xdr:from>
    <xdr:to>
      <xdr:col>24</xdr:col>
      <xdr:colOff>200025</xdr:colOff>
      <xdr:row>68</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80962</xdr:colOff>
      <xdr:row>67</xdr:row>
      <xdr:rowOff>195261</xdr:rowOff>
    </xdr:from>
    <xdr:to>
      <xdr:col>21</xdr:col>
      <xdr:colOff>552450</xdr:colOff>
      <xdr:row>87</xdr:row>
      <xdr:rowOff>19049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757237</xdr:colOff>
      <xdr:row>87</xdr:row>
      <xdr:rowOff>138111</xdr:rowOff>
    </xdr:from>
    <xdr:to>
      <xdr:col>23</xdr:col>
      <xdr:colOff>619125</xdr:colOff>
      <xdr:row>111</xdr:row>
      <xdr:rowOff>9524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242886</xdr:colOff>
      <xdr:row>1</xdr:row>
      <xdr:rowOff>123825</xdr:rowOff>
    </xdr:from>
    <xdr:to>
      <xdr:col>33</xdr:col>
      <xdr:colOff>457199</xdr:colOff>
      <xdr:row>49</xdr:row>
      <xdr:rowOff>123825</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590549</xdr:colOff>
      <xdr:row>0</xdr:row>
      <xdr:rowOff>285749</xdr:rowOff>
    </xdr:from>
    <xdr:to>
      <xdr:col>19</xdr:col>
      <xdr:colOff>485774</xdr:colOff>
      <xdr:row>16</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17</xdr:row>
      <xdr:rowOff>66674</xdr:rowOff>
    </xdr:from>
    <xdr:to>
      <xdr:col>23</xdr:col>
      <xdr:colOff>257175</xdr:colOff>
      <xdr:row>34</xdr:row>
      <xdr:rowOff>200024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657227</xdr:colOff>
      <xdr:row>36</xdr:row>
      <xdr:rowOff>85724</xdr:rowOff>
    </xdr:from>
    <xdr:to>
      <xdr:col>14</xdr:col>
      <xdr:colOff>523875</xdr:colOff>
      <xdr:row>51</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657224</xdr:colOff>
      <xdr:row>52</xdr:row>
      <xdr:rowOff>161924</xdr:rowOff>
    </xdr:from>
    <xdr:to>
      <xdr:col>22</xdr:col>
      <xdr:colOff>533399</xdr:colOff>
      <xdr:row>73</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76200</xdr:colOff>
      <xdr:row>74</xdr:row>
      <xdr:rowOff>42862</xdr:rowOff>
    </xdr:from>
    <xdr:to>
      <xdr:col>15</xdr:col>
      <xdr:colOff>533400</xdr:colOff>
      <xdr:row>87</xdr:row>
      <xdr:rowOff>185737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0" y="0"/>
    <xdr:ext cx="8668956" cy="62937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0774"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7750" cy="6293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3294"/>
  <sheetViews>
    <sheetView tabSelected="1" zoomScale="80" zoomScaleNormal="80" workbookViewId="0">
      <pane xSplit="5" ySplit="1" topLeftCell="AW8" activePane="bottomRight" state="frozen"/>
      <selection pane="topRight" activeCell="E1" sqref="E1"/>
      <selection pane="bottomLeft" activeCell="A5" sqref="A5"/>
      <selection pane="bottomRight" activeCell="C30" sqref="C30"/>
    </sheetView>
  </sheetViews>
  <sheetFormatPr defaultColWidth="11" defaultRowHeight="15.75" x14ac:dyDescent="0.25"/>
  <cols>
    <col min="1" max="1" width="9.625" style="4" customWidth="1"/>
    <col min="2" max="2" width="14.125" style="4" customWidth="1"/>
    <col min="3" max="3" width="23.625" style="4" customWidth="1"/>
    <col min="4" max="4" width="10.375" style="89" customWidth="1"/>
    <col min="5" max="5" width="27.875" style="4" customWidth="1"/>
    <col min="6" max="6" width="26.125" style="11" customWidth="1"/>
    <col min="7" max="7" width="17.5" style="11" customWidth="1"/>
    <col min="8" max="8" width="8.625" style="11" customWidth="1"/>
    <col min="9" max="9" width="13.625" style="68" customWidth="1"/>
    <col min="10" max="10" width="13.625" style="11" customWidth="1"/>
    <col min="11" max="11" width="9.125" style="11" customWidth="1"/>
    <col min="12" max="12" width="9.375" style="11" customWidth="1"/>
    <col min="13" max="13" width="37.875" style="11" customWidth="1"/>
    <col min="14" max="14" width="14.625" customWidth="1"/>
    <col min="15" max="15" width="14.625" style="78" customWidth="1"/>
    <col min="16" max="16" width="14.5" customWidth="1"/>
    <col min="17" max="17" width="14.125" customWidth="1"/>
    <col min="18" max="18" width="16" customWidth="1"/>
    <col min="19" max="19" width="11.625" customWidth="1"/>
    <col min="20" max="20" width="11.875" customWidth="1"/>
    <col min="21" max="21" width="11.375" customWidth="1"/>
    <col min="22" max="23" width="11.125" customWidth="1"/>
    <col min="24" max="24" width="11.875" customWidth="1"/>
    <col min="25" max="25" width="12" customWidth="1"/>
    <col min="26" max="26" width="51.5" customWidth="1"/>
    <col min="27" max="27" width="7.875" style="71" customWidth="1"/>
    <col min="28" max="28" width="11.125" style="71" customWidth="1"/>
    <col min="29" max="29" width="12.375" style="71" customWidth="1"/>
    <col min="30" max="30" width="8.375" style="101" customWidth="1"/>
    <col min="31" max="31" width="12.25" style="71" customWidth="1"/>
    <col min="32" max="32" width="10" style="71" customWidth="1"/>
    <col min="33" max="33" width="9.625" style="71" customWidth="1"/>
    <col min="34" max="34" width="8.625" style="71" customWidth="1"/>
    <col min="35" max="35" width="10.375" style="71" customWidth="1"/>
    <col min="36" max="36" width="6.25" style="71" customWidth="1"/>
    <col min="37" max="37" width="12.125" style="71" customWidth="1"/>
    <col min="38" max="38" width="7.375" style="100" customWidth="1"/>
    <col min="39" max="39" width="38" style="100" customWidth="1"/>
    <col min="40" max="40" width="11.625" customWidth="1"/>
    <col min="41" max="41" width="7.375" customWidth="1"/>
    <col min="42" max="42" width="12" customWidth="1"/>
    <col min="43" max="43" width="11.625" customWidth="1"/>
    <col min="44" max="44" width="7.875" customWidth="1"/>
    <col min="45" max="45" width="8" customWidth="1"/>
    <col min="46" max="46" width="10.5" hidden="1" customWidth="1"/>
    <col min="47" max="47" width="11.125" style="79" hidden="1" customWidth="1"/>
    <col min="48" max="48" width="11.125" style="77" hidden="1" customWidth="1"/>
    <col min="49" max="49" width="50.875" customWidth="1"/>
    <col min="50" max="50" width="12" style="103" customWidth="1"/>
    <col min="51" max="51" width="12.25" style="103" customWidth="1"/>
    <col min="52" max="52" width="12" style="103" customWidth="1"/>
    <col min="53" max="53" width="12.125" customWidth="1"/>
    <col min="54" max="54" width="12.25" customWidth="1"/>
  </cols>
  <sheetData>
    <row r="1" spans="1:60" s="2" customFormat="1" ht="79.5" thickBot="1" x14ac:dyDescent="0.3">
      <c r="A1" s="123" t="s">
        <v>149</v>
      </c>
      <c r="B1" s="149" t="s">
        <v>146</v>
      </c>
      <c r="C1" s="149" t="s">
        <v>147</v>
      </c>
      <c r="D1" s="149" t="s">
        <v>431</v>
      </c>
      <c r="E1" s="149" t="s">
        <v>0</v>
      </c>
      <c r="F1" s="150" t="s">
        <v>259</v>
      </c>
      <c r="G1" s="150" t="s">
        <v>270</v>
      </c>
      <c r="H1" s="124" t="s">
        <v>220</v>
      </c>
      <c r="I1" s="125" t="s">
        <v>222</v>
      </c>
      <c r="J1" s="125" t="s">
        <v>221</v>
      </c>
      <c r="K1" s="125" t="s">
        <v>223</v>
      </c>
      <c r="L1" s="125" t="s">
        <v>230</v>
      </c>
      <c r="M1" s="125" t="s">
        <v>150</v>
      </c>
      <c r="N1" s="126" t="s">
        <v>377</v>
      </c>
      <c r="O1" s="126" t="s">
        <v>378</v>
      </c>
      <c r="P1" s="151" t="s">
        <v>5</v>
      </c>
      <c r="Q1" s="151" t="s">
        <v>6</v>
      </c>
      <c r="R1" s="151" t="s">
        <v>7</v>
      </c>
      <c r="S1" s="126" t="s">
        <v>379</v>
      </c>
      <c r="T1" s="126" t="s">
        <v>380</v>
      </c>
      <c r="U1" s="126" t="s">
        <v>231</v>
      </c>
      <c r="V1" s="126" t="s">
        <v>232</v>
      </c>
      <c r="W1" s="126" t="s">
        <v>233</v>
      </c>
      <c r="X1" s="126" t="s">
        <v>234</v>
      </c>
      <c r="Y1" s="126" t="s">
        <v>235</v>
      </c>
      <c r="Z1" s="126" t="s">
        <v>553</v>
      </c>
      <c r="AA1" s="127" t="s">
        <v>1136</v>
      </c>
      <c r="AB1" s="128" t="s">
        <v>601</v>
      </c>
      <c r="AC1" s="128" t="s">
        <v>342</v>
      </c>
      <c r="AD1" s="129" t="s">
        <v>600</v>
      </c>
      <c r="AE1" s="128" t="s">
        <v>602</v>
      </c>
      <c r="AF1" s="128" t="s">
        <v>345</v>
      </c>
      <c r="AG1" s="128" t="s">
        <v>343</v>
      </c>
      <c r="AH1" s="128" t="s">
        <v>599</v>
      </c>
      <c r="AI1" s="128" t="s">
        <v>346</v>
      </c>
      <c r="AJ1" s="128" t="s">
        <v>347</v>
      </c>
      <c r="AK1" s="128" t="s">
        <v>344</v>
      </c>
      <c r="AL1" s="130" t="s">
        <v>1167</v>
      </c>
      <c r="AM1" s="130" t="s">
        <v>1137</v>
      </c>
      <c r="AN1" s="131" t="s">
        <v>1138</v>
      </c>
      <c r="AO1" s="131" t="s">
        <v>1139</v>
      </c>
      <c r="AP1" s="131" t="s">
        <v>1140</v>
      </c>
      <c r="AQ1" s="131" t="s">
        <v>1141</v>
      </c>
      <c r="AR1" s="131" t="s">
        <v>1142</v>
      </c>
      <c r="AS1" s="131" t="s">
        <v>1143</v>
      </c>
      <c r="AT1" s="131" t="s">
        <v>561</v>
      </c>
      <c r="AU1" s="132" t="s">
        <v>373</v>
      </c>
      <c r="AV1" s="131" t="s">
        <v>396</v>
      </c>
      <c r="AW1" s="131" t="s">
        <v>1135</v>
      </c>
      <c r="AX1" s="133" t="s">
        <v>1144</v>
      </c>
      <c r="AY1" s="133" t="s">
        <v>1145</v>
      </c>
      <c r="AZ1" s="133" t="s">
        <v>1146</v>
      </c>
      <c r="BA1" s="134" t="s">
        <v>1147</v>
      </c>
      <c r="BB1" s="134" t="s">
        <v>1148</v>
      </c>
      <c r="BC1" s="104"/>
      <c r="BD1" s="104"/>
      <c r="BE1" s="104"/>
      <c r="BF1" s="104"/>
      <c r="BG1" s="104"/>
      <c r="BH1" s="104"/>
    </row>
    <row r="2" spans="1:60" s="2" customFormat="1" x14ac:dyDescent="0.25">
      <c r="A2" s="135"/>
      <c r="B2" s="58"/>
      <c r="C2" s="95" t="s">
        <v>255</v>
      </c>
      <c r="D2" s="95"/>
      <c r="E2" s="58"/>
      <c r="F2" s="171">
        <f t="shared" ref="F2:L2" si="0">MIN(F10:F79)</f>
        <v>10000</v>
      </c>
      <c r="G2" s="171">
        <f t="shared" si="0"/>
        <v>2350</v>
      </c>
      <c r="H2" s="171">
        <f t="shared" si="0"/>
        <v>1</v>
      </c>
      <c r="I2" s="171">
        <f t="shared" si="0"/>
        <v>10</v>
      </c>
      <c r="J2" s="171">
        <f t="shared" si="0"/>
        <v>0.1</v>
      </c>
      <c r="K2" s="171">
        <f t="shared" si="0"/>
        <v>0.5</v>
      </c>
      <c r="L2" s="171">
        <f t="shared" si="0"/>
        <v>1.1000000000000001</v>
      </c>
      <c r="M2" s="136"/>
      <c r="N2" s="152">
        <f t="shared" ref="N2:Y2" si="1">MIN(N10:N79)</f>
        <v>120</v>
      </c>
      <c r="O2" s="152">
        <f t="shared" si="1"/>
        <v>40</v>
      </c>
      <c r="P2" s="152">
        <f t="shared" si="1"/>
        <v>8.9999999999999993E-3</v>
      </c>
      <c r="Q2" s="152">
        <f t="shared" si="1"/>
        <v>2E-3</v>
      </c>
      <c r="R2" s="152">
        <f t="shared" si="1"/>
        <v>1E-4</v>
      </c>
      <c r="S2" s="152">
        <f t="shared" si="1"/>
        <v>0</v>
      </c>
      <c r="T2" s="152">
        <f t="shared" si="1"/>
        <v>0</v>
      </c>
      <c r="U2" s="152">
        <f t="shared" si="1"/>
        <v>1</v>
      </c>
      <c r="V2" s="152">
        <f t="shared" si="1"/>
        <v>10</v>
      </c>
      <c r="W2" s="152">
        <f t="shared" si="1"/>
        <v>0</v>
      </c>
      <c r="X2" s="152">
        <f t="shared" si="1"/>
        <v>0.5</v>
      </c>
      <c r="Y2" s="152">
        <f t="shared" si="1"/>
        <v>1</v>
      </c>
      <c r="Z2" s="137"/>
      <c r="AA2" s="164">
        <f t="shared" ref="AA2:AL2" si="2">MIN(AA10:AA79)</f>
        <v>1</v>
      </c>
      <c r="AB2" s="164">
        <f t="shared" si="2"/>
        <v>1</v>
      </c>
      <c r="AC2" s="164">
        <f t="shared" si="2"/>
        <v>1</v>
      </c>
      <c r="AD2" s="164">
        <f t="shared" si="2"/>
        <v>1.25</v>
      </c>
      <c r="AE2" s="164">
        <f t="shared" si="2"/>
        <v>1</v>
      </c>
      <c r="AF2" s="164">
        <f t="shared" si="2"/>
        <v>1</v>
      </c>
      <c r="AG2" s="164">
        <f t="shared" si="2"/>
        <v>1</v>
      </c>
      <c r="AH2" s="164">
        <f t="shared" si="2"/>
        <v>2</v>
      </c>
      <c r="AI2" s="164">
        <f t="shared" si="2"/>
        <v>4</v>
      </c>
      <c r="AJ2" s="164">
        <f t="shared" si="2"/>
        <v>4</v>
      </c>
      <c r="AK2" s="164">
        <f t="shared" si="2"/>
        <v>1</v>
      </c>
      <c r="AL2" s="164">
        <f t="shared" si="2"/>
        <v>1.25</v>
      </c>
      <c r="AM2" s="138"/>
      <c r="AN2" s="165">
        <f t="shared" ref="AN2:AV2" si="3">MIN(AN10:AN79)</f>
        <v>0.8</v>
      </c>
      <c r="AO2" s="165">
        <f t="shared" si="3"/>
        <v>1</v>
      </c>
      <c r="AP2" s="165">
        <f t="shared" si="3"/>
        <v>10</v>
      </c>
      <c r="AQ2" s="165">
        <f t="shared" si="3"/>
        <v>0.30000000000000004</v>
      </c>
      <c r="AR2" s="165">
        <f t="shared" si="3"/>
        <v>0.5</v>
      </c>
      <c r="AS2" s="165">
        <f t="shared" si="3"/>
        <v>1.5</v>
      </c>
      <c r="AT2" s="165">
        <f t="shared" si="3"/>
        <v>5</v>
      </c>
      <c r="AU2" s="165">
        <f t="shared" si="3"/>
        <v>1</v>
      </c>
      <c r="AV2" s="165">
        <f t="shared" si="3"/>
        <v>1</v>
      </c>
      <c r="AW2" s="139"/>
      <c r="AX2" s="166">
        <f>MIN(AX10:AX79)</f>
        <v>1</v>
      </c>
      <c r="AY2" s="166">
        <f>MIN(AY10:AY79)</f>
        <v>1.3125</v>
      </c>
      <c r="AZ2" s="166">
        <f>MIN(AZ10:AZ79)</f>
        <v>1.5874999999999999</v>
      </c>
      <c r="BA2" s="167">
        <f>MIN(BA10:BA79)</f>
        <v>1</v>
      </c>
      <c r="BB2" s="167">
        <f>MIN(BB10:BB79)</f>
        <v>1.5874999999999999</v>
      </c>
      <c r="BC2" s="105"/>
      <c r="BD2" s="104"/>
      <c r="BE2" s="104"/>
      <c r="BF2" s="104"/>
      <c r="BG2" s="104"/>
      <c r="BH2" s="104"/>
    </row>
    <row r="3" spans="1:60" s="288" customFormat="1" ht="16.5" thickBot="1" x14ac:dyDescent="0.3">
      <c r="A3" s="306"/>
      <c r="B3" s="248"/>
      <c r="C3" s="249" t="s">
        <v>256</v>
      </c>
      <c r="D3" s="249"/>
      <c r="E3" s="248"/>
      <c r="F3" s="307">
        <f t="shared" ref="F3:L3" si="4">MAX(F10:F79)</f>
        <v>23000000</v>
      </c>
      <c r="G3" s="307">
        <f t="shared" si="4"/>
        <v>23000000</v>
      </c>
      <c r="H3" s="307">
        <f t="shared" si="4"/>
        <v>5</v>
      </c>
      <c r="I3" s="307">
        <f t="shared" si="4"/>
        <v>50</v>
      </c>
      <c r="J3" s="307">
        <f t="shared" si="4"/>
        <v>1.5</v>
      </c>
      <c r="K3" s="307">
        <f t="shared" si="4"/>
        <v>4.5</v>
      </c>
      <c r="L3" s="307">
        <f t="shared" si="4"/>
        <v>5.5</v>
      </c>
      <c r="M3" s="308"/>
      <c r="N3" s="309">
        <f t="shared" ref="N3:Y3" si="5">MAX(N10:N79)</f>
        <v>7000000</v>
      </c>
      <c r="O3" s="309">
        <f t="shared" si="5"/>
        <v>4900000</v>
      </c>
      <c r="P3" s="309">
        <f t="shared" si="5"/>
        <v>148920</v>
      </c>
      <c r="Q3" s="309">
        <f t="shared" si="5"/>
        <v>2200000</v>
      </c>
      <c r="R3" s="309">
        <f t="shared" si="5"/>
        <v>2775000</v>
      </c>
      <c r="S3" s="309">
        <f t="shared" si="5"/>
        <v>100</v>
      </c>
      <c r="T3" s="309">
        <f t="shared" si="5"/>
        <v>86.230769230769226</v>
      </c>
      <c r="U3" s="309">
        <f t="shared" si="5"/>
        <v>5</v>
      </c>
      <c r="V3" s="309">
        <f t="shared" si="5"/>
        <v>50</v>
      </c>
      <c r="W3" s="309">
        <f t="shared" si="5"/>
        <v>2</v>
      </c>
      <c r="X3" s="309">
        <f t="shared" si="5"/>
        <v>3.75</v>
      </c>
      <c r="Y3" s="309">
        <f t="shared" si="5"/>
        <v>6.25</v>
      </c>
      <c r="Z3" s="310"/>
      <c r="AA3" s="311">
        <f t="shared" ref="AA3:AL3" si="6">MAX(AA10:AA79)</f>
        <v>4</v>
      </c>
      <c r="AB3" s="311">
        <f t="shared" si="6"/>
        <v>5</v>
      </c>
      <c r="AC3" s="311">
        <f t="shared" si="6"/>
        <v>5</v>
      </c>
      <c r="AD3" s="311">
        <f t="shared" si="6"/>
        <v>5</v>
      </c>
      <c r="AE3" s="311">
        <f t="shared" si="6"/>
        <v>5</v>
      </c>
      <c r="AF3" s="311">
        <f t="shared" si="6"/>
        <v>5</v>
      </c>
      <c r="AG3" s="311">
        <f t="shared" si="6"/>
        <v>4</v>
      </c>
      <c r="AH3" s="311">
        <f t="shared" si="6"/>
        <v>4</v>
      </c>
      <c r="AI3" s="311">
        <f t="shared" si="6"/>
        <v>4</v>
      </c>
      <c r="AJ3" s="311">
        <f t="shared" si="6"/>
        <v>4</v>
      </c>
      <c r="AK3" s="311">
        <f t="shared" si="6"/>
        <v>3</v>
      </c>
      <c r="AL3" s="311">
        <f t="shared" si="6"/>
        <v>5</v>
      </c>
      <c r="AM3" s="312"/>
      <c r="AN3" s="313">
        <f t="shared" ref="AN3:BB3" si="7">MAX(AN10:AN79)</f>
        <v>0.93</v>
      </c>
      <c r="AO3" s="313">
        <f t="shared" si="7"/>
        <v>5</v>
      </c>
      <c r="AP3" s="313">
        <f t="shared" si="7"/>
        <v>50</v>
      </c>
      <c r="AQ3" s="313">
        <f t="shared" si="7"/>
        <v>2.5</v>
      </c>
      <c r="AR3" s="313">
        <f t="shared" si="7"/>
        <v>4.5</v>
      </c>
      <c r="AS3" s="313">
        <f t="shared" si="7"/>
        <v>7.5</v>
      </c>
      <c r="AT3" s="313">
        <f t="shared" si="7"/>
        <v>55</v>
      </c>
      <c r="AU3" s="313">
        <f t="shared" si="7"/>
        <v>4</v>
      </c>
      <c r="AV3" s="313">
        <f t="shared" si="7"/>
        <v>8.5</v>
      </c>
      <c r="AW3" s="314">
        <f t="shared" si="7"/>
        <v>0</v>
      </c>
      <c r="AX3" s="315">
        <f t="shared" si="7"/>
        <v>3.5625</v>
      </c>
      <c r="AY3" s="315">
        <f t="shared" si="7"/>
        <v>4.5</v>
      </c>
      <c r="AZ3" s="315">
        <f t="shared" si="7"/>
        <v>5.4375</v>
      </c>
      <c r="BA3" s="316">
        <f t="shared" si="7"/>
        <v>3.5625</v>
      </c>
      <c r="BB3" s="316">
        <f t="shared" si="7"/>
        <v>5.4375</v>
      </c>
      <c r="BC3" s="317"/>
    </row>
    <row r="4" spans="1:60" ht="16.5" thickTop="1" x14ac:dyDescent="0.25">
      <c r="A4" s="351">
        <v>537</v>
      </c>
      <c r="B4" s="366" t="s">
        <v>58</v>
      </c>
      <c r="C4" s="341" t="s">
        <v>59</v>
      </c>
      <c r="D4" s="341" t="s">
        <v>481</v>
      </c>
      <c r="E4" s="342" t="s">
        <v>60</v>
      </c>
      <c r="F4" s="289" t="s">
        <v>298</v>
      </c>
      <c r="G4" s="289">
        <f>(830000+530000)/2</f>
        <v>680000</v>
      </c>
      <c r="H4" s="289">
        <v>3</v>
      </c>
      <c r="I4" s="289">
        <v>25</v>
      </c>
      <c r="J4" s="290">
        <f t="shared" ref="J4:J9" si="8">(I4/100)*H4</f>
        <v>0.75</v>
      </c>
      <c r="K4" s="290">
        <f>H4-J4</f>
        <v>2.25</v>
      </c>
      <c r="L4" s="290">
        <f>H4+J4</f>
        <v>3.75</v>
      </c>
      <c r="M4" s="291" t="s">
        <v>276</v>
      </c>
      <c r="N4" s="292">
        <v>108000</v>
      </c>
      <c r="O4" s="292">
        <v>5000</v>
      </c>
      <c r="P4" s="292" t="s">
        <v>549</v>
      </c>
      <c r="Q4" s="292" t="s">
        <v>549</v>
      </c>
      <c r="R4" s="292">
        <v>5000</v>
      </c>
      <c r="S4" s="293">
        <f t="shared" ref="S4:S12" si="9">(N4/G4)*100</f>
        <v>15.882352941176469</v>
      </c>
      <c r="T4" s="293">
        <f>(O4/G4)*100</f>
        <v>0.73529411764705876</v>
      </c>
      <c r="U4" s="293">
        <v>2</v>
      </c>
      <c r="V4" s="293">
        <v>25</v>
      </c>
      <c r="W4" s="294">
        <f t="shared" ref="W4:W9" si="10">(V4/100)*U4</f>
        <v>0.5</v>
      </c>
      <c r="X4" s="294">
        <f>U4-W4</f>
        <v>1.5</v>
      </c>
      <c r="Y4" s="294">
        <f>U4+W4</f>
        <v>2.5</v>
      </c>
      <c r="Z4" s="295" t="s">
        <v>687</v>
      </c>
      <c r="AA4" s="296">
        <v>2</v>
      </c>
      <c r="AB4" s="296">
        <v>1</v>
      </c>
      <c r="AC4" s="296">
        <v>1</v>
      </c>
      <c r="AD4" s="297">
        <v>1.25</v>
      </c>
      <c r="AE4" s="296">
        <v>1</v>
      </c>
      <c r="AF4" s="296">
        <v>1</v>
      </c>
      <c r="AG4" s="296">
        <v>1</v>
      </c>
      <c r="AH4" s="296"/>
      <c r="AI4" s="296"/>
      <c r="AJ4" s="296"/>
      <c r="AK4" s="296"/>
      <c r="AL4" s="297">
        <f t="shared" ref="AL4:AL9" si="11">MAX(AA4:AF4)</f>
        <v>2</v>
      </c>
      <c r="AM4" s="298" t="s">
        <v>992</v>
      </c>
      <c r="AN4" s="299" t="s">
        <v>510</v>
      </c>
      <c r="AO4" s="299">
        <v>2</v>
      </c>
      <c r="AP4" s="299">
        <v>50</v>
      </c>
      <c r="AQ4" s="300">
        <f t="shared" ref="AQ4:AQ9" si="12">(AP4/100)*AO4</f>
        <v>1</v>
      </c>
      <c r="AR4" s="301">
        <f>AO4-AQ4</f>
        <v>1</v>
      </c>
      <c r="AS4" s="301">
        <f>AO4+AQ4</f>
        <v>3</v>
      </c>
      <c r="AT4" s="301" t="s">
        <v>559</v>
      </c>
      <c r="AU4" s="302" t="s">
        <v>398</v>
      </c>
      <c r="AV4" s="299">
        <v>2</v>
      </c>
      <c r="AW4" s="303" t="s">
        <v>534</v>
      </c>
      <c r="AX4" s="304">
        <f t="shared" ref="AX4:AX9" si="13">(K4+X4+AL4+AR4)/4</f>
        <v>1.6875</v>
      </c>
      <c r="AY4" s="304">
        <f t="shared" ref="AY4:AY9" si="14">(H4+U4+AL4+AO4)/4</f>
        <v>2.25</v>
      </c>
      <c r="AZ4" s="304">
        <f t="shared" ref="AZ4:AZ9" si="15">(L4+Y4+AL4+AS4)/4</f>
        <v>2.8125</v>
      </c>
      <c r="BA4" s="305">
        <f t="shared" ref="BA4:BA9" si="16">MIN(AX4:AZ4)</f>
        <v>1.6875</v>
      </c>
      <c r="BB4" s="305">
        <f t="shared" ref="BB4:BB9" si="17">MAX(AX4:AZ4)</f>
        <v>2.8125</v>
      </c>
      <c r="BC4" s="92"/>
      <c r="BD4" s="106"/>
      <c r="BE4" s="106"/>
      <c r="BF4" s="106"/>
      <c r="BG4" s="106"/>
      <c r="BH4" s="106"/>
    </row>
    <row r="5" spans="1:60" x14ac:dyDescent="0.25">
      <c r="A5" s="349">
        <v>530</v>
      </c>
      <c r="B5" s="364"/>
      <c r="C5" s="98" t="s">
        <v>61</v>
      </c>
      <c r="D5" s="98" t="s">
        <v>482</v>
      </c>
      <c r="E5" s="142" t="s">
        <v>62</v>
      </c>
      <c r="F5" s="141" t="s">
        <v>277</v>
      </c>
      <c r="G5" s="141">
        <f>(1300000+600000)/2</f>
        <v>950000</v>
      </c>
      <c r="H5" s="65">
        <v>3</v>
      </c>
      <c r="I5" s="141">
        <v>50</v>
      </c>
      <c r="J5" s="141">
        <f t="shared" si="8"/>
        <v>1.5</v>
      </c>
      <c r="K5" s="290">
        <f t="shared" ref="K5:K68" si="18">H5-J5</f>
        <v>1.5</v>
      </c>
      <c r="L5" s="290">
        <f t="shared" ref="L5:L68" si="19">H5+J5</f>
        <v>4.5</v>
      </c>
      <c r="M5" s="140" t="s">
        <v>260</v>
      </c>
      <c r="N5" s="153">
        <v>765000</v>
      </c>
      <c r="O5" s="153">
        <v>257000</v>
      </c>
      <c r="P5" s="153" t="s">
        <v>549</v>
      </c>
      <c r="Q5" s="153" t="s">
        <v>549</v>
      </c>
      <c r="R5" s="153" t="s">
        <v>549</v>
      </c>
      <c r="S5" s="121">
        <f t="shared" si="9"/>
        <v>80.526315789473685</v>
      </c>
      <c r="T5" s="121">
        <f>(O5/G5)*100</f>
        <v>27.052631578947366</v>
      </c>
      <c r="U5" s="121">
        <v>3</v>
      </c>
      <c r="V5" s="121">
        <v>25</v>
      </c>
      <c r="W5" s="154">
        <f t="shared" si="10"/>
        <v>0.75</v>
      </c>
      <c r="X5" s="294">
        <f t="shared" ref="X5:X68" si="20">U5-W5</f>
        <v>2.25</v>
      </c>
      <c r="Y5" s="294">
        <f t="shared" ref="Y5:Y68" si="21">U5+W5</f>
        <v>3.75</v>
      </c>
      <c r="Z5" s="109" t="s">
        <v>680</v>
      </c>
      <c r="AA5" s="70">
        <v>1</v>
      </c>
      <c r="AB5" s="70">
        <v>1</v>
      </c>
      <c r="AC5" s="70">
        <v>1</v>
      </c>
      <c r="AD5" s="110">
        <v>1.25</v>
      </c>
      <c r="AE5" s="70">
        <v>1</v>
      </c>
      <c r="AF5" s="70">
        <v>1</v>
      </c>
      <c r="AG5" s="70">
        <v>1</v>
      </c>
      <c r="AH5" s="70"/>
      <c r="AI5" s="70"/>
      <c r="AJ5" s="70"/>
      <c r="AK5" s="70"/>
      <c r="AL5" s="110">
        <f t="shared" si="11"/>
        <v>1.25</v>
      </c>
      <c r="AM5" s="112" t="s">
        <v>992</v>
      </c>
      <c r="AN5" s="116" t="s">
        <v>535</v>
      </c>
      <c r="AO5" s="116">
        <v>2</v>
      </c>
      <c r="AP5" s="116">
        <v>50</v>
      </c>
      <c r="AQ5" s="114">
        <f t="shared" si="12"/>
        <v>1</v>
      </c>
      <c r="AR5" s="301">
        <f t="shared" ref="AR5:AR68" si="22">AO5-AQ5</f>
        <v>1</v>
      </c>
      <c r="AS5" s="301">
        <f t="shared" ref="AS5:AS68" si="23">AO5+AQ5</f>
        <v>3</v>
      </c>
      <c r="AT5" s="115" t="s">
        <v>559</v>
      </c>
      <c r="AU5" s="117">
        <v>7.6</v>
      </c>
      <c r="AV5" s="116" t="s">
        <v>399</v>
      </c>
      <c r="AW5" s="113" t="s">
        <v>542</v>
      </c>
      <c r="AX5" s="118">
        <f t="shared" si="13"/>
        <v>1.5</v>
      </c>
      <c r="AY5" s="118">
        <f t="shared" si="14"/>
        <v>2.3125</v>
      </c>
      <c r="AZ5" s="118">
        <f t="shared" si="15"/>
        <v>3.125</v>
      </c>
      <c r="BA5" s="119">
        <f t="shared" si="16"/>
        <v>1.5</v>
      </c>
      <c r="BB5" s="119">
        <f t="shared" si="17"/>
        <v>3.125</v>
      </c>
      <c r="BC5" s="92"/>
      <c r="BD5" s="106"/>
      <c r="BE5" s="106"/>
      <c r="BF5" s="106"/>
      <c r="BG5" s="106"/>
      <c r="BH5" s="106"/>
    </row>
    <row r="6" spans="1:60" x14ac:dyDescent="0.25">
      <c r="A6" s="350">
        <v>534</v>
      </c>
      <c r="B6" s="364"/>
      <c r="C6" s="98" t="s">
        <v>574</v>
      </c>
      <c r="D6" s="98" t="s">
        <v>483</v>
      </c>
      <c r="E6" s="142" t="s">
        <v>63</v>
      </c>
      <c r="F6" s="66" t="s">
        <v>314</v>
      </c>
      <c r="G6" s="66">
        <f>(250000+2200000)/2</f>
        <v>1225000</v>
      </c>
      <c r="H6" s="65">
        <v>2</v>
      </c>
      <c r="I6" s="66">
        <v>50</v>
      </c>
      <c r="J6" s="141">
        <f t="shared" si="8"/>
        <v>1</v>
      </c>
      <c r="K6" s="290">
        <f t="shared" si="18"/>
        <v>1</v>
      </c>
      <c r="L6" s="290">
        <f t="shared" si="19"/>
        <v>3</v>
      </c>
      <c r="M6" s="140" t="s">
        <v>315</v>
      </c>
      <c r="N6" s="153">
        <f>N5/3</f>
        <v>255000</v>
      </c>
      <c r="O6" s="161">
        <f>O5/3</f>
        <v>85666.666666666672</v>
      </c>
      <c r="P6" s="153" t="s">
        <v>549</v>
      </c>
      <c r="Q6" s="153" t="s">
        <v>549</v>
      </c>
      <c r="R6" s="121"/>
      <c r="S6" s="121">
        <f t="shared" si="9"/>
        <v>20.816326530612244</v>
      </c>
      <c r="T6" s="121">
        <f>(O6/G6)*100</f>
        <v>6.9931972789115653</v>
      </c>
      <c r="U6" s="121">
        <v>2</v>
      </c>
      <c r="V6" s="121">
        <v>25</v>
      </c>
      <c r="W6" s="154">
        <f t="shared" si="10"/>
        <v>0.5</v>
      </c>
      <c r="X6" s="294">
        <f t="shared" si="20"/>
        <v>1.5</v>
      </c>
      <c r="Y6" s="294">
        <f t="shared" si="21"/>
        <v>2.5</v>
      </c>
      <c r="Z6" s="109" t="s">
        <v>733</v>
      </c>
      <c r="AA6" s="70">
        <v>1</v>
      </c>
      <c r="AB6" s="70">
        <v>1</v>
      </c>
      <c r="AC6" s="70">
        <v>1</v>
      </c>
      <c r="AD6" s="110">
        <v>1.25</v>
      </c>
      <c r="AE6" s="70">
        <v>1</v>
      </c>
      <c r="AF6" s="70">
        <v>1</v>
      </c>
      <c r="AG6" s="70">
        <v>1</v>
      </c>
      <c r="AH6" s="70"/>
      <c r="AI6" s="70"/>
      <c r="AJ6" s="70"/>
      <c r="AK6" s="70"/>
      <c r="AL6" s="110">
        <f t="shared" si="11"/>
        <v>1.25</v>
      </c>
      <c r="AM6" s="112" t="s">
        <v>992</v>
      </c>
      <c r="AN6" s="116" t="s">
        <v>541</v>
      </c>
      <c r="AO6" s="116">
        <v>2</v>
      </c>
      <c r="AP6" s="116">
        <v>50</v>
      </c>
      <c r="AQ6" s="114">
        <f t="shared" si="12"/>
        <v>1</v>
      </c>
      <c r="AR6" s="301">
        <f t="shared" si="22"/>
        <v>1</v>
      </c>
      <c r="AS6" s="301">
        <f t="shared" si="23"/>
        <v>3</v>
      </c>
      <c r="AT6" s="115">
        <v>18</v>
      </c>
      <c r="AU6" s="117">
        <v>9.5</v>
      </c>
      <c r="AV6" s="116">
        <v>2</v>
      </c>
      <c r="AW6" s="113" t="s">
        <v>1001</v>
      </c>
      <c r="AX6" s="118">
        <f t="shared" si="13"/>
        <v>1.1875</v>
      </c>
      <c r="AY6" s="118">
        <f t="shared" si="14"/>
        <v>1.8125</v>
      </c>
      <c r="AZ6" s="118">
        <f t="shared" si="15"/>
        <v>2.4375</v>
      </c>
      <c r="BA6" s="119">
        <f t="shared" si="16"/>
        <v>1.1875</v>
      </c>
      <c r="BB6" s="119">
        <f t="shared" si="17"/>
        <v>2.4375</v>
      </c>
      <c r="BC6" s="92"/>
      <c r="BD6" s="106"/>
      <c r="BE6" s="106"/>
      <c r="BF6" s="106"/>
      <c r="BG6" s="106"/>
      <c r="BH6" s="106"/>
    </row>
    <row r="7" spans="1:60" x14ac:dyDescent="0.25">
      <c r="A7" s="348">
        <v>261</v>
      </c>
      <c r="B7" s="364"/>
      <c r="C7" s="98" t="s">
        <v>64</v>
      </c>
      <c r="D7" s="98" t="s">
        <v>484</v>
      </c>
      <c r="E7" s="343" t="s">
        <v>258</v>
      </c>
      <c r="F7" s="65" t="s">
        <v>274</v>
      </c>
      <c r="G7" s="65">
        <f xml:space="preserve"> (336000+325000)/2</f>
        <v>330500</v>
      </c>
      <c r="H7" s="65">
        <v>3</v>
      </c>
      <c r="I7" s="65">
        <v>25</v>
      </c>
      <c r="J7" s="141">
        <f t="shared" si="8"/>
        <v>0.75</v>
      </c>
      <c r="K7" s="290">
        <f t="shared" si="18"/>
        <v>2.25</v>
      </c>
      <c r="L7" s="290">
        <f t="shared" si="19"/>
        <v>3.75</v>
      </c>
      <c r="M7" s="140" t="s">
        <v>624</v>
      </c>
      <c r="N7" s="153">
        <v>135000</v>
      </c>
      <c r="O7" s="181">
        <v>4000</v>
      </c>
      <c r="P7" s="153" t="s">
        <v>549</v>
      </c>
      <c r="Q7" s="153" t="s">
        <v>549</v>
      </c>
      <c r="R7" s="153">
        <v>4000</v>
      </c>
      <c r="S7" s="121">
        <f t="shared" si="9"/>
        <v>40.847201210287444</v>
      </c>
      <c r="T7" s="121">
        <f>(O7/G7)*100</f>
        <v>1.2102874432677762</v>
      </c>
      <c r="U7" s="121">
        <v>2</v>
      </c>
      <c r="V7" s="121">
        <v>25</v>
      </c>
      <c r="W7" s="154">
        <f t="shared" si="10"/>
        <v>0.5</v>
      </c>
      <c r="X7" s="294">
        <f t="shared" si="20"/>
        <v>1.5</v>
      </c>
      <c r="Y7" s="294">
        <f t="shared" si="21"/>
        <v>2.5</v>
      </c>
      <c r="Z7" s="109" t="s">
        <v>625</v>
      </c>
      <c r="AA7" s="70">
        <v>1</v>
      </c>
      <c r="AB7" s="70">
        <v>1</v>
      </c>
      <c r="AC7" s="111">
        <v>3</v>
      </c>
      <c r="AD7" s="110">
        <v>1.25</v>
      </c>
      <c r="AE7" s="70">
        <v>1</v>
      </c>
      <c r="AF7" s="70">
        <v>1</v>
      </c>
      <c r="AG7" s="70">
        <v>1</v>
      </c>
      <c r="AH7" s="70"/>
      <c r="AI7" s="70"/>
      <c r="AJ7" s="70"/>
      <c r="AK7" s="70"/>
      <c r="AL7" s="110">
        <f t="shared" si="11"/>
        <v>3</v>
      </c>
      <c r="AM7" s="112" t="s">
        <v>992</v>
      </c>
      <c r="AN7" s="116" t="s">
        <v>539</v>
      </c>
      <c r="AO7" s="116">
        <v>3</v>
      </c>
      <c r="AP7" s="116">
        <v>25</v>
      </c>
      <c r="AQ7" s="114">
        <f t="shared" si="12"/>
        <v>0.75</v>
      </c>
      <c r="AR7" s="301">
        <f t="shared" si="22"/>
        <v>2.25</v>
      </c>
      <c r="AS7" s="301">
        <f t="shared" si="23"/>
        <v>3.75</v>
      </c>
      <c r="AT7" s="115">
        <v>22</v>
      </c>
      <c r="AU7" s="117" t="s">
        <v>400</v>
      </c>
      <c r="AV7" s="116">
        <v>2</v>
      </c>
      <c r="AW7" s="113" t="s">
        <v>540</v>
      </c>
      <c r="AX7" s="118">
        <f t="shared" si="13"/>
        <v>2.25</v>
      </c>
      <c r="AY7" s="118">
        <f t="shared" si="14"/>
        <v>2.75</v>
      </c>
      <c r="AZ7" s="118">
        <f t="shared" si="15"/>
        <v>3.25</v>
      </c>
      <c r="BA7" s="119">
        <f t="shared" si="16"/>
        <v>2.25</v>
      </c>
      <c r="BB7" s="119">
        <f t="shared" si="17"/>
        <v>3.25</v>
      </c>
      <c r="BC7" s="92"/>
      <c r="BD7" s="106"/>
      <c r="BE7" s="106"/>
      <c r="BF7" s="106"/>
      <c r="BG7" s="106"/>
      <c r="BH7" s="106"/>
    </row>
    <row r="8" spans="1:60" x14ac:dyDescent="0.25">
      <c r="A8" s="107">
        <v>559</v>
      </c>
      <c r="B8" s="364"/>
      <c r="C8" s="98" t="s">
        <v>65</v>
      </c>
      <c r="D8" s="98" t="s">
        <v>485</v>
      </c>
      <c r="E8" s="344" t="s">
        <v>262</v>
      </c>
      <c r="F8" s="141" t="s">
        <v>66</v>
      </c>
      <c r="G8" s="141">
        <f>(2400000+1700000)/2</f>
        <v>2050000</v>
      </c>
      <c r="H8" s="65">
        <v>2</v>
      </c>
      <c r="I8" s="141">
        <v>10</v>
      </c>
      <c r="J8" s="141">
        <f t="shared" si="8"/>
        <v>0.2</v>
      </c>
      <c r="K8" s="290">
        <f t="shared" si="18"/>
        <v>1.8</v>
      </c>
      <c r="L8" s="290">
        <f t="shared" si="19"/>
        <v>2.2000000000000002</v>
      </c>
      <c r="M8" s="140" t="s">
        <v>260</v>
      </c>
      <c r="N8" s="121"/>
      <c r="O8" s="153" t="s">
        <v>549</v>
      </c>
      <c r="P8" s="153" t="s">
        <v>549</v>
      </c>
      <c r="Q8" s="153" t="s">
        <v>549</v>
      </c>
      <c r="R8" s="153" t="s">
        <v>549</v>
      </c>
      <c r="S8" s="121">
        <f t="shared" si="9"/>
        <v>0</v>
      </c>
      <c r="T8" s="121"/>
      <c r="U8" s="121">
        <v>1</v>
      </c>
      <c r="V8" s="121">
        <v>50</v>
      </c>
      <c r="W8" s="154">
        <f t="shared" si="10"/>
        <v>0.5</v>
      </c>
      <c r="X8" s="294">
        <f t="shared" si="20"/>
        <v>0.5</v>
      </c>
      <c r="Y8" s="294">
        <f t="shared" si="21"/>
        <v>1.5</v>
      </c>
      <c r="Z8" s="109" t="s">
        <v>669</v>
      </c>
      <c r="AA8" s="70">
        <v>1</v>
      </c>
      <c r="AB8" s="70">
        <v>1</v>
      </c>
      <c r="AC8" s="70">
        <v>1</v>
      </c>
      <c r="AD8" s="110">
        <v>1.25</v>
      </c>
      <c r="AE8" s="70">
        <v>1</v>
      </c>
      <c r="AF8" s="70">
        <v>1</v>
      </c>
      <c r="AG8" s="70">
        <v>1</v>
      </c>
      <c r="AH8" s="70"/>
      <c r="AI8" s="70"/>
      <c r="AJ8" s="70"/>
      <c r="AK8" s="70"/>
      <c r="AL8" s="110">
        <f t="shared" si="11"/>
        <v>1.25</v>
      </c>
      <c r="AM8" s="112" t="s">
        <v>992</v>
      </c>
      <c r="AN8" s="116" t="s">
        <v>538</v>
      </c>
      <c r="AO8" s="116">
        <v>1</v>
      </c>
      <c r="AP8" s="116">
        <v>50</v>
      </c>
      <c r="AQ8" s="114">
        <f t="shared" si="12"/>
        <v>0.5</v>
      </c>
      <c r="AR8" s="301">
        <f t="shared" si="22"/>
        <v>0.5</v>
      </c>
      <c r="AS8" s="301">
        <f t="shared" si="23"/>
        <v>1.5</v>
      </c>
      <c r="AT8" s="115">
        <v>13.5</v>
      </c>
      <c r="AU8" s="117" t="s">
        <v>401</v>
      </c>
      <c r="AV8" s="116">
        <v>2</v>
      </c>
      <c r="AW8" s="113" t="s">
        <v>537</v>
      </c>
      <c r="AX8" s="118">
        <f t="shared" si="13"/>
        <v>1.0125</v>
      </c>
      <c r="AY8" s="118">
        <f t="shared" si="14"/>
        <v>1.3125</v>
      </c>
      <c r="AZ8" s="118">
        <f t="shared" si="15"/>
        <v>1.6125</v>
      </c>
      <c r="BA8" s="119">
        <f t="shared" si="16"/>
        <v>1.0125</v>
      </c>
      <c r="BB8" s="119">
        <f t="shared" si="17"/>
        <v>1.6125</v>
      </c>
      <c r="BC8" s="92"/>
      <c r="BD8" s="106"/>
      <c r="BE8" s="106"/>
      <c r="BF8" s="106"/>
      <c r="BG8" s="106"/>
      <c r="BH8" s="106"/>
    </row>
    <row r="9" spans="1:60" x14ac:dyDescent="0.25">
      <c r="A9" s="107">
        <v>561</v>
      </c>
      <c r="B9" s="365"/>
      <c r="C9" s="98" t="s">
        <v>578</v>
      </c>
      <c r="D9" s="98" t="s">
        <v>486</v>
      </c>
      <c r="E9" s="142" t="s">
        <v>67</v>
      </c>
      <c r="F9" s="141" t="s">
        <v>68</v>
      </c>
      <c r="G9" s="141">
        <f>(610000+510000)/2</f>
        <v>560000</v>
      </c>
      <c r="H9" s="65">
        <v>3</v>
      </c>
      <c r="I9" s="141">
        <v>10</v>
      </c>
      <c r="J9" s="141">
        <f t="shared" si="8"/>
        <v>0.30000000000000004</v>
      </c>
      <c r="K9" s="290">
        <f t="shared" si="18"/>
        <v>2.7</v>
      </c>
      <c r="L9" s="290">
        <f t="shared" si="19"/>
        <v>3.3</v>
      </c>
      <c r="M9" s="140" t="s">
        <v>260</v>
      </c>
      <c r="N9" s="121">
        <v>6000</v>
      </c>
      <c r="O9" s="121">
        <v>1300</v>
      </c>
      <c r="P9" s="153" t="s">
        <v>549</v>
      </c>
      <c r="Q9" s="153" t="s">
        <v>549</v>
      </c>
      <c r="R9" s="121">
        <v>1300</v>
      </c>
      <c r="S9" s="121">
        <f t="shared" si="9"/>
        <v>1.0714285714285714</v>
      </c>
      <c r="T9" s="121">
        <f>(O9/G9)*100</f>
        <v>0.23214285714285715</v>
      </c>
      <c r="U9" s="121">
        <v>1</v>
      </c>
      <c r="V9" s="121">
        <v>25</v>
      </c>
      <c r="W9" s="154">
        <f t="shared" si="10"/>
        <v>0.25</v>
      </c>
      <c r="X9" s="294">
        <f t="shared" si="20"/>
        <v>0.75</v>
      </c>
      <c r="Y9" s="294">
        <f t="shared" si="21"/>
        <v>1.25</v>
      </c>
      <c r="Z9" s="109" t="s">
        <v>668</v>
      </c>
      <c r="AA9" s="70">
        <v>1</v>
      </c>
      <c r="AB9" s="70">
        <v>1</v>
      </c>
      <c r="AC9" s="70">
        <v>1</v>
      </c>
      <c r="AD9" s="110">
        <v>1.25</v>
      </c>
      <c r="AE9" s="70">
        <v>1</v>
      </c>
      <c r="AF9" s="70">
        <v>1</v>
      </c>
      <c r="AG9" s="70">
        <v>1</v>
      </c>
      <c r="AH9" s="70"/>
      <c r="AI9" s="70"/>
      <c r="AJ9" s="70"/>
      <c r="AK9" s="70"/>
      <c r="AL9" s="110">
        <f t="shared" si="11"/>
        <v>1.25</v>
      </c>
      <c r="AM9" s="112" t="s">
        <v>992</v>
      </c>
      <c r="AN9" s="182" t="s">
        <v>506</v>
      </c>
      <c r="AO9" s="116">
        <v>2</v>
      </c>
      <c r="AP9" s="116">
        <v>50</v>
      </c>
      <c r="AQ9" s="114">
        <f t="shared" si="12"/>
        <v>1</v>
      </c>
      <c r="AR9" s="301">
        <f t="shared" si="22"/>
        <v>1</v>
      </c>
      <c r="AS9" s="301">
        <f t="shared" si="23"/>
        <v>3</v>
      </c>
      <c r="AT9" s="115">
        <v>9.3000000000000007</v>
      </c>
      <c r="AU9" s="117" t="s">
        <v>402</v>
      </c>
      <c r="AV9" s="116">
        <v>3</v>
      </c>
      <c r="AW9" s="183" t="s">
        <v>536</v>
      </c>
      <c r="AX9" s="118">
        <f t="shared" si="13"/>
        <v>1.425</v>
      </c>
      <c r="AY9" s="118">
        <f t="shared" si="14"/>
        <v>1.8125</v>
      </c>
      <c r="AZ9" s="118">
        <f t="shared" si="15"/>
        <v>2.2000000000000002</v>
      </c>
      <c r="BA9" s="119">
        <f t="shared" si="16"/>
        <v>1.425</v>
      </c>
      <c r="BB9" s="119">
        <f t="shared" si="17"/>
        <v>2.2000000000000002</v>
      </c>
      <c r="BC9" s="92"/>
      <c r="BD9" s="106"/>
      <c r="BE9" s="106"/>
      <c r="BF9" s="106"/>
      <c r="BG9" s="106"/>
      <c r="BH9" s="106"/>
    </row>
    <row r="10" spans="1:60" x14ac:dyDescent="0.25">
      <c r="A10" s="353">
        <v>1567</v>
      </c>
      <c r="B10" s="363" t="s">
        <v>8</v>
      </c>
      <c r="C10" s="98" t="s">
        <v>9</v>
      </c>
      <c r="D10" s="98" t="s">
        <v>460</v>
      </c>
      <c r="E10" s="345" t="s">
        <v>10</v>
      </c>
      <c r="F10" s="141" t="s">
        <v>13</v>
      </c>
      <c r="G10" s="141">
        <f>(640000+610000)/2</f>
        <v>625000</v>
      </c>
      <c r="H10" s="65">
        <v>3</v>
      </c>
      <c r="I10" s="141">
        <v>10</v>
      </c>
      <c r="J10" s="141">
        <f t="shared" ref="J10:J37" si="24">(I10/100)*H10</f>
        <v>0.30000000000000004</v>
      </c>
      <c r="K10" s="290">
        <f t="shared" si="18"/>
        <v>2.7</v>
      </c>
      <c r="L10" s="290">
        <f t="shared" si="19"/>
        <v>3.3</v>
      </c>
      <c r="M10" s="140" t="s">
        <v>260</v>
      </c>
      <c r="N10" s="153">
        <v>220000</v>
      </c>
      <c r="O10" s="153">
        <v>184000</v>
      </c>
      <c r="P10" s="121"/>
      <c r="Q10" s="121"/>
      <c r="R10" s="121"/>
      <c r="S10" s="121">
        <f t="shared" si="9"/>
        <v>35.199999999999996</v>
      </c>
      <c r="T10" s="121">
        <f>(O10/G10)*100</f>
        <v>29.439999999999998</v>
      </c>
      <c r="U10" s="121">
        <v>3</v>
      </c>
      <c r="V10" s="121">
        <v>25</v>
      </c>
      <c r="W10" s="154">
        <f t="shared" ref="W10:W37" si="25">(V10/100)*U10</f>
        <v>0.75</v>
      </c>
      <c r="X10" s="294">
        <f t="shared" si="20"/>
        <v>2.25</v>
      </c>
      <c r="Y10" s="294">
        <f t="shared" si="21"/>
        <v>3.75</v>
      </c>
      <c r="Z10" s="109" t="s">
        <v>548</v>
      </c>
      <c r="AA10" s="70">
        <v>1</v>
      </c>
      <c r="AB10" s="70">
        <v>1</v>
      </c>
      <c r="AC10" s="70">
        <v>1</v>
      </c>
      <c r="AD10" s="110">
        <v>1.25</v>
      </c>
      <c r="AE10" s="70">
        <v>1</v>
      </c>
      <c r="AF10" s="111">
        <v>3</v>
      </c>
      <c r="AG10" s="70">
        <v>2</v>
      </c>
      <c r="AH10" s="70"/>
      <c r="AI10" s="70"/>
      <c r="AJ10" s="70"/>
      <c r="AK10" s="70"/>
      <c r="AL10" s="110">
        <f t="shared" ref="AL10:AL16" si="26">MAX(AA10:AF10)</f>
        <v>3</v>
      </c>
      <c r="AM10" s="112" t="s">
        <v>992</v>
      </c>
      <c r="AN10" s="116">
        <v>0.92</v>
      </c>
      <c r="AO10" s="116">
        <v>5</v>
      </c>
      <c r="AP10" s="116">
        <v>25</v>
      </c>
      <c r="AQ10" s="114">
        <f t="shared" ref="AQ10:AQ37" si="27">(AP10/100)*AO10</f>
        <v>1.25</v>
      </c>
      <c r="AR10" s="301">
        <f t="shared" si="22"/>
        <v>3.75</v>
      </c>
      <c r="AS10" s="301">
        <f t="shared" si="23"/>
        <v>6.25</v>
      </c>
      <c r="AT10" s="116">
        <v>23</v>
      </c>
      <c r="AU10" s="117">
        <v>2</v>
      </c>
      <c r="AV10" s="116">
        <v>6</v>
      </c>
      <c r="AW10" s="113" t="s">
        <v>1002</v>
      </c>
      <c r="AX10" s="168">
        <f t="shared" ref="AX10:AX37" si="28">(K10+X10+AL10+AR10)/4</f>
        <v>2.9249999999999998</v>
      </c>
      <c r="AY10" s="168">
        <f t="shared" ref="AY10:AY37" si="29">(H10+U10+AL10+AO10)/4</f>
        <v>3.5</v>
      </c>
      <c r="AZ10" s="168">
        <f t="shared" ref="AZ10:AZ37" si="30">(L10+Y10+AL10+AS10)/4</f>
        <v>4.0750000000000002</v>
      </c>
      <c r="BA10" s="169">
        <f t="shared" ref="BA10:BA37" si="31">MIN(AX10:AZ10)</f>
        <v>2.9249999999999998</v>
      </c>
      <c r="BB10" s="169">
        <f t="shared" ref="BB10:BB37" si="32">MAX(AX10:AZ10)</f>
        <v>4.0750000000000002</v>
      </c>
      <c r="BC10" s="92"/>
      <c r="BD10" s="106"/>
      <c r="BE10" s="106"/>
      <c r="BF10" s="106"/>
      <c r="BG10" s="106"/>
      <c r="BH10" s="106"/>
    </row>
    <row r="11" spans="1:60" x14ac:dyDescent="0.25">
      <c r="A11" s="107">
        <v>1565</v>
      </c>
      <c r="B11" s="364"/>
      <c r="C11" s="98" t="s">
        <v>14</v>
      </c>
      <c r="D11" s="98" t="s">
        <v>461</v>
      </c>
      <c r="E11" s="142" t="s">
        <v>15</v>
      </c>
      <c r="F11" s="141" t="s">
        <v>16</v>
      </c>
      <c r="G11" s="141">
        <f>(1600000+930000)/2</f>
        <v>1265000</v>
      </c>
      <c r="H11" s="65">
        <v>2</v>
      </c>
      <c r="I11" s="141">
        <v>25</v>
      </c>
      <c r="J11" s="141">
        <f t="shared" si="24"/>
        <v>0.5</v>
      </c>
      <c r="K11" s="290">
        <f t="shared" si="18"/>
        <v>1.5</v>
      </c>
      <c r="L11" s="290">
        <f t="shared" si="19"/>
        <v>2.5</v>
      </c>
      <c r="M11" s="140" t="s">
        <v>272</v>
      </c>
      <c r="N11" s="153">
        <v>475000</v>
      </c>
      <c r="O11" s="153"/>
      <c r="P11" s="121"/>
      <c r="Q11" s="121"/>
      <c r="R11" s="121"/>
      <c r="S11" s="121">
        <f t="shared" si="9"/>
        <v>37.549407114624508</v>
      </c>
      <c r="T11" s="121">
        <f>(O11/G11)*100</f>
        <v>0</v>
      </c>
      <c r="U11" s="121">
        <v>3</v>
      </c>
      <c r="V11" s="121">
        <v>25</v>
      </c>
      <c r="W11" s="154">
        <f t="shared" si="25"/>
        <v>0.75</v>
      </c>
      <c r="X11" s="294">
        <f t="shared" si="20"/>
        <v>2.25</v>
      </c>
      <c r="Y11" s="294">
        <f t="shared" si="21"/>
        <v>3.75</v>
      </c>
      <c r="Z11" s="109" t="s">
        <v>273</v>
      </c>
      <c r="AA11" s="70">
        <v>1</v>
      </c>
      <c r="AB11" s="70">
        <v>1</v>
      </c>
      <c r="AC11" s="70">
        <v>1</v>
      </c>
      <c r="AD11" s="110">
        <v>1.25</v>
      </c>
      <c r="AE11" s="70">
        <v>1</v>
      </c>
      <c r="AF11" s="70">
        <v>1</v>
      </c>
      <c r="AG11" s="70">
        <v>1</v>
      </c>
      <c r="AH11" s="70"/>
      <c r="AI11" s="70"/>
      <c r="AJ11" s="70"/>
      <c r="AK11" s="70"/>
      <c r="AL11" s="110">
        <f t="shared" si="26"/>
        <v>1.25</v>
      </c>
      <c r="AM11" s="112" t="s">
        <v>992</v>
      </c>
      <c r="AN11" s="116">
        <v>0.89</v>
      </c>
      <c r="AO11" s="116">
        <v>4</v>
      </c>
      <c r="AP11" s="116">
        <v>25</v>
      </c>
      <c r="AQ11" s="114">
        <f t="shared" si="27"/>
        <v>1</v>
      </c>
      <c r="AR11" s="301">
        <f t="shared" si="22"/>
        <v>3</v>
      </c>
      <c r="AS11" s="301">
        <f t="shared" si="23"/>
        <v>5</v>
      </c>
      <c r="AT11" s="116" t="s">
        <v>559</v>
      </c>
      <c r="AU11" s="117">
        <v>1.5</v>
      </c>
      <c r="AV11" s="116">
        <v>3</v>
      </c>
      <c r="AW11" s="113" t="s">
        <v>1063</v>
      </c>
      <c r="AX11" s="168">
        <f t="shared" si="28"/>
        <v>2</v>
      </c>
      <c r="AY11" s="168">
        <f t="shared" si="29"/>
        <v>2.5625</v>
      </c>
      <c r="AZ11" s="168">
        <f t="shared" si="30"/>
        <v>3.125</v>
      </c>
      <c r="BA11" s="170">
        <f t="shared" si="31"/>
        <v>2</v>
      </c>
      <c r="BB11" s="170">
        <f t="shared" si="32"/>
        <v>3.125</v>
      </c>
      <c r="BC11" s="92"/>
      <c r="BD11" s="106"/>
      <c r="BE11" s="106"/>
      <c r="BF11" s="106"/>
      <c r="BG11" s="106"/>
      <c r="BH11" s="106"/>
    </row>
    <row r="12" spans="1:60" x14ac:dyDescent="0.25">
      <c r="A12" s="352">
        <v>1561</v>
      </c>
      <c r="B12" s="364"/>
      <c r="C12" s="98" t="s">
        <v>572</v>
      </c>
      <c r="D12" s="98" t="s">
        <v>462</v>
      </c>
      <c r="E12" s="142" t="s">
        <v>17</v>
      </c>
      <c r="F12" s="143" t="s">
        <v>18</v>
      </c>
      <c r="G12" s="143">
        <f>(590000+200000)/2</f>
        <v>395000</v>
      </c>
      <c r="H12" s="65">
        <v>4</v>
      </c>
      <c r="I12" s="143">
        <v>25</v>
      </c>
      <c r="J12" s="141">
        <f t="shared" si="24"/>
        <v>1</v>
      </c>
      <c r="K12" s="290">
        <f t="shared" si="18"/>
        <v>3</v>
      </c>
      <c r="L12" s="290">
        <f t="shared" si="19"/>
        <v>5</v>
      </c>
      <c r="M12" s="140" t="s">
        <v>275</v>
      </c>
      <c r="N12" s="180">
        <v>16600</v>
      </c>
      <c r="O12" s="153">
        <v>9843</v>
      </c>
      <c r="P12" s="121" t="s">
        <v>597</v>
      </c>
      <c r="Q12" s="121"/>
      <c r="R12" s="121">
        <v>16000</v>
      </c>
      <c r="S12" s="121">
        <f t="shared" si="9"/>
        <v>4.2025316455696204</v>
      </c>
      <c r="T12" s="121">
        <f>(O12/G12)*100</f>
        <v>2.4918987341772154</v>
      </c>
      <c r="U12" s="121">
        <v>2</v>
      </c>
      <c r="V12" s="121">
        <v>25</v>
      </c>
      <c r="W12" s="154">
        <f t="shared" si="25"/>
        <v>0.5</v>
      </c>
      <c r="X12" s="294">
        <f t="shared" si="20"/>
        <v>1.5</v>
      </c>
      <c r="Y12" s="294">
        <f t="shared" si="21"/>
        <v>2.5</v>
      </c>
      <c r="Z12" s="109" t="s">
        <v>673</v>
      </c>
      <c r="AA12" s="70">
        <v>1</v>
      </c>
      <c r="AB12" s="70">
        <v>1</v>
      </c>
      <c r="AC12" s="70">
        <v>1</v>
      </c>
      <c r="AD12" s="110">
        <v>1.25</v>
      </c>
      <c r="AE12" s="70">
        <v>1</v>
      </c>
      <c r="AF12" s="70">
        <v>1</v>
      </c>
      <c r="AG12" s="70">
        <v>1</v>
      </c>
      <c r="AH12" s="70"/>
      <c r="AI12" s="70"/>
      <c r="AJ12" s="70"/>
      <c r="AK12" s="70"/>
      <c r="AL12" s="110">
        <f t="shared" si="26"/>
        <v>1.25</v>
      </c>
      <c r="AM12" s="112" t="s">
        <v>992</v>
      </c>
      <c r="AN12" s="144" t="s">
        <v>352</v>
      </c>
      <c r="AO12" s="144">
        <v>4</v>
      </c>
      <c r="AP12" s="144">
        <v>25</v>
      </c>
      <c r="AQ12" s="114">
        <f t="shared" si="27"/>
        <v>1</v>
      </c>
      <c r="AR12" s="301">
        <f t="shared" si="22"/>
        <v>3</v>
      </c>
      <c r="AS12" s="301">
        <f t="shared" si="23"/>
        <v>5</v>
      </c>
      <c r="AT12" s="115" t="s">
        <v>381</v>
      </c>
      <c r="AU12" s="117">
        <v>2</v>
      </c>
      <c r="AV12" s="116" t="s">
        <v>559</v>
      </c>
      <c r="AW12" s="113" t="s">
        <v>355</v>
      </c>
      <c r="AX12" s="168">
        <f t="shared" si="28"/>
        <v>2.1875</v>
      </c>
      <c r="AY12" s="168">
        <f t="shared" si="29"/>
        <v>2.8125</v>
      </c>
      <c r="AZ12" s="168">
        <f t="shared" si="30"/>
        <v>3.4375</v>
      </c>
      <c r="BA12" s="170">
        <f t="shared" si="31"/>
        <v>2.1875</v>
      </c>
      <c r="BB12" s="170">
        <f t="shared" si="32"/>
        <v>3.4375</v>
      </c>
      <c r="BC12" s="92"/>
      <c r="BD12" s="106"/>
      <c r="BE12" s="106"/>
      <c r="BF12" s="106"/>
      <c r="BG12" s="106"/>
      <c r="BH12" s="106"/>
    </row>
    <row r="13" spans="1:60" x14ac:dyDescent="0.25">
      <c r="A13" s="120">
        <v>1568</v>
      </c>
      <c r="B13" s="365"/>
      <c r="C13" s="80" t="s">
        <v>331</v>
      </c>
      <c r="D13" s="80" t="s">
        <v>463</v>
      </c>
      <c r="E13" s="142" t="s">
        <v>335</v>
      </c>
      <c r="F13" s="143" t="s">
        <v>336</v>
      </c>
      <c r="G13" s="143">
        <f>(16000+32000)/2</f>
        <v>24000</v>
      </c>
      <c r="H13" s="65">
        <v>5</v>
      </c>
      <c r="I13" s="143">
        <v>10</v>
      </c>
      <c r="J13" s="141">
        <f t="shared" si="24"/>
        <v>0.5</v>
      </c>
      <c r="K13" s="290">
        <f t="shared" si="18"/>
        <v>4.5</v>
      </c>
      <c r="L13" s="290">
        <f t="shared" si="19"/>
        <v>5.5</v>
      </c>
      <c r="M13" s="140" t="s">
        <v>308</v>
      </c>
      <c r="N13" s="153" t="s">
        <v>549</v>
      </c>
      <c r="O13" s="153" t="s">
        <v>549</v>
      </c>
      <c r="P13" s="153" t="s">
        <v>549</v>
      </c>
      <c r="Q13" s="153" t="s">
        <v>549</v>
      </c>
      <c r="R13" s="153" t="s">
        <v>549</v>
      </c>
      <c r="S13" s="121">
        <v>3</v>
      </c>
      <c r="T13" s="121">
        <v>2</v>
      </c>
      <c r="U13" s="121">
        <v>2</v>
      </c>
      <c r="V13" s="121">
        <v>25</v>
      </c>
      <c r="W13" s="154">
        <f t="shared" si="25"/>
        <v>0.5</v>
      </c>
      <c r="X13" s="294">
        <f t="shared" si="20"/>
        <v>1.5</v>
      </c>
      <c r="Y13" s="294">
        <f t="shared" si="21"/>
        <v>2.5</v>
      </c>
      <c r="Z13" s="109" t="s">
        <v>371</v>
      </c>
      <c r="AA13" s="70">
        <v>2</v>
      </c>
      <c r="AB13" s="70">
        <v>3</v>
      </c>
      <c r="AC13" s="70">
        <v>1</v>
      </c>
      <c r="AD13" s="110">
        <v>1.25</v>
      </c>
      <c r="AE13" s="70">
        <v>1</v>
      </c>
      <c r="AF13" s="70">
        <v>1</v>
      </c>
      <c r="AG13" s="70">
        <v>2</v>
      </c>
      <c r="AH13" s="70"/>
      <c r="AI13" s="70"/>
      <c r="AJ13" s="70"/>
      <c r="AK13" s="70"/>
      <c r="AL13" s="110">
        <f t="shared" si="26"/>
        <v>3</v>
      </c>
      <c r="AM13" s="112" t="s">
        <v>992</v>
      </c>
      <c r="AN13" s="116">
        <v>0.91</v>
      </c>
      <c r="AO13" s="116">
        <v>5</v>
      </c>
      <c r="AP13" s="116">
        <v>25</v>
      </c>
      <c r="AQ13" s="114">
        <f t="shared" si="27"/>
        <v>1.25</v>
      </c>
      <c r="AR13" s="301">
        <f t="shared" si="22"/>
        <v>3.75</v>
      </c>
      <c r="AS13" s="301">
        <f t="shared" si="23"/>
        <v>6.25</v>
      </c>
      <c r="AT13" s="115" t="s">
        <v>559</v>
      </c>
      <c r="AU13" s="117">
        <v>2</v>
      </c>
      <c r="AV13" s="116">
        <v>2</v>
      </c>
      <c r="AW13" s="113" t="s">
        <v>353</v>
      </c>
      <c r="AX13" s="118">
        <f t="shared" si="28"/>
        <v>3.1875</v>
      </c>
      <c r="AY13" s="118">
        <f t="shared" si="29"/>
        <v>3.75</v>
      </c>
      <c r="AZ13" s="118">
        <f t="shared" si="30"/>
        <v>4.3125</v>
      </c>
      <c r="BA13" s="119">
        <f t="shared" si="31"/>
        <v>3.1875</v>
      </c>
      <c r="BB13" s="119">
        <f t="shared" si="32"/>
        <v>4.3125</v>
      </c>
      <c r="BC13" s="92"/>
      <c r="BD13" s="106"/>
      <c r="BE13" s="106"/>
      <c r="BF13" s="106"/>
      <c r="BG13" s="106"/>
      <c r="BH13" s="106"/>
    </row>
    <row r="14" spans="1:60" x14ac:dyDescent="0.25">
      <c r="A14" s="120">
        <v>1637</v>
      </c>
      <c r="B14" s="363" t="s">
        <v>19</v>
      </c>
      <c r="C14" s="80" t="s">
        <v>565</v>
      </c>
      <c r="D14" s="83" t="s">
        <v>464</v>
      </c>
      <c r="E14" s="142" t="s">
        <v>323</v>
      </c>
      <c r="F14" s="141" t="s">
        <v>20</v>
      </c>
      <c r="G14" s="141">
        <f>(21000+11000)/2</f>
        <v>16000</v>
      </c>
      <c r="H14" s="65">
        <v>5</v>
      </c>
      <c r="I14" s="141">
        <v>10</v>
      </c>
      <c r="J14" s="141">
        <f t="shared" si="24"/>
        <v>0.5</v>
      </c>
      <c r="K14" s="290">
        <f t="shared" si="18"/>
        <v>4.5</v>
      </c>
      <c r="L14" s="290">
        <f t="shared" si="19"/>
        <v>5.5</v>
      </c>
      <c r="M14" s="140" t="s">
        <v>375</v>
      </c>
      <c r="N14" s="153">
        <v>11800</v>
      </c>
      <c r="O14" s="153">
        <v>5900</v>
      </c>
      <c r="P14" s="121"/>
      <c r="Q14" s="121"/>
      <c r="R14" s="121"/>
      <c r="S14" s="121">
        <f>(N14/G14)*100</f>
        <v>73.75</v>
      </c>
      <c r="T14" s="121">
        <f t="shared" ref="T14:T19" si="33">(O14/G14)*100</f>
        <v>36.875</v>
      </c>
      <c r="U14" s="121">
        <v>3</v>
      </c>
      <c r="V14" s="121">
        <v>50</v>
      </c>
      <c r="W14" s="154">
        <f t="shared" si="25"/>
        <v>1.5</v>
      </c>
      <c r="X14" s="294">
        <f t="shared" si="20"/>
        <v>1.5</v>
      </c>
      <c r="Y14" s="294">
        <f t="shared" si="21"/>
        <v>4.5</v>
      </c>
      <c r="Z14" s="109" t="s">
        <v>643</v>
      </c>
      <c r="AA14" s="70">
        <v>1</v>
      </c>
      <c r="AB14" s="70">
        <v>1</v>
      </c>
      <c r="AC14" s="70">
        <v>1</v>
      </c>
      <c r="AD14" s="110">
        <v>1.25</v>
      </c>
      <c r="AE14" s="70">
        <v>1</v>
      </c>
      <c r="AF14" s="111">
        <v>2</v>
      </c>
      <c r="AG14" s="70">
        <v>1</v>
      </c>
      <c r="AH14" s="70"/>
      <c r="AI14" s="70"/>
      <c r="AJ14" s="70"/>
      <c r="AK14" s="70"/>
      <c r="AL14" s="110">
        <f t="shared" si="26"/>
        <v>2</v>
      </c>
      <c r="AM14" s="112" t="s">
        <v>992</v>
      </c>
      <c r="AN14" s="116" t="s">
        <v>505</v>
      </c>
      <c r="AO14" s="116">
        <v>1</v>
      </c>
      <c r="AP14" s="116">
        <v>50</v>
      </c>
      <c r="AQ14" s="114">
        <f t="shared" si="27"/>
        <v>0.5</v>
      </c>
      <c r="AR14" s="301">
        <f t="shared" si="22"/>
        <v>0.5</v>
      </c>
      <c r="AS14" s="301">
        <f t="shared" si="23"/>
        <v>1.5</v>
      </c>
      <c r="AT14" s="115" t="s">
        <v>558</v>
      </c>
      <c r="AU14" s="117">
        <v>2.42</v>
      </c>
      <c r="AV14" s="116"/>
      <c r="AW14" s="113" t="s">
        <v>521</v>
      </c>
      <c r="AX14" s="118">
        <f t="shared" si="28"/>
        <v>2.125</v>
      </c>
      <c r="AY14" s="118">
        <f t="shared" si="29"/>
        <v>2.75</v>
      </c>
      <c r="AZ14" s="118">
        <f t="shared" si="30"/>
        <v>3.375</v>
      </c>
      <c r="BA14" s="119">
        <f t="shared" si="31"/>
        <v>2.125</v>
      </c>
      <c r="BB14" s="119">
        <f t="shared" si="32"/>
        <v>3.375</v>
      </c>
      <c r="BC14" s="92"/>
      <c r="BD14" s="106"/>
      <c r="BE14" s="106"/>
      <c r="BF14" s="106"/>
      <c r="BG14" s="106"/>
      <c r="BH14" s="106"/>
    </row>
    <row r="15" spans="1:60" x14ac:dyDescent="0.25">
      <c r="A15" s="120">
        <v>1633</v>
      </c>
      <c r="B15" s="364"/>
      <c r="C15" s="80" t="s">
        <v>21</v>
      </c>
      <c r="D15" s="82" t="s">
        <v>465</v>
      </c>
      <c r="E15" s="142" t="s">
        <v>374</v>
      </c>
      <c r="F15" s="145">
        <v>130000</v>
      </c>
      <c r="G15" s="145">
        <v>130000</v>
      </c>
      <c r="H15" s="65">
        <v>4</v>
      </c>
      <c r="I15" s="145">
        <v>10</v>
      </c>
      <c r="J15" s="141">
        <f t="shared" si="24"/>
        <v>0.4</v>
      </c>
      <c r="K15" s="290">
        <f t="shared" si="18"/>
        <v>3.6</v>
      </c>
      <c r="L15" s="290">
        <f t="shared" si="19"/>
        <v>4.4000000000000004</v>
      </c>
      <c r="M15" s="140" t="s">
        <v>376</v>
      </c>
      <c r="N15" s="153">
        <v>106200</v>
      </c>
      <c r="O15" s="153">
        <v>112100</v>
      </c>
      <c r="P15" s="121"/>
      <c r="Q15" s="121"/>
      <c r="R15" s="121"/>
      <c r="S15" s="121">
        <f>(N15/G15)*100</f>
        <v>81.692307692307693</v>
      </c>
      <c r="T15" s="121">
        <f t="shared" si="33"/>
        <v>86.230769230769226</v>
      </c>
      <c r="U15" s="121">
        <v>4</v>
      </c>
      <c r="V15" s="121">
        <v>50</v>
      </c>
      <c r="W15" s="154">
        <f t="shared" si="25"/>
        <v>2</v>
      </c>
      <c r="X15" s="294">
        <f t="shared" si="20"/>
        <v>2</v>
      </c>
      <c r="Y15" s="294">
        <f t="shared" si="21"/>
        <v>6</v>
      </c>
      <c r="Z15" s="109" t="s">
        <v>644</v>
      </c>
      <c r="AA15" s="70">
        <v>1</v>
      </c>
      <c r="AB15" s="70">
        <v>1</v>
      </c>
      <c r="AC15" s="70">
        <v>1</v>
      </c>
      <c r="AD15" s="110">
        <v>1.25</v>
      </c>
      <c r="AE15" s="70">
        <v>1</v>
      </c>
      <c r="AF15" s="111">
        <v>2</v>
      </c>
      <c r="AG15" s="70">
        <v>3</v>
      </c>
      <c r="AH15" s="70"/>
      <c r="AI15" s="70"/>
      <c r="AJ15" s="70"/>
      <c r="AK15" s="70"/>
      <c r="AL15" s="110">
        <f t="shared" si="26"/>
        <v>2</v>
      </c>
      <c r="AM15" s="112" t="s">
        <v>992</v>
      </c>
      <c r="AN15" s="116" t="s">
        <v>505</v>
      </c>
      <c r="AO15" s="116">
        <v>1</v>
      </c>
      <c r="AP15" s="116">
        <v>50</v>
      </c>
      <c r="AQ15" s="114">
        <f t="shared" si="27"/>
        <v>0.5</v>
      </c>
      <c r="AR15" s="301">
        <f t="shared" si="22"/>
        <v>0.5</v>
      </c>
      <c r="AS15" s="301">
        <f t="shared" si="23"/>
        <v>1.5</v>
      </c>
      <c r="AT15" s="115" t="s">
        <v>558</v>
      </c>
      <c r="AU15" s="117">
        <v>4</v>
      </c>
      <c r="AV15" s="116">
        <v>2</v>
      </c>
      <c r="AW15" s="113" t="s">
        <v>522</v>
      </c>
      <c r="AX15" s="118">
        <f t="shared" si="28"/>
        <v>2.0249999999999999</v>
      </c>
      <c r="AY15" s="118">
        <f t="shared" si="29"/>
        <v>2.75</v>
      </c>
      <c r="AZ15" s="118">
        <f t="shared" si="30"/>
        <v>3.4750000000000001</v>
      </c>
      <c r="BA15" s="119">
        <f t="shared" si="31"/>
        <v>2.0249999999999999</v>
      </c>
      <c r="BB15" s="119">
        <f t="shared" si="32"/>
        <v>3.4750000000000001</v>
      </c>
      <c r="BC15" s="92"/>
      <c r="BD15" s="106"/>
      <c r="BE15" s="106"/>
      <c r="BF15" s="106"/>
      <c r="BG15" s="106"/>
      <c r="BH15" s="106"/>
    </row>
    <row r="16" spans="1:60" x14ac:dyDescent="0.25">
      <c r="A16" s="120">
        <v>1621</v>
      </c>
      <c r="B16" s="364"/>
      <c r="C16" s="80" t="s">
        <v>22</v>
      </c>
      <c r="D16" s="82" t="s">
        <v>466</v>
      </c>
      <c r="E16" s="142" t="s">
        <v>23</v>
      </c>
      <c r="F16" s="141" t="s">
        <v>24</v>
      </c>
      <c r="G16" s="141">
        <f>(4200000+3900000)/2</f>
        <v>4050000</v>
      </c>
      <c r="H16" s="65">
        <v>1</v>
      </c>
      <c r="I16" s="141">
        <v>10</v>
      </c>
      <c r="J16" s="141">
        <f t="shared" si="24"/>
        <v>0.1</v>
      </c>
      <c r="K16" s="290">
        <f t="shared" si="18"/>
        <v>0.9</v>
      </c>
      <c r="L16" s="290">
        <f t="shared" si="19"/>
        <v>1.1000000000000001</v>
      </c>
      <c r="M16" s="140" t="s">
        <v>260</v>
      </c>
      <c r="N16" s="121">
        <v>200000</v>
      </c>
      <c r="O16" s="180">
        <f>20000*0.95</f>
        <v>19000</v>
      </c>
      <c r="P16" s="121"/>
      <c r="Q16" s="121"/>
      <c r="R16" s="180">
        <f>20000*0.95</f>
        <v>19000</v>
      </c>
      <c r="S16" s="121">
        <f>(N16/G16)*100</f>
        <v>4.9382716049382713</v>
      </c>
      <c r="T16" s="121">
        <f t="shared" si="33"/>
        <v>0.46913580246913578</v>
      </c>
      <c r="U16" s="121">
        <v>2</v>
      </c>
      <c r="V16" s="121">
        <v>25</v>
      </c>
      <c r="W16" s="154">
        <f t="shared" si="25"/>
        <v>0.5</v>
      </c>
      <c r="X16" s="294">
        <f t="shared" si="20"/>
        <v>1.5</v>
      </c>
      <c r="Y16" s="294">
        <f t="shared" si="21"/>
        <v>2.5</v>
      </c>
      <c r="Z16" s="20" t="s">
        <v>639</v>
      </c>
      <c r="AA16" s="70">
        <v>1</v>
      </c>
      <c r="AB16" s="70">
        <v>1</v>
      </c>
      <c r="AC16" s="70">
        <v>1</v>
      </c>
      <c r="AD16" s="110">
        <v>1.25</v>
      </c>
      <c r="AE16" s="70">
        <v>1</v>
      </c>
      <c r="AF16" s="70">
        <v>1</v>
      </c>
      <c r="AG16" s="70">
        <v>1</v>
      </c>
      <c r="AH16" s="70"/>
      <c r="AI16" s="70"/>
      <c r="AJ16" s="70"/>
      <c r="AK16" s="70"/>
      <c r="AL16" s="110">
        <f t="shared" si="26"/>
        <v>1.25</v>
      </c>
      <c r="AM16" s="112" t="s">
        <v>993</v>
      </c>
      <c r="AN16" s="116" t="s">
        <v>505</v>
      </c>
      <c r="AO16" s="116">
        <v>1</v>
      </c>
      <c r="AP16" s="116">
        <v>50</v>
      </c>
      <c r="AQ16" s="114">
        <f t="shared" si="27"/>
        <v>0.5</v>
      </c>
      <c r="AR16" s="301">
        <f t="shared" si="22"/>
        <v>0.5</v>
      </c>
      <c r="AS16" s="301">
        <f t="shared" si="23"/>
        <v>1.5</v>
      </c>
      <c r="AT16" s="115">
        <v>12</v>
      </c>
      <c r="AU16" s="117">
        <v>3</v>
      </c>
      <c r="AV16" s="116">
        <v>2</v>
      </c>
      <c r="AW16" s="113" t="s">
        <v>523</v>
      </c>
      <c r="AX16" s="118">
        <f t="shared" si="28"/>
        <v>1.0375000000000001</v>
      </c>
      <c r="AY16" s="118">
        <f t="shared" si="29"/>
        <v>1.3125</v>
      </c>
      <c r="AZ16" s="118">
        <f t="shared" si="30"/>
        <v>1.5874999999999999</v>
      </c>
      <c r="BA16" s="119">
        <f t="shared" si="31"/>
        <v>1.0375000000000001</v>
      </c>
      <c r="BB16" s="119">
        <f t="shared" si="32"/>
        <v>1.5874999999999999</v>
      </c>
      <c r="BC16" s="92"/>
      <c r="BD16" s="106"/>
      <c r="BE16" s="106"/>
      <c r="BF16" s="106"/>
      <c r="BG16" s="106"/>
      <c r="BH16" s="106"/>
    </row>
    <row r="17" spans="1:60" x14ac:dyDescent="0.25">
      <c r="A17" s="354">
        <v>1611</v>
      </c>
      <c r="B17" s="364"/>
      <c r="C17" s="80" t="s">
        <v>332</v>
      </c>
      <c r="D17" s="82" t="s">
        <v>467</v>
      </c>
      <c r="E17" s="142" t="s">
        <v>337</v>
      </c>
      <c r="F17" s="141" t="s">
        <v>338</v>
      </c>
      <c r="G17" s="141">
        <f>(140000+1100000)/2</f>
        <v>620000</v>
      </c>
      <c r="H17" s="65">
        <v>3</v>
      </c>
      <c r="I17" s="141">
        <v>50</v>
      </c>
      <c r="J17" s="141">
        <f t="shared" si="24"/>
        <v>1.5</v>
      </c>
      <c r="K17" s="290">
        <f t="shared" si="18"/>
        <v>1.5</v>
      </c>
      <c r="L17" s="290">
        <f t="shared" si="19"/>
        <v>4.5</v>
      </c>
      <c r="M17" s="140" t="s">
        <v>308</v>
      </c>
      <c r="N17" s="121">
        <f>200000*0.05</f>
        <v>10000</v>
      </c>
      <c r="O17" s="155">
        <f>20000*0.05</f>
        <v>1000</v>
      </c>
      <c r="P17" s="121"/>
      <c r="Q17" s="121"/>
      <c r="R17" s="155">
        <f>20000*0.05</f>
        <v>1000</v>
      </c>
      <c r="S17" s="121">
        <f>(N17/G17)*100</f>
        <v>1.6129032258064515</v>
      </c>
      <c r="T17" s="121">
        <f t="shared" si="33"/>
        <v>0.16129032258064516</v>
      </c>
      <c r="U17" s="121">
        <v>1</v>
      </c>
      <c r="V17" s="121">
        <v>25</v>
      </c>
      <c r="W17" s="154">
        <f t="shared" si="25"/>
        <v>0.25</v>
      </c>
      <c r="X17" s="294">
        <f t="shared" si="20"/>
        <v>0.75</v>
      </c>
      <c r="Y17" s="294">
        <f t="shared" si="21"/>
        <v>1.25</v>
      </c>
      <c r="Z17" s="109" t="s">
        <v>640</v>
      </c>
      <c r="AA17" s="70">
        <v>1</v>
      </c>
      <c r="AB17" s="70">
        <v>1</v>
      </c>
      <c r="AC17" s="70">
        <v>1</v>
      </c>
      <c r="AD17" s="110">
        <v>1.25</v>
      </c>
      <c r="AE17" s="70">
        <v>1</v>
      </c>
      <c r="AF17" s="111">
        <v>1</v>
      </c>
      <c r="AG17" s="70">
        <v>3</v>
      </c>
      <c r="AH17" s="70"/>
      <c r="AI17" s="70"/>
      <c r="AJ17" s="70"/>
      <c r="AK17" s="70"/>
      <c r="AL17" s="110">
        <v>3</v>
      </c>
      <c r="AM17" s="112" t="s">
        <v>992</v>
      </c>
      <c r="AN17" s="116" t="s">
        <v>505</v>
      </c>
      <c r="AO17" s="144">
        <v>1</v>
      </c>
      <c r="AP17" s="144">
        <v>50</v>
      </c>
      <c r="AQ17" s="114">
        <f t="shared" si="27"/>
        <v>0.5</v>
      </c>
      <c r="AR17" s="301">
        <f t="shared" si="22"/>
        <v>0.5</v>
      </c>
      <c r="AS17" s="301">
        <f t="shared" si="23"/>
        <v>1.5</v>
      </c>
      <c r="AT17" s="182">
        <v>5</v>
      </c>
      <c r="AU17" s="117" t="s">
        <v>382</v>
      </c>
      <c r="AV17" s="116">
        <v>1</v>
      </c>
      <c r="AW17" s="113" t="s">
        <v>524</v>
      </c>
      <c r="AX17" s="118">
        <f t="shared" si="28"/>
        <v>1.4375</v>
      </c>
      <c r="AY17" s="118">
        <f t="shared" si="29"/>
        <v>2</v>
      </c>
      <c r="AZ17" s="118">
        <f t="shared" si="30"/>
        <v>2.5625</v>
      </c>
      <c r="BA17" s="119">
        <f t="shared" si="31"/>
        <v>1.4375</v>
      </c>
      <c r="BB17" s="119">
        <f t="shared" si="32"/>
        <v>2.5625</v>
      </c>
      <c r="BC17" s="92"/>
      <c r="BD17" s="106"/>
      <c r="BE17" s="106"/>
      <c r="BF17" s="106"/>
      <c r="BG17" s="106"/>
      <c r="BH17" s="106"/>
    </row>
    <row r="18" spans="1:60" x14ac:dyDescent="0.25">
      <c r="A18" s="355">
        <v>1614</v>
      </c>
      <c r="B18" s="365"/>
      <c r="C18" s="80" t="s">
        <v>333</v>
      </c>
      <c r="D18" s="82" t="s">
        <v>468</v>
      </c>
      <c r="E18" s="142" t="s">
        <v>339</v>
      </c>
      <c r="F18" s="141" t="s">
        <v>340</v>
      </c>
      <c r="G18" s="141">
        <f>(190000+290000)/2</f>
        <v>240000</v>
      </c>
      <c r="H18" s="65">
        <v>4</v>
      </c>
      <c r="I18" s="141">
        <v>10</v>
      </c>
      <c r="J18" s="141">
        <f t="shared" si="24"/>
        <v>0.4</v>
      </c>
      <c r="K18" s="290">
        <f t="shared" si="18"/>
        <v>3.6</v>
      </c>
      <c r="L18" s="290">
        <f t="shared" si="19"/>
        <v>4.4000000000000004</v>
      </c>
      <c r="M18" s="140" t="s">
        <v>308</v>
      </c>
      <c r="N18" s="121" t="s">
        <v>549</v>
      </c>
      <c r="O18" s="121">
        <v>2200</v>
      </c>
      <c r="P18" s="121">
        <v>2000</v>
      </c>
      <c r="Q18" s="121" t="s">
        <v>549</v>
      </c>
      <c r="R18" s="155">
        <f>20000*0.01</f>
        <v>200</v>
      </c>
      <c r="S18" s="121">
        <v>30</v>
      </c>
      <c r="T18" s="121">
        <f t="shared" si="33"/>
        <v>0.91666666666666663</v>
      </c>
      <c r="U18" s="121">
        <v>2</v>
      </c>
      <c r="V18" s="121">
        <v>25</v>
      </c>
      <c r="W18" s="154">
        <f t="shared" si="25"/>
        <v>0.5</v>
      </c>
      <c r="X18" s="294">
        <f t="shared" si="20"/>
        <v>1.5</v>
      </c>
      <c r="Y18" s="294">
        <f t="shared" si="21"/>
        <v>2.5</v>
      </c>
      <c r="Z18" s="109" t="s">
        <v>674</v>
      </c>
      <c r="AA18" s="70">
        <v>1</v>
      </c>
      <c r="AB18" s="70">
        <v>1</v>
      </c>
      <c r="AC18" s="70">
        <v>1</v>
      </c>
      <c r="AD18" s="110">
        <v>1.25</v>
      </c>
      <c r="AE18" s="70">
        <v>3</v>
      </c>
      <c r="AF18" s="111">
        <v>1</v>
      </c>
      <c r="AG18" s="70">
        <v>2</v>
      </c>
      <c r="AH18" s="70"/>
      <c r="AI18" s="70"/>
      <c r="AJ18" s="70"/>
      <c r="AK18" s="70"/>
      <c r="AL18" s="110">
        <f>MAX(AA18:AF18)</f>
        <v>3</v>
      </c>
      <c r="AM18" s="112" t="s">
        <v>992</v>
      </c>
      <c r="AN18" s="144" t="s">
        <v>354</v>
      </c>
      <c r="AO18" s="144">
        <v>3</v>
      </c>
      <c r="AP18" s="144">
        <v>50</v>
      </c>
      <c r="AQ18" s="114">
        <f t="shared" si="27"/>
        <v>1.5</v>
      </c>
      <c r="AR18" s="301">
        <f t="shared" si="22"/>
        <v>1.5</v>
      </c>
      <c r="AS18" s="301">
        <f t="shared" si="23"/>
        <v>4.5</v>
      </c>
      <c r="AT18" s="115">
        <v>6</v>
      </c>
      <c r="AU18" s="146" t="s">
        <v>384</v>
      </c>
      <c r="AV18" s="147" t="s">
        <v>383</v>
      </c>
      <c r="AW18" s="177" t="s">
        <v>525</v>
      </c>
      <c r="AX18" s="118">
        <f t="shared" si="28"/>
        <v>2.4</v>
      </c>
      <c r="AY18" s="118">
        <f t="shared" si="29"/>
        <v>3</v>
      </c>
      <c r="AZ18" s="118">
        <f t="shared" si="30"/>
        <v>3.6</v>
      </c>
      <c r="BA18" s="119">
        <f t="shared" si="31"/>
        <v>2.4</v>
      </c>
      <c r="BB18" s="119">
        <f t="shared" si="32"/>
        <v>3.6</v>
      </c>
      <c r="BC18" s="92"/>
      <c r="BD18" s="106"/>
      <c r="BE18" s="106"/>
      <c r="BF18" s="106"/>
      <c r="BG18" s="106"/>
      <c r="BH18" s="106"/>
    </row>
    <row r="19" spans="1:60" x14ac:dyDescent="0.25">
      <c r="A19" s="4">
        <v>1711</v>
      </c>
      <c r="B19" s="363" t="s">
        <v>25</v>
      </c>
      <c r="C19" s="80" t="s">
        <v>566</v>
      </c>
      <c r="D19" s="80" t="s">
        <v>469</v>
      </c>
      <c r="E19" s="142" t="s">
        <v>26</v>
      </c>
      <c r="F19" s="145">
        <v>120000</v>
      </c>
      <c r="G19" s="145">
        <v>120000</v>
      </c>
      <c r="H19" s="65">
        <v>4</v>
      </c>
      <c r="I19" s="145">
        <v>10</v>
      </c>
      <c r="J19" s="141">
        <f t="shared" si="24"/>
        <v>0.4</v>
      </c>
      <c r="K19" s="290">
        <f t="shared" si="18"/>
        <v>3.6</v>
      </c>
      <c r="L19" s="290">
        <f t="shared" si="19"/>
        <v>4.4000000000000004</v>
      </c>
      <c r="M19" s="140" t="s">
        <v>260</v>
      </c>
      <c r="N19" s="153">
        <v>100000</v>
      </c>
      <c r="O19" s="153">
        <v>22000</v>
      </c>
      <c r="P19" s="153">
        <v>2000</v>
      </c>
      <c r="Q19" s="121"/>
      <c r="R19" s="121" t="s">
        <v>645</v>
      </c>
      <c r="S19" s="121">
        <f>(N19/G19)*100</f>
        <v>83.333333333333343</v>
      </c>
      <c r="T19" s="121">
        <f t="shared" si="33"/>
        <v>18.333333333333332</v>
      </c>
      <c r="U19" s="121">
        <v>3</v>
      </c>
      <c r="V19" s="121">
        <v>50</v>
      </c>
      <c r="W19" s="154">
        <f t="shared" si="25"/>
        <v>1.5</v>
      </c>
      <c r="X19" s="294">
        <f t="shared" si="20"/>
        <v>1.5</v>
      </c>
      <c r="Y19" s="294">
        <f t="shared" si="21"/>
        <v>4.5</v>
      </c>
      <c r="Z19" s="121" t="s">
        <v>675</v>
      </c>
      <c r="AA19" s="70">
        <v>2</v>
      </c>
      <c r="AB19" s="70">
        <v>1</v>
      </c>
      <c r="AC19" s="70">
        <v>1</v>
      </c>
      <c r="AD19" s="110">
        <v>1.25</v>
      </c>
      <c r="AE19" s="70">
        <v>1</v>
      </c>
      <c r="AF19" s="70">
        <v>1</v>
      </c>
      <c r="AG19" s="70">
        <v>3</v>
      </c>
      <c r="AH19" s="70">
        <v>3</v>
      </c>
      <c r="AI19" s="70"/>
      <c r="AJ19" s="70"/>
      <c r="AK19" s="70"/>
      <c r="AL19" s="110">
        <v>3</v>
      </c>
      <c r="AM19" s="112" t="s">
        <v>994</v>
      </c>
      <c r="AN19" s="116" t="s">
        <v>348</v>
      </c>
      <c r="AO19" s="116">
        <v>5</v>
      </c>
      <c r="AP19" s="116">
        <v>50</v>
      </c>
      <c r="AQ19" s="114">
        <f t="shared" si="27"/>
        <v>2.5</v>
      </c>
      <c r="AR19" s="301">
        <f t="shared" si="22"/>
        <v>2.5</v>
      </c>
      <c r="AS19" s="301">
        <f t="shared" si="23"/>
        <v>7.5</v>
      </c>
      <c r="AT19" s="115">
        <v>40</v>
      </c>
      <c r="AU19" s="117">
        <v>1</v>
      </c>
      <c r="AV19" s="116">
        <v>5</v>
      </c>
      <c r="AW19" s="113" t="s">
        <v>531</v>
      </c>
      <c r="AX19" s="118">
        <f>(K19+X19+AL19+AR19)/4</f>
        <v>2.65</v>
      </c>
      <c r="AY19" s="118">
        <f t="shared" si="29"/>
        <v>3.75</v>
      </c>
      <c r="AZ19" s="118">
        <f t="shared" si="30"/>
        <v>4.8499999999999996</v>
      </c>
      <c r="BA19" s="119">
        <f t="shared" si="31"/>
        <v>2.65</v>
      </c>
      <c r="BB19" s="119">
        <f t="shared" si="32"/>
        <v>4.8499999999999996</v>
      </c>
      <c r="BC19" s="92"/>
      <c r="BD19" s="106"/>
      <c r="BE19" s="106"/>
      <c r="BF19" s="106"/>
      <c r="BG19" s="106"/>
      <c r="BH19" s="106"/>
    </row>
    <row r="20" spans="1:60" x14ac:dyDescent="0.25">
      <c r="A20" s="120">
        <v>1709</v>
      </c>
      <c r="B20" s="364"/>
      <c r="C20" s="80" t="s">
        <v>29</v>
      </c>
      <c r="D20" s="80" t="s">
        <v>457</v>
      </c>
      <c r="E20" s="142" t="s">
        <v>30</v>
      </c>
      <c r="F20" s="145">
        <v>1180000</v>
      </c>
      <c r="G20" s="145">
        <v>1180000</v>
      </c>
      <c r="H20" s="65">
        <v>2</v>
      </c>
      <c r="I20" s="145">
        <v>10</v>
      </c>
      <c r="J20" s="141">
        <f t="shared" si="24"/>
        <v>0.2</v>
      </c>
      <c r="K20" s="290">
        <f t="shared" si="18"/>
        <v>1.8</v>
      </c>
      <c r="L20" s="290">
        <f t="shared" si="19"/>
        <v>2.2000000000000002</v>
      </c>
      <c r="M20" s="140" t="s">
        <v>260</v>
      </c>
      <c r="N20" s="153" t="s">
        <v>549</v>
      </c>
      <c r="O20" s="153" t="s">
        <v>549</v>
      </c>
      <c r="P20" s="153" t="s">
        <v>549</v>
      </c>
      <c r="Q20" s="153" t="s">
        <v>549</v>
      </c>
      <c r="R20" s="153" t="s">
        <v>549</v>
      </c>
      <c r="S20" s="121"/>
      <c r="T20" s="121"/>
      <c r="U20" s="121">
        <v>1</v>
      </c>
      <c r="V20" s="121">
        <v>10</v>
      </c>
      <c r="W20" s="154">
        <f t="shared" si="25"/>
        <v>0.1</v>
      </c>
      <c r="X20" s="294">
        <f t="shared" si="20"/>
        <v>0.9</v>
      </c>
      <c r="Y20" s="294">
        <f t="shared" si="21"/>
        <v>1.1000000000000001</v>
      </c>
      <c r="Z20" s="109" t="s">
        <v>598</v>
      </c>
      <c r="AA20" s="70">
        <v>2</v>
      </c>
      <c r="AB20" s="70">
        <v>1</v>
      </c>
      <c r="AC20" s="70">
        <v>1</v>
      </c>
      <c r="AD20" s="110">
        <v>1.25</v>
      </c>
      <c r="AE20" s="70">
        <v>1</v>
      </c>
      <c r="AF20" s="70">
        <v>1</v>
      </c>
      <c r="AG20" s="70">
        <v>1</v>
      </c>
      <c r="AH20" s="70">
        <v>3</v>
      </c>
      <c r="AI20" s="70"/>
      <c r="AJ20" s="70"/>
      <c r="AK20" s="70"/>
      <c r="AL20" s="110">
        <v>3</v>
      </c>
      <c r="AM20" s="112" t="s">
        <v>994</v>
      </c>
      <c r="AN20" s="116" t="s">
        <v>385</v>
      </c>
      <c r="AO20" s="116">
        <v>5</v>
      </c>
      <c r="AP20" s="116">
        <v>10</v>
      </c>
      <c r="AQ20" s="114">
        <f t="shared" si="27"/>
        <v>0.5</v>
      </c>
      <c r="AR20" s="301">
        <f t="shared" si="22"/>
        <v>4.5</v>
      </c>
      <c r="AS20" s="301">
        <f t="shared" si="23"/>
        <v>5.5</v>
      </c>
      <c r="AT20" s="115">
        <v>55</v>
      </c>
      <c r="AU20" s="117">
        <v>1</v>
      </c>
      <c r="AV20" s="182">
        <v>8.5</v>
      </c>
      <c r="AW20" s="113" t="s">
        <v>1064</v>
      </c>
      <c r="AX20" s="118">
        <f t="shared" si="28"/>
        <v>2.5499999999999998</v>
      </c>
      <c r="AY20" s="118">
        <f t="shared" si="29"/>
        <v>2.75</v>
      </c>
      <c r="AZ20" s="118">
        <f t="shared" si="30"/>
        <v>2.95</v>
      </c>
      <c r="BA20" s="119">
        <f t="shared" si="31"/>
        <v>2.5499999999999998</v>
      </c>
      <c r="BB20" s="119">
        <f t="shared" si="32"/>
        <v>2.95</v>
      </c>
      <c r="BC20" s="92"/>
      <c r="BD20" s="106"/>
      <c r="BE20" s="106"/>
      <c r="BF20" s="106"/>
      <c r="BG20" s="106"/>
      <c r="BH20" s="106"/>
    </row>
    <row r="21" spans="1:60" x14ac:dyDescent="0.25">
      <c r="A21" s="120">
        <v>1712</v>
      </c>
      <c r="B21" s="364"/>
      <c r="C21" s="80" t="s">
        <v>290</v>
      </c>
      <c r="D21" s="98" t="s">
        <v>470</v>
      </c>
      <c r="E21" s="142" t="s">
        <v>297</v>
      </c>
      <c r="F21" s="145" t="s">
        <v>295</v>
      </c>
      <c r="G21" s="145">
        <v>2350</v>
      </c>
      <c r="H21" s="65">
        <v>5</v>
      </c>
      <c r="I21" s="145">
        <v>10</v>
      </c>
      <c r="J21" s="141">
        <f t="shared" si="24"/>
        <v>0.5</v>
      </c>
      <c r="K21" s="290">
        <f t="shared" si="18"/>
        <v>4.5</v>
      </c>
      <c r="L21" s="290">
        <f t="shared" si="19"/>
        <v>5.5</v>
      </c>
      <c r="M21" s="140" t="s">
        <v>296</v>
      </c>
      <c r="N21" s="153" t="s">
        <v>549</v>
      </c>
      <c r="O21" s="153" t="s">
        <v>549</v>
      </c>
      <c r="P21" s="153" t="s">
        <v>549</v>
      </c>
      <c r="Q21" s="153" t="s">
        <v>549</v>
      </c>
      <c r="R21" s="153" t="s">
        <v>549</v>
      </c>
      <c r="S21" s="121"/>
      <c r="T21" s="121">
        <v>12</v>
      </c>
      <c r="U21" s="121">
        <v>2</v>
      </c>
      <c r="V21" s="121">
        <v>25</v>
      </c>
      <c r="W21" s="154">
        <f t="shared" si="25"/>
        <v>0.5</v>
      </c>
      <c r="X21" s="294">
        <f t="shared" si="20"/>
        <v>1.5</v>
      </c>
      <c r="Y21" s="294">
        <f t="shared" si="21"/>
        <v>2.5</v>
      </c>
      <c r="Z21" s="121" t="s">
        <v>652</v>
      </c>
      <c r="AA21" s="70">
        <v>3</v>
      </c>
      <c r="AB21" s="70">
        <v>5</v>
      </c>
      <c r="AC21" s="70">
        <v>1</v>
      </c>
      <c r="AD21" s="110">
        <v>1.25</v>
      </c>
      <c r="AE21" s="70">
        <v>5</v>
      </c>
      <c r="AF21" s="70">
        <v>1</v>
      </c>
      <c r="AG21" s="70">
        <v>4</v>
      </c>
      <c r="AH21" s="70"/>
      <c r="AI21" s="70">
        <v>4</v>
      </c>
      <c r="AJ21" s="70"/>
      <c r="AK21" s="70"/>
      <c r="AL21" s="110">
        <f>MAX(AA21:AF21)</f>
        <v>5</v>
      </c>
      <c r="AM21" s="112" t="s">
        <v>995</v>
      </c>
      <c r="AN21" s="116" t="s">
        <v>506</v>
      </c>
      <c r="AO21" s="116">
        <v>5</v>
      </c>
      <c r="AP21" s="116">
        <v>50</v>
      </c>
      <c r="AQ21" s="114">
        <f t="shared" si="27"/>
        <v>2.5</v>
      </c>
      <c r="AR21" s="301">
        <f t="shared" si="22"/>
        <v>2.5</v>
      </c>
      <c r="AS21" s="301">
        <f t="shared" si="23"/>
        <v>7.5</v>
      </c>
      <c r="AT21" s="115" t="s">
        <v>559</v>
      </c>
      <c r="AU21" s="117">
        <v>1</v>
      </c>
      <c r="AV21" s="116" t="s">
        <v>559</v>
      </c>
      <c r="AW21" s="113" t="s">
        <v>1065</v>
      </c>
      <c r="AX21" s="118">
        <f t="shared" si="28"/>
        <v>3.375</v>
      </c>
      <c r="AY21" s="118">
        <f t="shared" si="29"/>
        <v>4.25</v>
      </c>
      <c r="AZ21" s="118">
        <f t="shared" si="30"/>
        <v>5.125</v>
      </c>
      <c r="BA21" s="119">
        <f t="shared" si="31"/>
        <v>3.375</v>
      </c>
      <c r="BB21" s="119">
        <f t="shared" si="32"/>
        <v>5.125</v>
      </c>
      <c r="BC21" s="92"/>
      <c r="BD21" s="106"/>
      <c r="BE21" s="106"/>
      <c r="BF21" s="106"/>
      <c r="BG21" s="106"/>
      <c r="BH21" s="106"/>
    </row>
    <row r="22" spans="1:60" x14ac:dyDescent="0.25">
      <c r="A22" s="120">
        <v>1815</v>
      </c>
      <c r="B22" s="364"/>
      <c r="C22" s="80" t="s">
        <v>567</v>
      </c>
      <c r="D22" s="98" t="s">
        <v>471</v>
      </c>
      <c r="E22" s="347" t="s">
        <v>1019</v>
      </c>
      <c r="F22" s="145">
        <v>2500000</v>
      </c>
      <c r="G22" s="145">
        <v>2500000</v>
      </c>
      <c r="H22" s="65">
        <v>2</v>
      </c>
      <c r="I22" s="145">
        <v>10</v>
      </c>
      <c r="J22" s="141">
        <f t="shared" si="24"/>
        <v>0.2</v>
      </c>
      <c r="K22" s="290">
        <f t="shared" si="18"/>
        <v>1.8</v>
      </c>
      <c r="L22" s="290">
        <f t="shared" si="19"/>
        <v>2.2000000000000002</v>
      </c>
      <c r="M22" s="140" t="s">
        <v>260</v>
      </c>
      <c r="N22" s="153" t="s">
        <v>549</v>
      </c>
      <c r="O22" s="153" t="s">
        <v>549</v>
      </c>
      <c r="P22" s="153" t="s">
        <v>549</v>
      </c>
      <c r="Q22" s="153" t="s">
        <v>549</v>
      </c>
      <c r="R22" s="153" t="s">
        <v>549</v>
      </c>
      <c r="S22" s="121"/>
      <c r="T22" s="121"/>
      <c r="U22" s="121">
        <v>2</v>
      </c>
      <c r="V22" s="121">
        <v>50</v>
      </c>
      <c r="W22" s="154">
        <f t="shared" si="25"/>
        <v>1</v>
      </c>
      <c r="X22" s="294">
        <f t="shared" si="20"/>
        <v>1</v>
      </c>
      <c r="Y22" s="294">
        <f t="shared" si="21"/>
        <v>3</v>
      </c>
      <c r="Z22" s="109" t="s">
        <v>676</v>
      </c>
      <c r="AA22" s="70">
        <v>3</v>
      </c>
      <c r="AB22" s="70">
        <v>1</v>
      </c>
      <c r="AC22" s="70">
        <v>1</v>
      </c>
      <c r="AD22" s="110">
        <v>1.25</v>
      </c>
      <c r="AE22" s="70">
        <v>1</v>
      </c>
      <c r="AF22" s="70">
        <v>1</v>
      </c>
      <c r="AG22" s="70">
        <v>1</v>
      </c>
      <c r="AH22" s="70"/>
      <c r="AI22" s="70"/>
      <c r="AJ22" s="70"/>
      <c r="AK22" s="70">
        <v>1</v>
      </c>
      <c r="AL22" s="110">
        <f>MAX(AA22:AF22)</f>
        <v>3</v>
      </c>
      <c r="AM22" s="112" t="s">
        <v>996</v>
      </c>
      <c r="AN22" s="116" t="s">
        <v>506</v>
      </c>
      <c r="AO22" s="116">
        <v>5</v>
      </c>
      <c r="AP22" s="116">
        <v>50</v>
      </c>
      <c r="AQ22" s="114">
        <f t="shared" si="27"/>
        <v>2.5</v>
      </c>
      <c r="AR22" s="301">
        <f t="shared" si="22"/>
        <v>2.5</v>
      </c>
      <c r="AS22" s="301">
        <f t="shared" si="23"/>
        <v>7.5</v>
      </c>
      <c r="AT22" s="115" t="s">
        <v>559</v>
      </c>
      <c r="AU22" s="117">
        <v>1</v>
      </c>
      <c r="AV22" s="116" t="s">
        <v>559</v>
      </c>
      <c r="AW22" s="113" t="s">
        <v>1066</v>
      </c>
      <c r="AX22" s="118">
        <f t="shared" si="28"/>
        <v>2.0750000000000002</v>
      </c>
      <c r="AY22" s="118">
        <f t="shared" si="29"/>
        <v>3</v>
      </c>
      <c r="AZ22" s="118">
        <f t="shared" si="30"/>
        <v>3.9249999999999998</v>
      </c>
      <c r="BA22" s="119">
        <f t="shared" si="31"/>
        <v>2.0750000000000002</v>
      </c>
      <c r="BB22" s="119">
        <f t="shared" si="32"/>
        <v>3.9249999999999998</v>
      </c>
      <c r="BC22" s="92"/>
      <c r="BD22" s="106"/>
      <c r="BE22" s="106"/>
      <c r="BF22" s="106"/>
      <c r="BG22" s="106"/>
      <c r="BH22" s="106"/>
    </row>
    <row r="23" spans="1:60" x14ac:dyDescent="0.25">
      <c r="A23" s="120">
        <v>1729</v>
      </c>
      <c r="B23" s="364"/>
      <c r="C23" s="80" t="s">
        <v>34</v>
      </c>
      <c r="D23" s="98" t="s">
        <v>472</v>
      </c>
      <c r="E23" s="142" t="s">
        <v>35</v>
      </c>
      <c r="F23" s="141" t="s">
        <v>595</v>
      </c>
      <c r="G23" s="141">
        <f>(1200000+1100000)/2</f>
        <v>1150000</v>
      </c>
      <c r="H23" s="65">
        <v>3</v>
      </c>
      <c r="I23" s="141">
        <v>25</v>
      </c>
      <c r="J23" s="141">
        <f t="shared" si="24"/>
        <v>0.75</v>
      </c>
      <c r="K23" s="290">
        <f t="shared" si="18"/>
        <v>2.25</v>
      </c>
      <c r="L23" s="290">
        <f t="shared" si="19"/>
        <v>3.75</v>
      </c>
      <c r="M23" s="140" t="s">
        <v>282</v>
      </c>
      <c r="N23" s="153" t="s">
        <v>549</v>
      </c>
      <c r="O23" s="153" t="s">
        <v>549</v>
      </c>
      <c r="P23" s="153" t="s">
        <v>549</v>
      </c>
      <c r="Q23" s="153" t="s">
        <v>549</v>
      </c>
      <c r="R23" s="153" t="s">
        <v>549</v>
      </c>
      <c r="S23" s="121"/>
      <c r="T23" s="121"/>
      <c r="U23" s="121">
        <v>1</v>
      </c>
      <c r="V23" s="121"/>
      <c r="W23" s="154">
        <f t="shared" si="25"/>
        <v>0</v>
      </c>
      <c r="X23" s="294">
        <f t="shared" si="20"/>
        <v>1</v>
      </c>
      <c r="Y23" s="294">
        <f t="shared" si="21"/>
        <v>1</v>
      </c>
      <c r="Z23" s="109" t="s">
        <v>650</v>
      </c>
      <c r="AA23" s="70">
        <v>1</v>
      </c>
      <c r="AB23" s="70">
        <v>1</v>
      </c>
      <c r="AC23" s="70">
        <v>1</v>
      </c>
      <c r="AD23" s="110">
        <v>1.25</v>
      </c>
      <c r="AE23" s="70">
        <v>1</v>
      </c>
      <c r="AF23" s="70">
        <v>1</v>
      </c>
      <c r="AG23" s="70">
        <v>1</v>
      </c>
      <c r="AH23" s="70"/>
      <c r="AI23" s="70"/>
      <c r="AJ23" s="70"/>
      <c r="AK23" s="70"/>
      <c r="AL23" s="110">
        <f>MAX(AA23:AF23)</f>
        <v>1.25</v>
      </c>
      <c r="AM23" s="112" t="s">
        <v>992</v>
      </c>
      <c r="AN23" s="116" t="s">
        <v>349</v>
      </c>
      <c r="AO23" s="116">
        <v>5</v>
      </c>
      <c r="AP23" s="116">
        <v>10</v>
      </c>
      <c r="AQ23" s="114">
        <f t="shared" si="27"/>
        <v>0.5</v>
      </c>
      <c r="AR23" s="301">
        <f t="shared" si="22"/>
        <v>4.5</v>
      </c>
      <c r="AS23" s="301">
        <f t="shared" si="23"/>
        <v>5.5</v>
      </c>
      <c r="AT23" s="115">
        <v>36</v>
      </c>
      <c r="AU23" s="117">
        <v>1</v>
      </c>
      <c r="AV23" s="116">
        <v>4</v>
      </c>
      <c r="AW23" s="113" t="s">
        <v>1066</v>
      </c>
      <c r="AX23" s="118">
        <f t="shared" si="28"/>
        <v>2.25</v>
      </c>
      <c r="AY23" s="118">
        <f t="shared" si="29"/>
        <v>2.5625</v>
      </c>
      <c r="AZ23" s="118">
        <f t="shared" si="30"/>
        <v>2.875</v>
      </c>
      <c r="BA23" s="119">
        <f t="shared" si="31"/>
        <v>2.25</v>
      </c>
      <c r="BB23" s="119">
        <f t="shared" si="32"/>
        <v>2.875</v>
      </c>
      <c r="BC23" s="92"/>
      <c r="BD23" s="106"/>
      <c r="BE23" s="106"/>
      <c r="BF23" s="106"/>
      <c r="BG23" s="106"/>
      <c r="BH23" s="106"/>
    </row>
    <row r="24" spans="1:60" x14ac:dyDescent="0.25">
      <c r="A24" s="120">
        <v>1810</v>
      </c>
      <c r="B24" s="364"/>
      <c r="C24" s="80" t="s">
        <v>568</v>
      </c>
      <c r="D24" s="98" t="s">
        <v>458</v>
      </c>
      <c r="E24" s="347" t="s">
        <v>1023</v>
      </c>
      <c r="F24" s="145" t="s">
        <v>550</v>
      </c>
      <c r="G24" s="145">
        <f>(56000+40000)/2</f>
        <v>48000</v>
      </c>
      <c r="H24" s="65">
        <v>5</v>
      </c>
      <c r="I24" s="145">
        <v>10</v>
      </c>
      <c r="J24" s="141">
        <f t="shared" si="24"/>
        <v>0.5</v>
      </c>
      <c r="K24" s="290">
        <f t="shared" si="18"/>
        <v>4.5</v>
      </c>
      <c r="L24" s="290">
        <f t="shared" si="19"/>
        <v>5.5</v>
      </c>
      <c r="M24" s="140" t="s">
        <v>551</v>
      </c>
      <c r="N24" s="153" t="s">
        <v>549</v>
      </c>
      <c r="O24" s="153" t="s">
        <v>549</v>
      </c>
      <c r="P24" s="153" t="s">
        <v>549</v>
      </c>
      <c r="Q24" s="153" t="s">
        <v>549</v>
      </c>
      <c r="R24" s="153" t="s">
        <v>549</v>
      </c>
      <c r="S24" s="121"/>
      <c r="T24" s="121">
        <v>20</v>
      </c>
      <c r="U24" s="121">
        <v>2</v>
      </c>
      <c r="V24" s="121">
        <v>25</v>
      </c>
      <c r="W24" s="154">
        <f t="shared" si="25"/>
        <v>0.5</v>
      </c>
      <c r="X24" s="294">
        <f t="shared" si="20"/>
        <v>1.5</v>
      </c>
      <c r="Y24" s="294">
        <f t="shared" si="21"/>
        <v>2.5</v>
      </c>
      <c r="Z24" s="109" t="s">
        <v>648</v>
      </c>
      <c r="AA24" s="70">
        <v>3</v>
      </c>
      <c r="AB24" s="70">
        <v>1</v>
      </c>
      <c r="AC24" s="70">
        <v>1</v>
      </c>
      <c r="AD24" s="110">
        <v>1.25</v>
      </c>
      <c r="AE24" s="70">
        <v>1</v>
      </c>
      <c r="AF24" s="70">
        <v>1</v>
      </c>
      <c r="AG24" s="70">
        <v>4</v>
      </c>
      <c r="AH24" s="70">
        <v>2</v>
      </c>
      <c r="AI24" s="70"/>
      <c r="AJ24" s="70">
        <v>4</v>
      </c>
      <c r="AK24" s="70"/>
      <c r="AL24" s="110">
        <v>4</v>
      </c>
      <c r="AM24" s="112" t="s">
        <v>997</v>
      </c>
      <c r="AN24" s="116" t="s">
        <v>506</v>
      </c>
      <c r="AO24" s="116">
        <v>5</v>
      </c>
      <c r="AP24" s="116">
        <v>50</v>
      </c>
      <c r="AQ24" s="114">
        <f t="shared" si="27"/>
        <v>2.5</v>
      </c>
      <c r="AR24" s="301">
        <f t="shared" si="22"/>
        <v>2.5</v>
      </c>
      <c r="AS24" s="301">
        <f t="shared" si="23"/>
        <v>7.5</v>
      </c>
      <c r="AT24" s="115" t="s">
        <v>559</v>
      </c>
      <c r="AU24" s="117">
        <v>1</v>
      </c>
      <c r="AV24" s="116" t="s">
        <v>559</v>
      </c>
      <c r="AW24" s="113" t="s">
        <v>1066</v>
      </c>
      <c r="AX24" s="118">
        <f t="shared" si="28"/>
        <v>3.125</v>
      </c>
      <c r="AY24" s="118">
        <f t="shared" si="29"/>
        <v>4</v>
      </c>
      <c r="AZ24" s="118">
        <f t="shared" si="30"/>
        <v>4.875</v>
      </c>
      <c r="BA24" s="119">
        <f t="shared" si="31"/>
        <v>3.125</v>
      </c>
      <c r="BB24" s="119">
        <f t="shared" si="32"/>
        <v>4.875</v>
      </c>
      <c r="BC24" s="92"/>
      <c r="BD24" s="106"/>
      <c r="BE24" s="106"/>
      <c r="BF24" s="106"/>
      <c r="BG24" s="106"/>
      <c r="BH24" s="106"/>
    </row>
    <row r="25" spans="1:60" x14ac:dyDescent="0.25">
      <c r="A25" s="120">
        <v>1811</v>
      </c>
      <c r="B25" s="364"/>
      <c r="C25" s="80" t="s">
        <v>569</v>
      </c>
      <c r="D25" s="98" t="s">
        <v>473</v>
      </c>
      <c r="E25" s="347" t="s">
        <v>1021</v>
      </c>
      <c r="F25" s="145">
        <v>650000</v>
      </c>
      <c r="G25" s="145">
        <v>650000</v>
      </c>
      <c r="H25" s="65">
        <v>3</v>
      </c>
      <c r="I25" s="145">
        <v>10</v>
      </c>
      <c r="J25" s="141">
        <f t="shared" si="24"/>
        <v>0.30000000000000004</v>
      </c>
      <c r="K25" s="290">
        <f t="shared" si="18"/>
        <v>2.7</v>
      </c>
      <c r="L25" s="290">
        <f t="shared" si="19"/>
        <v>3.3</v>
      </c>
      <c r="M25" s="140" t="s">
        <v>260</v>
      </c>
      <c r="N25" s="153" t="s">
        <v>549</v>
      </c>
      <c r="O25" s="153" t="s">
        <v>549</v>
      </c>
      <c r="P25" s="153" t="s">
        <v>549</v>
      </c>
      <c r="Q25" s="153" t="s">
        <v>549</v>
      </c>
      <c r="R25" s="153" t="s">
        <v>549</v>
      </c>
      <c r="S25" s="121"/>
      <c r="T25" s="121"/>
      <c r="U25" s="121">
        <v>1</v>
      </c>
      <c r="V25" s="121">
        <v>50</v>
      </c>
      <c r="W25" s="154">
        <f t="shared" si="25"/>
        <v>0.5</v>
      </c>
      <c r="X25" s="294">
        <f t="shared" si="20"/>
        <v>0.5</v>
      </c>
      <c r="Y25" s="294">
        <f t="shared" si="21"/>
        <v>1.5</v>
      </c>
      <c r="Z25" s="109" t="s">
        <v>647</v>
      </c>
      <c r="AA25" s="70">
        <v>1</v>
      </c>
      <c r="AB25" s="70">
        <v>1</v>
      </c>
      <c r="AC25" s="70">
        <v>1</v>
      </c>
      <c r="AD25" s="110">
        <v>1.25</v>
      </c>
      <c r="AE25" s="70">
        <v>1</v>
      </c>
      <c r="AF25" s="70">
        <v>1</v>
      </c>
      <c r="AG25" s="70">
        <v>1</v>
      </c>
      <c r="AH25" s="70"/>
      <c r="AI25" s="70"/>
      <c r="AJ25" s="70"/>
      <c r="AK25" s="70">
        <v>3</v>
      </c>
      <c r="AL25" s="110">
        <f>MAX(AA25:AK25)</f>
        <v>3</v>
      </c>
      <c r="AM25" s="112" t="s">
        <v>996</v>
      </c>
      <c r="AN25" s="116" t="s">
        <v>506</v>
      </c>
      <c r="AO25" s="116">
        <v>5</v>
      </c>
      <c r="AP25" s="116">
        <v>50</v>
      </c>
      <c r="AQ25" s="114">
        <f t="shared" si="27"/>
        <v>2.5</v>
      </c>
      <c r="AR25" s="301">
        <f t="shared" si="22"/>
        <v>2.5</v>
      </c>
      <c r="AS25" s="301">
        <f t="shared" si="23"/>
        <v>7.5</v>
      </c>
      <c r="AT25" s="115" t="s">
        <v>559</v>
      </c>
      <c r="AU25" s="117">
        <v>1</v>
      </c>
      <c r="AV25" s="116" t="s">
        <v>559</v>
      </c>
      <c r="AW25" s="113" t="s">
        <v>1066</v>
      </c>
      <c r="AX25" s="118">
        <f t="shared" si="28"/>
        <v>2.1749999999999998</v>
      </c>
      <c r="AY25" s="118">
        <f t="shared" si="29"/>
        <v>3</v>
      </c>
      <c r="AZ25" s="118">
        <f t="shared" si="30"/>
        <v>3.8250000000000002</v>
      </c>
      <c r="BA25" s="119">
        <f t="shared" si="31"/>
        <v>2.1749999999999998</v>
      </c>
      <c r="BB25" s="119">
        <f t="shared" si="32"/>
        <v>3.8250000000000002</v>
      </c>
      <c r="BC25" s="92"/>
      <c r="BD25" s="106"/>
      <c r="BE25" s="106"/>
      <c r="BF25" s="106"/>
      <c r="BG25" s="106"/>
      <c r="BH25" s="106"/>
    </row>
    <row r="26" spans="1:60" x14ac:dyDescent="0.25">
      <c r="A26" s="120">
        <v>1817</v>
      </c>
      <c r="B26" s="364"/>
      <c r="C26" s="80" t="s">
        <v>570</v>
      </c>
      <c r="D26" s="98" t="s">
        <v>474</v>
      </c>
      <c r="E26" s="347" t="s">
        <v>1020</v>
      </c>
      <c r="F26" s="145">
        <v>23000000</v>
      </c>
      <c r="G26" s="145">
        <v>23000000</v>
      </c>
      <c r="H26" s="65">
        <v>1</v>
      </c>
      <c r="I26" s="145">
        <v>10</v>
      </c>
      <c r="J26" s="141">
        <f t="shared" si="24"/>
        <v>0.1</v>
      </c>
      <c r="K26" s="290">
        <f t="shared" si="18"/>
        <v>0.9</v>
      </c>
      <c r="L26" s="290">
        <f t="shared" si="19"/>
        <v>1.1000000000000001</v>
      </c>
      <c r="M26" s="140" t="s">
        <v>260</v>
      </c>
      <c r="N26" s="121">
        <v>30000</v>
      </c>
      <c r="O26" s="121">
        <v>10000</v>
      </c>
      <c r="P26" s="121"/>
      <c r="Q26" s="121"/>
      <c r="R26" s="121" t="s">
        <v>649</v>
      </c>
      <c r="S26" s="121">
        <f>(N26/G26)*100</f>
        <v>0.13043478260869568</v>
      </c>
      <c r="T26" s="121">
        <f>(O26/G26)*100</f>
        <v>4.3478260869565216E-2</v>
      </c>
      <c r="U26" s="121">
        <v>1</v>
      </c>
      <c r="V26" s="121">
        <v>25</v>
      </c>
      <c r="W26" s="154">
        <f t="shared" si="25"/>
        <v>0.25</v>
      </c>
      <c r="X26" s="294">
        <f t="shared" si="20"/>
        <v>0.75</v>
      </c>
      <c r="Y26" s="294">
        <f t="shared" si="21"/>
        <v>1.25</v>
      </c>
      <c r="Z26" s="109" t="s">
        <v>677</v>
      </c>
      <c r="AA26" s="70">
        <v>1</v>
      </c>
      <c r="AB26" s="70">
        <v>1</v>
      </c>
      <c r="AC26" s="70">
        <v>1</v>
      </c>
      <c r="AD26" s="110">
        <v>1.25</v>
      </c>
      <c r="AE26" s="70">
        <v>1</v>
      </c>
      <c r="AF26" s="70">
        <v>1</v>
      </c>
      <c r="AG26" s="70">
        <v>1</v>
      </c>
      <c r="AH26" s="70"/>
      <c r="AI26" s="70"/>
      <c r="AJ26" s="70"/>
      <c r="AK26" s="70"/>
      <c r="AL26" s="110">
        <f>MAX(AA26:AF26)</f>
        <v>1.25</v>
      </c>
      <c r="AM26" s="112" t="s">
        <v>992</v>
      </c>
      <c r="AN26" s="116" t="s">
        <v>506</v>
      </c>
      <c r="AO26" s="116">
        <v>5</v>
      </c>
      <c r="AP26" s="116">
        <v>50</v>
      </c>
      <c r="AQ26" s="114">
        <f t="shared" si="27"/>
        <v>2.5</v>
      </c>
      <c r="AR26" s="301">
        <f t="shared" si="22"/>
        <v>2.5</v>
      </c>
      <c r="AS26" s="301">
        <f t="shared" si="23"/>
        <v>7.5</v>
      </c>
      <c r="AT26" s="115" t="s">
        <v>559</v>
      </c>
      <c r="AU26" s="117">
        <v>1</v>
      </c>
      <c r="AV26" s="116" t="s">
        <v>559</v>
      </c>
      <c r="AW26" s="113" t="s">
        <v>1066</v>
      </c>
      <c r="AX26" s="118">
        <f t="shared" si="28"/>
        <v>1.35</v>
      </c>
      <c r="AY26" s="118">
        <f t="shared" si="29"/>
        <v>2.0625</v>
      </c>
      <c r="AZ26" s="118">
        <f t="shared" si="30"/>
        <v>2.7749999999999999</v>
      </c>
      <c r="BA26" s="119">
        <f t="shared" si="31"/>
        <v>1.35</v>
      </c>
      <c r="BB26" s="119">
        <f t="shared" si="32"/>
        <v>2.7749999999999999</v>
      </c>
      <c r="BC26" s="92"/>
      <c r="BD26" s="106"/>
      <c r="BE26" s="106"/>
      <c r="BF26" s="106"/>
      <c r="BG26" s="106"/>
      <c r="BH26" s="106"/>
    </row>
    <row r="27" spans="1:60" x14ac:dyDescent="0.25">
      <c r="A27" s="358">
        <v>1816</v>
      </c>
      <c r="B27" s="364"/>
      <c r="C27" s="80" t="s">
        <v>36</v>
      </c>
      <c r="D27" s="98" t="s">
        <v>459</v>
      </c>
      <c r="E27" s="347" t="s">
        <v>1022</v>
      </c>
      <c r="F27" s="145">
        <v>20000000</v>
      </c>
      <c r="G27" s="145">
        <v>20000000</v>
      </c>
      <c r="H27" s="65">
        <v>1</v>
      </c>
      <c r="I27" s="145">
        <v>10</v>
      </c>
      <c r="J27" s="141">
        <f t="shared" si="24"/>
        <v>0.1</v>
      </c>
      <c r="K27" s="290">
        <f t="shared" si="18"/>
        <v>0.9</v>
      </c>
      <c r="L27" s="290">
        <f t="shared" si="19"/>
        <v>1.1000000000000001</v>
      </c>
      <c r="M27" s="108" t="s">
        <v>260</v>
      </c>
      <c r="N27" s="121">
        <v>7000000</v>
      </c>
      <c r="O27" s="121">
        <f>2200000+2700000</f>
        <v>4900000</v>
      </c>
      <c r="P27" s="121"/>
      <c r="Q27" s="121">
        <v>2200000</v>
      </c>
      <c r="R27" s="121" t="s">
        <v>641</v>
      </c>
      <c r="S27" s="121">
        <f>(N27/G27)*100</f>
        <v>35</v>
      </c>
      <c r="T27" s="121">
        <f>(O27/G27)*100</f>
        <v>24.5</v>
      </c>
      <c r="U27" s="121">
        <v>3</v>
      </c>
      <c r="V27" s="121">
        <v>25</v>
      </c>
      <c r="W27" s="154">
        <f t="shared" si="25"/>
        <v>0.75</v>
      </c>
      <c r="X27" s="294">
        <f t="shared" si="20"/>
        <v>2.25</v>
      </c>
      <c r="Y27" s="294">
        <f t="shared" si="21"/>
        <v>3.75</v>
      </c>
      <c r="Z27" s="109" t="s">
        <v>678</v>
      </c>
      <c r="AA27" s="70">
        <v>2</v>
      </c>
      <c r="AB27" s="70">
        <v>1</v>
      </c>
      <c r="AC27" s="70">
        <v>1</v>
      </c>
      <c r="AD27" s="110">
        <v>1.25</v>
      </c>
      <c r="AE27" s="70">
        <v>1</v>
      </c>
      <c r="AF27" s="70">
        <v>1</v>
      </c>
      <c r="AG27" s="70">
        <v>1</v>
      </c>
      <c r="AH27" s="70"/>
      <c r="AI27" s="70"/>
      <c r="AJ27" s="70"/>
      <c r="AK27" s="70">
        <v>2</v>
      </c>
      <c r="AL27" s="110">
        <f>MAX(AA27:AF27)</f>
        <v>2</v>
      </c>
      <c r="AM27" s="112" t="s">
        <v>996</v>
      </c>
      <c r="AN27" s="116" t="s">
        <v>533</v>
      </c>
      <c r="AO27" s="116">
        <v>5</v>
      </c>
      <c r="AP27" s="116">
        <v>50</v>
      </c>
      <c r="AQ27" s="114">
        <f t="shared" si="27"/>
        <v>2.5</v>
      </c>
      <c r="AR27" s="301">
        <f t="shared" si="22"/>
        <v>2.5</v>
      </c>
      <c r="AS27" s="301">
        <f t="shared" si="23"/>
        <v>7.5</v>
      </c>
      <c r="AT27" s="115" t="s">
        <v>559</v>
      </c>
      <c r="AU27" s="117">
        <v>1</v>
      </c>
      <c r="AV27" s="116" t="s">
        <v>559</v>
      </c>
      <c r="AW27" s="113" t="s">
        <v>532</v>
      </c>
      <c r="AX27" s="118">
        <f t="shared" si="28"/>
        <v>1.9125000000000001</v>
      </c>
      <c r="AY27" s="118">
        <f t="shared" si="29"/>
        <v>2.75</v>
      </c>
      <c r="AZ27" s="118">
        <f t="shared" si="30"/>
        <v>3.5874999999999999</v>
      </c>
      <c r="BA27" s="119">
        <f t="shared" si="31"/>
        <v>1.9125000000000001</v>
      </c>
      <c r="BB27" s="119">
        <f t="shared" si="32"/>
        <v>3.5874999999999999</v>
      </c>
      <c r="BC27" s="92"/>
      <c r="BD27" s="106"/>
      <c r="BE27" s="106"/>
      <c r="BF27" s="106"/>
      <c r="BG27" s="106"/>
      <c r="BH27" s="106"/>
    </row>
    <row r="28" spans="1:60" x14ac:dyDescent="0.25">
      <c r="A28" s="120">
        <v>1830</v>
      </c>
      <c r="B28" s="364"/>
      <c r="C28" s="80" t="s">
        <v>293</v>
      </c>
      <c r="D28" s="98" t="s">
        <v>475</v>
      </c>
      <c r="E28" s="142" t="s">
        <v>299</v>
      </c>
      <c r="F28" s="145" t="s">
        <v>307</v>
      </c>
      <c r="G28" s="145">
        <f>(160000+250000)/2</f>
        <v>205000</v>
      </c>
      <c r="H28" s="65">
        <v>4</v>
      </c>
      <c r="I28" s="145">
        <v>10</v>
      </c>
      <c r="J28" s="141">
        <f t="shared" si="24"/>
        <v>0.4</v>
      </c>
      <c r="K28" s="290">
        <f t="shared" si="18"/>
        <v>3.6</v>
      </c>
      <c r="L28" s="290">
        <f t="shared" si="19"/>
        <v>4.4000000000000004</v>
      </c>
      <c r="M28" s="108" t="s">
        <v>308</v>
      </c>
      <c r="N28" s="153">
        <v>30000</v>
      </c>
      <c r="O28" s="153">
        <v>20000</v>
      </c>
      <c r="P28" s="121"/>
      <c r="Q28" s="121"/>
      <c r="R28" s="121"/>
      <c r="S28" s="121">
        <f>(N28/G28)*100</f>
        <v>14.634146341463413</v>
      </c>
      <c r="T28" s="121">
        <f>(O28/G28)*100</f>
        <v>9.7560975609756095</v>
      </c>
      <c r="U28" s="121">
        <v>2</v>
      </c>
      <c r="V28" s="121">
        <v>25</v>
      </c>
      <c r="W28" s="154">
        <f t="shared" si="25"/>
        <v>0.5</v>
      </c>
      <c r="X28" s="294">
        <f t="shared" si="20"/>
        <v>1.5</v>
      </c>
      <c r="Y28" s="294">
        <f t="shared" si="21"/>
        <v>2.5</v>
      </c>
      <c r="Z28" s="109" t="s">
        <v>651</v>
      </c>
      <c r="AA28" s="70">
        <v>2</v>
      </c>
      <c r="AB28" s="70">
        <v>1</v>
      </c>
      <c r="AC28" s="70">
        <v>1</v>
      </c>
      <c r="AD28" s="110">
        <v>1.25</v>
      </c>
      <c r="AE28" s="70">
        <v>1</v>
      </c>
      <c r="AF28" s="70">
        <v>1</v>
      </c>
      <c r="AG28" s="70">
        <v>1</v>
      </c>
      <c r="AH28" s="70">
        <v>4</v>
      </c>
      <c r="AI28" s="70"/>
      <c r="AJ28" s="70"/>
      <c r="AK28" s="70"/>
      <c r="AL28" s="110">
        <v>4</v>
      </c>
      <c r="AM28" s="112" t="s">
        <v>994</v>
      </c>
      <c r="AN28" s="116" t="s">
        <v>506</v>
      </c>
      <c r="AO28" s="116">
        <v>5</v>
      </c>
      <c r="AP28" s="116">
        <v>50</v>
      </c>
      <c r="AQ28" s="114">
        <f t="shared" si="27"/>
        <v>2.5</v>
      </c>
      <c r="AR28" s="301">
        <f t="shared" si="22"/>
        <v>2.5</v>
      </c>
      <c r="AS28" s="301">
        <f t="shared" si="23"/>
        <v>7.5</v>
      </c>
      <c r="AT28" s="115" t="s">
        <v>559</v>
      </c>
      <c r="AU28" s="117">
        <v>1</v>
      </c>
      <c r="AV28" s="116">
        <v>4</v>
      </c>
      <c r="AW28" s="113" t="s">
        <v>1067</v>
      </c>
      <c r="AX28" s="118">
        <f t="shared" si="28"/>
        <v>2.9</v>
      </c>
      <c r="AY28" s="118">
        <f t="shared" si="29"/>
        <v>3.75</v>
      </c>
      <c r="AZ28" s="118">
        <f t="shared" si="30"/>
        <v>4.5999999999999996</v>
      </c>
      <c r="BA28" s="119">
        <f t="shared" si="31"/>
        <v>2.9</v>
      </c>
      <c r="BB28" s="119">
        <f t="shared" si="32"/>
        <v>4.5999999999999996</v>
      </c>
      <c r="BC28" s="92"/>
      <c r="BD28" s="106"/>
      <c r="BE28" s="106"/>
      <c r="BF28" s="106"/>
      <c r="BG28" s="106"/>
      <c r="BH28" s="106"/>
    </row>
    <row r="29" spans="1:60" x14ac:dyDescent="0.25">
      <c r="A29" s="357">
        <v>1719</v>
      </c>
      <c r="B29" s="364"/>
      <c r="C29" s="80" t="s">
        <v>37</v>
      </c>
      <c r="D29" s="98" t="s">
        <v>476</v>
      </c>
      <c r="E29" s="347" t="s">
        <v>1018</v>
      </c>
      <c r="F29" s="65" t="s">
        <v>38</v>
      </c>
      <c r="G29" s="65">
        <v>11000000</v>
      </c>
      <c r="H29" s="65">
        <v>1</v>
      </c>
      <c r="I29" s="65">
        <v>10</v>
      </c>
      <c r="J29" s="141">
        <f t="shared" si="24"/>
        <v>0.1</v>
      </c>
      <c r="K29" s="290">
        <f t="shared" si="18"/>
        <v>0.9</v>
      </c>
      <c r="L29" s="290">
        <f t="shared" si="19"/>
        <v>1.1000000000000001</v>
      </c>
      <c r="M29" s="140" t="s">
        <v>269</v>
      </c>
      <c r="N29" s="153">
        <v>2200000</v>
      </c>
      <c r="O29" s="153">
        <v>360000</v>
      </c>
      <c r="P29" s="121"/>
      <c r="Q29" s="121"/>
      <c r="R29" s="121" t="s">
        <v>646</v>
      </c>
      <c r="S29" s="121">
        <f>(N29/G29)*100</f>
        <v>20</v>
      </c>
      <c r="T29" s="121">
        <f>(O29/G29)*100</f>
        <v>3.2727272727272729</v>
      </c>
      <c r="U29" s="121">
        <v>2</v>
      </c>
      <c r="V29" s="121">
        <v>25</v>
      </c>
      <c r="W29" s="154">
        <f t="shared" si="25"/>
        <v>0.5</v>
      </c>
      <c r="X29" s="294">
        <f t="shared" si="20"/>
        <v>1.5</v>
      </c>
      <c r="Y29" s="294">
        <f t="shared" si="21"/>
        <v>2.5</v>
      </c>
      <c r="Z29" s="109" t="s">
        <v>679</v>
      </c>
      <c r="AA29" s="70">
        <v>1</v>
      </c>
      <c r="AB29" s="70">
        <v>1</v>
      </c>
      <c r="AC29" s="70">
        <v>1</v>
      </c>
      <c r="AD29" s="110">
        <v>1.25</v>
      </c>
      <c r="AE29" s="70">
        <v>1</v>
      </c>
      <c r="AF29" s="70">
        <v>1</v>
      </c>
      <c r="AG29" s="70">
        <v>1</v>
      </c>
      <c r="AH29" s="70"/>
      <c r="AI29" s="70"/>
      <c r="AJ29" s="70"/>
      <c r="AK29" s="70"/>
      <c r="AL29" s="110">
        <f t="shared" ref="AL29:AL57" si="34">MAX(AA29:AF29)</f>
        <v>1.25</v>
      </c>
      <c r="AM29" s="112" t="s">
        <v>998</v>
      </c>
      <c r="AN29" s="116" t="s">
        <v>357</v>
      </c>
      <c r="AO29" s="116">
        <v>5</v>
      </c>
      <c r="AP29" s="116">
        <v>10</v>
      </c>
      <c r="AQ29" s="114">
        <f t="shared" si="27"/>
        <v>0.5</v>
      </c>
      <c r="AR29" s="301">
        <f t="shared" si="22"/>
        <v>4.5</v>
      </c>
      <c r="AS29" s="301">
        <f t="shared" si="23"/>
        <v>5.5</v>
      </c>
      <c r="AT29" s="115">
        <v>50</v>
      </c>
      <c r="AU29" s="117">
        <v>1</v>
      </c>
      <c r="AV29" s="116">
        <v>5</v>
      </c>
      <c r="AW29" s="113" t="s">
        <v>1068</v>
      </c>
      <c r="AX29" s="118">
        <f t="shared" si="28"/>
        <v>2.0375000000000001</v>
      </c>
      <c r="AY29" s="118">
        <f t="shared" si="29"/>
        <v>2.3125</v>
      </c>
      <c r="AZ29" s="118">
        <f t="shared" si="30"/>
        <v>2.5874999999999999</v>
      </c>
      <c r="BA29" s="119">
        <f t="shared" si="31"/>
        <v>2.0375000000000001</v>
      </c>
      <c r="BB29" s="119">
        <f t="shared" si="32"/>
        <v>2.5874999999999999</v>
      </c>
      <c r="BC29" s="92"/>
      <c r="BD29" s="106"/>
      <c r="BE29" s="106"/>
      <c r="BF29" s="106"/>
      <c r="BG29" s="106"/>
      <c r="BH29" s="106"/>
    </row>
    <row r="30" spans="1:60" x14ac:dyDescent="0.25">
      <c r="A30" s="120">
        <v>1763</v>
      </c>
      <c r="B30" s="364"/>
      <c r="C30" s="80" t="s">
        <v>291</v>
      </c>
      <c r="D30" s="98" t="s">
        <v>477</v>
      </c>
      <c r="E30" s="142" t="s">
        <v>300</v>
      </c>
      <c r="F30" s="65" t="s">
        <v>301</v>
      </c>
      <c r="G30" s="65">
        <f>(8300+6500)/2</f>
        <v>7400</v>
      </c>
      <c r="H30" s="65">
        <v>5</v>
      </c>
      <c r="I30" s="65">
        <v>10</v>
      </c>
      <c r="J30" s="141">
        <f t="shared" si="24"/>
        <v>0.5</v>
      </c>
      <c r="K30" s="290">
        <f t="shared" si="18"/>
        <v>4.5</v>
      </c>
      <c r="L30" s="290">
        <f t="shared" si="19"/>
        <v>5.5</v>
      </c>
      <c r="M30" s="140" t="s">
        <v>296</v>
      </c>
      <c r="N30" s="153" t="s">
        <v>549</v>
      </c>
      <c r="O30" s="153" t="s">
        <v>549</v>
      </c>
      <c r="P30" s="153" t="s">
        <v>549</v>
      </c>
      <c r="Q30" s="153" t="s">
        <v>549</v>
      </c>
      <c r="R30" s="153" t="s">
        <v>549</v>
      </c>
      <c r="S30" s="121"/>
      <c r="T30" s="121"/>
      <c r="U30" s="121">
        <v>1</v>
      </c>
      <c r="V30" s="121">
        <v>25</v>
      </c>
      <c r="W30" s="154">
        <f t="shared" si="25"/>
        <v>0.25</v>
      </c>
      <c r="X30" s="294">
        <f t="shared" si="20"/>
        <v>0.75</v>
      </c>
      <c r="Y30" s="294">
        <f t="shared" si="21"/>
        <v>1.25</v>
      </c>
      <c r="Z30" s="109" t="s">
        <v>660</v>
      </c>
      <c r="AA30" s="70">
        <v>3</v>
      </c>
      <c r="AB30" s="70">
        <v>5</v>
      </c>
      <c r="AC30" s="70">
        <v>1</v>
      </c>
      <c r="AD30" s="110">
        <v>1.25</v>
      </c>
      <c r="AE30" s="70">
        <v>1</v>
      </c>
      <c r="AF30" s="70">
        <v>1</v>
      </c>
      <c r="AG30" s="70">
        <v>1</v>
      </c>
      <c r="AH30" s="70"/>
      <c r="AI30" s="70"/>
      <c r="AJ30" s="70"/>
      <c r="AK30" s="70"/>
      <c r="AL30" s="110">
        <f t="shared" si="34"/>
        <v>5</v>
      </c>
      <c r="AM30" s="112" t="s">
        <v>992</v>
      </c>
      <c r="AN30" s="116">
        <v>0.93</v>
      </c>
      <c r="AO30" s="116">
        <v>5</v>
      </c>
      <c r="AP30" s="116">
        <v>50</v>
      </c>
      <c r="AQ30" s="114">
        <f t="shared" si="27"/>
        <v>2.5</v>
      </c>
      <c r="AR30" s="301">
        <f t="shared" si="22"/>
        <v>2.5</v>
      </c>
      <c r="AS30" s="301">
        <f t="shared" si="23"/>
        <v>7.5</v>
      </c>
      <c r="AT30" s="115">
        <v>35</v>
      </c>
      <c r="AU30" s="117">
        <v>1</v>
      </c>
      <c r="AV30" s="116">
        <v>5.5</v>
      </c>
      <c r="AW30" s="113" t="s">
        <v>350</v>
      </c>
      <c r="AX30" s="118">
        <f t="shared" si="28"/>
        <v>3.1875</v>
      </c>
      <c r="AY30" s="118">
        <f t="shared" si="29"/>
        <v>4</v>
      </c>
      <c r="AZ30" s="118">
        <f t="shared" si="30"/>
        <v>4.8125</v>
      </c>
      <c r="BA30" s="119">
        <f t="shared" si="31"/>
        <v>3.1875</v>
      </c>
      <c r="BB30" s="119">
        <f t="shared" si="32"/>
        <v>4.8125</v>
      </c>
      <c r="BC30" s="92"/>
      <c r="BD30" s="106"/>
      <c r="BE30" s="106"/>
      <c r="BF30" s="106"/>
      <c r="BG30" s="106"/>
      <c r="BH30" s="106"/>
    </row>
    <row r="31" spans="1:60" x14ac:dyDescent="0.25">
      <c r="A31" s="120">
        <v>1769</v>
      </c>
      <c r="B31" s="364"/>
      <c r="C31" s="80" t="s">
        <v>287</v>
      </c>
      <c r="D31" s="98" t="s">
        <v>478</v>
      </c>
      <c r="E31" s="142" t="s">
        <v>302</v>
      </c>
      <c r="F31" s="66" t="s">
        <v>309</v>
      </c>
      <c r="G31" s="65">
        <f>(670000+1258000)/2</f>
        <v>964000</v>
      </c>
      <c r="H31" s="65">
        <v>3</v>
      </c>
      <c r="I31" s="65">
        <v>25</v>
      </c>
      <c r="J31" s="141">
        <f t="shared" si="24"/>
        <v>0.75</v>
      </c>
      <c r="K31" s="290">
        <f t="shared" si="18"/>
        <v>2.25</v>
      </c>
      <c r="L31" s="290">
        <f t="shared" si="19"/>
        <v>3.75</v>
      </c>
      <c r="M31" s="140" t="s">
        <v>308</v>
      </c>
      <c r="N31" s="153">
        <f>286000*2</f>
        <v>572000</v>
      </c>
      <c r="O31" s="153"/>
      <c r="P31" s="121"/>
      <c r="Q31" s="121"/>
      <c r="R31" s="121"/>
      <c r="S31" s="121">
        <f>(N31/G31)*100</f>
        <v>59.336099585062243</v>
      </c>
      <c r="T31" s="121">
        <f t="shared" ref="T31:T36" si="35">(O31/G31)*100</f>
        <v>0</v>
      </c>
      <c r="U31" s="121">
        <v>3</v>
      </c>
      <c r="V31" s="121">
        <v>25</v>
      </c>
      <c r="W31" s="154">
        <f t="shared" si="25"/>
        <v>0.75</v>
      </c>
      <c r="X31" s="294">
        <f t="shared" si="20"/>
        <v>2.25</v>
      </c>
      <c r="Y31" s="294">
        <f t="shared" si="21"/>
        <v>3.75</v>
      </c>
      <c r="Z31" s="109" t="s">
        <v>659</v>
      </c>
      <c r="AA31" s="70">
        <v>3</v>
      </c>
      <c r="AB31" s="70">
        <v>4</v>
      </c>
      <c r="AC31" s="70">
        <v>1</v>
      </c>
      <c r="AD31" s="110">
        <v>1.25</v>
      </c>
      <c r="AE31" s="70">
        <v>1</v>
      </c>
      <c r="AF31" s="70">
        <v>1</v>
      </c>
      <c r="AG31" s="70">
        <v>1</v>
      </c>
      <c r="AH31" s="70">
        <v>4</v>
      </c>
      <c r="AI31" s="70"/>
      <c r="AJ31" s="70"/>
      <c r="AK31" s="70">
        <v>1</v>
      </c>
      <c r="AL31" s="110">
        <f t="shared" si="34"/>
        <v>4</v>
      </c>
      <c r="AM31" s="112" t="s">
        <v>999</v>
      </c>
      <c r="AN31" s="116" t="s">
        <v>506</v>
      </c>
      <c r="AO31" s="116">
        <v>5</v>
      </c>
      <c r="AP31" s="116">
        <v>50</v>
      </c>
      <c r="AQ31" s="114">
        <f t="shared" si="27"/>
        <v>2.5</v>
      </c>
      <c r="AR31" s="301">
        <f t="shared" si="22"/>
        <v>2.5</v>
      </c>
      <c r="AS31" s="301">
        <f t="shared" si="23"/>
        <v>7.5</v>
      </c>
      <c r="AT31" s="115" t="s">
        <v>559</v>
      </c>
      <c r="AU31" s="117">
        <v>1</v>
      </c>
      <c r="AV31" s="116" t="s">
        <v>559</v>
      </c>
      <c r="AW31" s="113" t="s">
        <v>1069</v>
      </c>
      <c r="AX31" s="118">
        <f t="shared" si="28"/>
        <v>2.75</v>
      </c>
      <c r="AY31" s="118">
        <f t="shared" si="29"/>
        <v>3.75</v>
      </c>
      <c r="AZ31" s="118">
        <f t="shared" si="30"/>
        <v>4.75</v>
      </c>
      <c r="BA31" s="119">
        <f t="shared" si="31"/>
        <v>2.75</v>
      </c>
      <c r="BB31" s="119">
        <f t="shared" si="32"/>
        <v>4.75</v>
      </c>
      <c r="BC31" s="92"/>
      <c r="BD31" s="106"/>
      <c r="BE31" s="106"/>
      <c r="BF31" s="106"/>
      <c r="BG31" s="106"/>
      <c r="BH31" s="106"/>
    </row>
    <row r="32" spans="1:60" x14ac:dyDescent="0.25">
      <c r="A32" s="120">
        <v>1755</v>
      </c>
      <c r="B32" s="364"/>
      <c r="C32" s="80" t="s">
        <v>261</v>
      </c>
      <c r="D32" s="98" t="s">
        <v>479</v>
      </c>
      <c r="E32" s="142" t="s">
        <v>39</v>
      </c>
      <c r="F32" s="145">
        <v>1500000</v>
      </c>
      <c r="G32" s="145">
        <v>1500000</v>
      </c>
      <c r="H32" s="65">
        <v>2</v>
      </c>
      <c r="I32" s="145">
        <v>10</v>
      </c>
      <c r="J32" s="141">
        <f t="shared" si="24"/>
        <v>0.2</v>
      </c>
      <c r="K32" s="290">
        <f t="shared" si="18"/>
        <v>1.8</v>
      </c>
      <c r="L32" s="290">
        <f t="shared" si="19"/>
        <v>2.2000000000000002</v>
      </c>
      <c r="M32" s="140" t="s">
        <v>260</v>
      </c>
      <c r="N32" s="121">
        <v>110000</v>
      </c>
      <c r="O32" s="121"/>
      <c r="P32" s="121"/>
      <c r="Q32" s="121"/>
      <c r="R32" s="121"/>
      <c r="S32" s="121">
        <f>(N32/G32)*100</f>
        <v>7.333333333333333</v>
      </c>
      <c r="T32" s="121">
        <f t="shared" si="35"/>
        <v>0</v>
      </c>
      <c r="U32" s="121">
        <v>2</v>
      </c>
      <c r="V32" s="121">
        <v>25</v>
      </c>
      <c r="W32" s="154">
        <f t="shared" si="25"/>
        <v>0.5</v>
      </c>
      <c r="X32" s="294">
        <f t="shared" si="20"/>
        <v>1.5</v>
      </c>
      <c r="Y32" s="294">
        <f t="shared" si="21"/>
        <v>2.5</v>
      </c>
      <c r="Z32" s="109" t="s">
        <v>658</v>
      </c>
      <c r="AA32" s="70">
        <v>2</v>
      </c>
      <c r="AB32" s="70">
        <v>1</v>
      </c>
      <c r="AC32" s="70">
        <v>1</v>
      </c>
      <c r="AD32" s="110">
        <v>1.25</v>
      </c>
      <c r="AE32" s="70">
        <v>1</v>
      </c>
      <c r="AF32" s="70">
        <v>1</v>
      </c>
      <c r="AG32" s="70">
        <v>1</v>
      </c>
      <c r="AH32" s="70"/>
      <c r="AI32" s="70"/>
      <c r="AJ32" s="70"/>
      <c r="AK32" s="70"/>
      <c r="AL32" s="110">
        <f t="shared" si="34"/>
        <v>2</v>
      </c>
      <c r="AM32" s="112" t="s">
        <v>992</v>
      </c>
      <c r="AN32" s="116" t="s">
        <v>506</v>
      </c>
      <c r="AO32" s="116">
        <v>5</v>
      </c>
      <c r="AP32" s="116">
        <v>50</v>
      </c>
      <c r="AQ32" s="114">
        <f t="shared" si="27"/>
        <v>2.5</v>
      </c>
      <c r="AR32" s="301">
        <f t="shared" si="22"/>
        <v>2.5</v>
      </c>
      <c r="AS32" s="301">
        <f t="shared" si="23"/>
        <v>7.5</v>
      </c>
      <c r="AT32" s="115" t="s">
        <v>559</v>
      </c>
      <c r="AU32" s="117">
        <v>1</v>
      </c>
      <c r="AV32" s="116" t="s">
        <v>559</v>
      </c>
      <c r="AW32" s="113" t="s">
        <v>1069</v>
      </c>
      <c r="AX32" s="118">
        <f t="shared" si="28"/>
        <v>1.95</v>
      </c>
      <c r="AY32" s="118">
        <f t="shared" si="29"/>
        <v>2.75</v>
      </c>
      <c r="AZ32" s="118">
        <f t="shared" si="30"/>
        <v>3.55</v>
      </c>
      <c r="BA32" s="119">
        <f t="shared" si="31"/>
        <v>1.95</v>
      </c>
      <c r="BB32" s="119">
        <f t="shared" si="32"/>
        <v>3.55</v>
      </c>
      <c r="BC32" s="92"/>
      <c r="BD32" s="106"/>
      <c r="BE32" s="106"/>
      <c r="BF32" s="106"/>
      <c r="BG32" s="106"/>
      <c r="BH32" s="106"/>
    </row>
    <row r="33" spans="1:60" x14ac:dyDescent="0.25">
      <c r="A33" s="4">
        <v>1897</v>
      </c>
      <c r="B33" s="364"/>
      <c r="C33" s="80" t="s">
        <v>40</v>
      </c>
      <c r="D33" s="98" t="s">
        <v>433</v>
      </c>
      <c r="E33" s="347" t="s">
        <v>1016</v>
      </c>
      <c r="F33" s="141" t="s">
        <v>43</v>
      </c>
      <c r="G33" s="141">
        <f>(10000+5200)/2</f>
        <v>7600</v>
      </c>
      <c r="H33" s="65">
        <v>5</v>
      </c>
      <c r="I33" s="141">
        <v>10</v>
      </c>
      <c r="J33" s="141">
        <f t="shared" si="24"/>
        <v>0.5</v>
      </c>
      <c r="K33" s="290">
        <f t="shared" si="18"/>
        <v>4.5</v>
      </c>
      <c r="L33" s="290">
        <f t="shared" si="19"/>
        <v>5.5</v>
      </c>
      <c r="M33" s="140" t="s">
        <v>626</v>
      </c>
      <c r="N33" s="156">
        <v>10000</v>
      </c>
      <c r="O33" s="156">
        <v>5200</v>
      </c>
      <c r="P33" s="121"/>
      <c r="Q33" s="121"/>
      <c r="R33" s="157" t="s">
        <v>43</v>
      </c>
      <c r="S33" s="121">
        <v>100</v>
      </c>
      <c r="T33" s="121">
        <f t="shared" si="35"/>
        <v>68.421052631578945</v>
      </c>
      <c r="U33" s="121">
        <v>5</v>
      </c>
      <c r="V33" s="121">
        <v>25</v>
      </c>
      <c r="W33" s="154">
        <f t="shared" si="25"/>
        <v>1.25</v>
      </c>
      <c r="X33" s="294">
        <f t="shared" si="20"/>
        <v>3.75</v>
      </c>
      <c r="Y33" s="294">
        <f t="shared" si="21"/>
        <v>6.25</v>
      </c>
      <c r="Z33" s="109" t="s">
        <v>627</v>
      </c>
      <c r="AA33" s="70">
        <v>4</v>
      </c>
      <c r="AB33" s="70">
        <v>1</v>
      </c>
      <c r="AC33" s="70">
        <v>1</v>
      </c>
      <c r="AD33" s="110">
        <v>3.75</v>
      </c>
      <c r="AE33" s="70">
        <v>1</v>
      </c>
      <c r="AF33" s="70">
        <v>1</v>
      </c>
      <c r="AG33" s="70">
        <v>1</v>
      </c>
      <c r="AH33" s="70">
        <v>4</v>
      </c>
      <c r="AI33" s="70"/>
      <c r="AJ33" s="70"/>
      <c r="AK33" s="70"/>
      <c r="AL33" s="110">
        <f t="shared" si="34"/>
        <v>4</v>
      </c>
      <c r="AM33" s="112" t="s">
        <v>994</v>
      </c>
      <c r="AN33" s="116" t="s">
        <v>506</v>
      </c>
      <c r="AO33" s="116">
        <v>4</v>
      </c>
      <c r="AP33" s="116">
        <v>50</v>
      </c>
      <c r="AQ33" s="114">
        <f t="shared" si="27"/>
        <v>2</v>
      </c>
      <c r="AR33" s="301">
        <f t="shared" si="22"/>
        <v>2</v>
      </c>
      <c r="AS33" s="301">
        <f t="shared" si="23"/>
        <v>6</v>
      </c>
      <c r="AT33" s="115" t="s">
        <v>559</v>
      </c>
      <c r="AU33" s="117">
        <v>1</v>
      </c>
      <c r="AV33" s="116" t="s">
        <v>559</v>
      </c>
      <c r="AW33" s="113" t="s">
        <v>1070</v>
      </c>
      <c r="AX33" s="118">
        <f t="shared" si="28"/>
        <v>3.5625</v>
      </c>
      <c r="AY33" s="118">
        <f t="shared" si="29"/>
        <v>4.5</v>
      </c>
      <c r="AZ33" s="118">
        <f t="shared" si="30"/>
        <v>5.4375</v>
      </c>
      <c r="BA33" s="119">
        <f t="shared" si="31"/>
        <v>3.5625</v>
      </c>
      <c r="BB33" s="119">
        <f t="shared" si="32"/>
        <v>5.4375</v>
      </c>
      <c r="BC33" s="92"/>
      <c r="BD33" s="106"/>
      <c r="BE33" s="106"/>
      <c r="BF33" s="106"/>
      <c r="BG33" s="106"/>
      <c r="BH33" s="106"/>
    </row>
    <row r="34" spans="1:60" x14ac:dyDescent="0.25">
      <c r="A34" s="120">
        <v>1905</v>
      </c>
      <c r="B34" s="364"/>
      <c r="C34" s="80" t="s">
        <v>44</v>
      </c>
      <c r="D34" s="98" t="s">
        <v>434</v>
      </c>
      <c r="E34" s="347" t="s">
        <v>1015</v>
      </c>
      <c r="F34" s="145" t="s">
        <v>312</v>
      </c>
      <c r="G34" s="145">
        <f>(480000+690000)/2</f>
        <v>585000</v>
      </c>
      <c r="H34" s="65">
        <v>3</v>
      </c>
      <c r="I34" s="145">
        <v>25</v>
      </c>
      <c r="J34" s="141">
        <f t="shared" si="24"/>
        <v>0.75</v>
      </c>
      <c r="K34" s="290">
        <f t="shared" si="18"/>
        <v>2.25</v>
      </c>
      <c r="L34" s="290">
        <f t="shared" si="19"/>
        <v>3.75</v>
      </c>
      <c r="M34" s="140" t="s">
        <v>313</v>
      </c>
      <c r="N34" s="121">
        <v>3000</v>
      </c>
      <c r="O34" s="121">
        <v>400</v>
      </c>
      <c r="P34" s="121"/>
      <c r="Q34" s="121"/>
      <c r="R34" s="121" t="s">
        <v>610</v>
      </c>
      <c r="S34" s="121">
        <f>(N34/G34)*100</f>
        <v>0.51282051282051277</v>
      </c>
      <c r="T34" s="121">
        <f t="shared" si="35"/>
        <v>6.8376068376068383E-2</v>
      </c>
      <c r="U34" s="121">
        <v>1</v>
      </c>
      <c r="V34" s="121">
        <v>10</v>
      </c>
      <c r="W34" s="154">
        <f t="shared" si="25"/>
        <v>0.1</v>
      </c>
      <c r="X34" s="294">
        <f t="shared" si="20"/>
        <v>0.9</v>
      </c>
      <c r="Y34" s="294">
        <f t="shared" si="21"/>
        <v>1.1000000000000001</v>
      </c>
      <c r="Z34" s="109" t="s">
        <v>628</v>
      </c>
      <c r="AA34" s="70">
        <v>1</v>
      </c>
      <c r="AB34" s="70">
        <v>1</v>
      </c>
      <c r="AC34" s="111">
        <v>5</v>
      </c>
      <c r="AD34" s="110">
        <v>2.5</v>
      </c>
      <c r="AE34" s="70">
        <v>1</v>
      </c>
      <c r="AF34" s="70">
        <v>1</v>
      </c>
      <c r="AG34" s="70">
        <v>1</v>
      </c>
      <c r="AH34" s="70">
        <v>3</v>
      </c>
      <c r="AI34" s="70"/>
      <c r="AJ34" s="70"/>
      <c r="AK34" s="70"/>
      <c r="AL34" s="110">
        <f t="shared" si="34"/>
        <v>5</v>
      </c>
      <c r="AM34" s="112" t="s">
        <v>994</v>
      </c>
      <c r="AN34" s="116" t="s">
        <v>506</v>
      </c>
      <c r="AO34" s="116">
        <v>4</v>
      </c>
      <c r="AP34" s="116">
        <v>50</v>
      </c>
      <c r="AQ34" s="114">
        <f t="shared" si="27"/>
        <v>2</v>
      </c>
      <c r="AR34" s="301">
        <f t="shared" si="22"/>
        <v>2</v>
      </c>
      <c r="AS34" s="301">
        <f t="shared" si="23"/>
        <v>6</v>
      </c>
      <c r="AT34" s="115" t="s">
        <v>559</v>
      </c>
      <c r="AU34" s="117">
        <v>1</v>
      </c>
      <c r="AV34" s="116">
        <v>5</v>
      </c>
      <c r="AW34" s="113" t="s">
        <v>1071</v>
      </c>
      <c r="AX34" s="118">
        <f t="shared" si="28"/>
        <v>2.5375000000000001</v>
      </c>
      <c r="AY34" s="118">
        <f t="shared" si="29"/>
        <v>3.25</v>
      </c>
      <c r="AZ34" s="118">
        <f t="shared" si="30"/>
        <v>3.9624999999999999</v>
      </c>
      <c r="BA34" s="119">
        <f t="shared" si="31"/>
        <v>2.5375000000000001</v>
      </c>
      <c r="BB34" s="119">
        <f t="shared" si="32"/>
        <v>3.9624999999999999</v>
      </c>
      <c r="BC34" s="92"/>
      <c r="BD34" s="106"/>
      <c r="BE34" s="106"/>
      <c r="BF34" s="106"/>
      <c r="BG34" s="106"/>
      <c r="BH34" s="106"/>
    </row>
    <row r="35" spans="1:60" x14ac:dyDescent="0.25">
      <c r="A35" s="120">
        <v>1886</v>
      </c>
      <c r="B35" s="364"/>
      <c r="C35" s="80" t="s">
        <v>571</v>
      </c>
      <c r="D35" s="80" t="s">
        <v>432</v>
      </c>
      <c r="E35" s="347" t="s">
        <v>1024</v>
      </c>
      <c r="F35" s="145">
        <v>6000000</v>
      </c>
      <c r="G35" s="145">
        <v>6000000</v>
      </c>
      <c r="H35" s="65">
        <v>1</v>
      </c>
      <c r="I35" s="145">
        <v>25</v>
      </c>
      <c r="J35" s="141">
        <f t="shared" si="24"/>
        <v>0.25</v>
      </c>
      <c r="K35" s="290">
        <f t="shared" si="18"/>
        <v>0.75</v>
      </c>
      <c r="L35" s="290">
        <f t="shared" si="19"/>
        <v>1.25</v>
      </c>
      <c r="M35" s="140" t="s">
        <v>260</v>
      </c>
      <c r="N35" s="121">
        <f>7600+2000+820</f>
        <v>10420</v>
      </c>
      <c r="O35" s="121">
        <f>7600+1000+800</f>
        <v>9400</v>
      </c>
      <c r="P35" s="121">
        <v>7600</v>
      </c>
      <c r="Q35" s="121" t="s">
        <v>611</v>
      </c>
      <c r="R35" s="121" t="s">
        <v>634</v>
      </c>
      <c r="S35" s="121">
        <f>(N35/G35)*100</f>
        <v>0.17366666666666666</v>
      </c>
      <c r="T35" s="121">
        <f t="shared" si="35"/>
        <v>0.15666666666666668</v>
      </c>
      <c r="U35" s="121">
        <v>1</v>
      </c>
      <c r="V35" s="121">
        <v>10</v>
      </c>
      <c r="W35" s="154">
        <f t="shared" si="25"/>
        <v>0.1</v>
      </c>
      <c r="X35" s="294">
        <f t="shared" si="20"/>
        <v>0.9</v>
      </c>
      <c r="Y35" s="294">
        <f t="shared" si="21"/>
        <v>1.1000000000000001</v>
      </c>
      <c r="Z35" s="109" t="s">
        <v>987</v>
      </c>
      <c r="AA35" s="70">
        <v>1</v>
      </c>
      <c r="AB35" s="70">
        <v>1</v>
      </c>
      <c r="AC35" s="111">
        <v>1</v>
      </c>
      <c r="AD35" s="110">
        <v>2.5</v>
      </c>
      <c r="AE35" s="70">
        <v>1</v>
      </c>
      <c r="AF35" s="70">
        <v>1</v>
      </c>
      <c r="AG35" s="70">
        <v>1</v>
      </c>
      <c r="AH35" s="70"/>
      <c r="AI35" s="70"/>
      <c r="AJ35" s="70"/>
      <c r="AK35" s="70"/>
      <c r="AL35" s="110">
        <f t="shared" si="34"/>
        <v>2.5</v>
      </c>
      <c r="AM35" s="112" t="s">
        <v>992</v>
      </c>
      <c r="AN35" s="116" t="s">
        <v>506</v>
      </c>
      <c r="AO35" s="116">
        <v>4</v>
      </c>
      <c r="AP35" s="116">
        <v>50</v>
      </c>
      <c r="AQ35" s="114">
        <f t="shared" si="27"/>
        <v>2</v>
      </c>
      <c r="AR35" s="301">
        <f t="shared" si="22"/>
        <v>2</v>
      </c>
      <c r="AS35" s="301">
        <f t="shared" si="23"/>
        <v>6</v>
      </c>
      <c r="AT35" s="115">
        <v>14</v>
      </c>
      <c r="AU35" s="117">
        <v>1</v>
      </c>
      <c r="AV35" s="116">
        <v>3</v>
      </c>
      <c r="AW35" s="113" t="s">
        <v>1072</v>
      </c>
      <c r="AX35" s="118">
        <f t="shared" si="28"/>
        <v>1.5375000000000001</v>
      </c>
      <c r="AY35" s="118">
        <f t="shared" si="29"/>
        <v>2.125</v>
      </c>
      <c r="AZ35" s="118">
        <f t="shared" si="30"/>
        <v>2.7124999999999999</v>
      </c>
      <c r="BA35" s="119">
        <f t="shared" si="31"/>
        <v>1.5375000000000001</v>
      </c>
      <c r="BB35" s="119">
        <f t="shared" si="32"/>
        <v>2.7124999999999999</v>
      </c>
      <c r="BC35" s="92"/>
      <c r="BD35" s="106"/>
      <c r="BE35" s="106"/>
      <c r="BF35" s="106"/>
      <c r="BG35" s="106"/>
      <c r="BH35" s="106"/>
    </row>
    <row r="36" spans="1:60" x14ac:dyDescent="0.25">
      <c r="A36" s="120">
        <v>1890</v>
      </c>
      <c r="B36" s="364"/>
      <c r="C36" s="80" t="s">
        <v>573</v>
      </c>
      <c r="D36" s="80" t="s">
        <v>590</v>
      </c>
      <c r="E36" s="347" t="s">
        <v>1017</v>
      </c>
      <c r="F36" s="145" t="s">
        <v>320</v>
      </c>
      <c r="G36" s="145">
        <f>(8000000+20000000)/2</f>
        <v>14000000</v>
      </c>
      <c r="H36" s="65">
        <v>1</v>
      </c>
      <c r="I36" s="145">
        <v>10</v>
      </c>
      <c r="J36" s="141">
        <f t="shared" si="24"/>
        <v>0.1</v>
      </c>
      <c r="K36" s="290">
        <f t="shared" si="18"/>
        <v>0.9</v>
      </c>
      <c r="L36" s="290">
        <f t="shared" si="19"/>
        <v>1.1000000000000001</v>
      </c>
      <c r="M36" s="140" t="s">
        <v>317</v>
      </c>
      <c r="N36" s="158">
        <f>72000+964000+200000</f>
        <v>1236000</v>
      </c>
      <c r="O36" s="158">
        <f>72000+964000+25102</f>
        <v>1061102</v>
      </c>
      <c r="P36" s="158">
        <f>36000*2</f>
        <v>72000</v>
      </c>
      <c r="Q36" s="158">
        <f>482000*2</f>
        <v>964000</v>
      </c>
      <c r="R36" s="158" t="s">
        <v>612</v>
      </c>
      <c r="S36" s="121">
        <f>(N36/G36)*100</f>
        <v>8.8285714285714292</v>
      </c>
      <c r="T36" s="121">
        <f t="shared" si="35"/>
        <v>7.5792999999999999</v>
      </c>
      <c r="U36" s="121">
        <v>2</v>
      </c>
      <c r="V36" s="121">
        <v>25</v>
      </c>
      <c r="W36" s="154">
        <f t="shared" si="25"/>
        <v>0.5</v>
      </c>
      <c r="X36" s="294">
        <f t="shared" si="20"/>
        <v>1.5</v>
      </c>
      <c r="Y36" s="294">
        <f t="shared" si="21"/>
        <v>2.5</v>
      </c>
      <c r="Z36" s="109" t="s">
        <v>613</v>
      </c>
      <c r="AA36" s="70">
        <v>1</v>
      </c>
      <c r="AB36" s="70">
        <v>1</v>
      </c>
      <c r="AC36" s="111">
        <v>2</v>
      </c>
      <c r="AD36" s="110">
        <v>1.25</v>
      </c>
      <c r="AE36" s="70">
        <v>1</v>
      </c>
      <c r="AF36" s="70">
        <v>1</v>
      </c>
      <c r="AG36" s="70">
        <v>1</v>
      </c>
      <c r="AH36" s="70">
        <v>3</v>
      </c>
      <c r="AI36" s="70"/>
      <c r="AJ36" s="70"/>
      <c r="AK36" s="70"/>
      <c r="AL36" s="110">
        <f t="shared" si="34"/>
        <v>2</v>
      </c>
      <c r="AM36" s="112" t="s">
        <v>994</v>
      </c>
      <c r="AN36" s="116" t="s">
        <v>351</v>
      </c>
      <c r="AO36" s="116">
        <v>4</v>
      </c>
      <c r="AP36" s="116">
        <v>50</v>
      </c>
      <c r="AQ36" s="114">
        <f t="shared" si="27"/>
        <v>2</v>
      </c>
      <c r="AR36" s="301">
        <f t="shared" si="22"/>
        <v>2</v>
      </c>
      <c r="AS36" s="301">
        <f t="shared" si="23"/>
        <v>6</v>
      </c>
      <c r="AT36" s="115">
        <v>36</v>
      </c>
      <c r="AU36" s="117">
        <v>1</v>
      </c>
      <c r="AV36" s="116">
        <v>5</v>
      </c>
      <c r="AW36" s="113" t="s">
        <v>1073</v>
      </c>
      <c r="AX36" s="118">
        <f t="shared" si="28"/>
        <v>1.6</v>
      </c>
      <c r="AY36" s="118">
        <f t="shared" si="29"/>
        <v>2.25</v>
      </c>
      <c r="AZ36" s="118">
        <f t="shared" si="30"/>
        <v>2.9</v>
      </c>
      <c r="BA36" s="119">
        <f t="shared" si="31"/>
        <v>1.6</v>
      </c>
      <c r="BB36" s="119">
        <f t="shared" si="32"/>
        <v>2.9</v>
      </c>
      <c r="BC36" s="92"/>
      <c r="BD36" s="106"/>
      <c r="BE36" s="106"/>
      <c r="BF36" s="106"/>
      <c r="BG36" s="106"/>
      <c r="BH36" s="106"/>
    </row>
    <row r="37" spans="1:60" x14ac:dyDescent="0.25">
      <c r="A37" s="120">
        <v>1857</v>
      </c>
      <c r="B37" s="365"/>
      <c r="C37" s="80" t="s">
        <v>577</v>
      </c>
      <c r="D37" s="98" t="s">
        <v>480</v>
      </c>
      <c r="E37" s="343" t="s">
        <v>303</v>
      </c>
      <c r="F37" s="145" t="s">
        <v>319</v>
      </c>
      <c r="G37" s="145">
        <f>(30000000+12000000)/2</f>
        <v>21000000</v>
      </c>
      <c r="H37" s="65">
        <v>1</v>
      </c>
      <c r="I37" s="145">
        <v>10</v>
      </c>
      <c r="J37" s="141">
        <f t="shared" si="24"/>
        <v>0.1</v>
      </c>
      <c r="K37" s="290">
        <f t="shared" si="18"/>
        <v>0.9</v>
      </c>
      <c r="L37" s="290">
        <f t="shared" si="19"/>
        <v>1.1000000000000001</v>
      </c>
      <c r="M37" s="140" t="s">
        <v>321</v>
      </c>
      <c r="N37" s="153" t="s">
        <v>549</v>
      </c>
      <c r="O37" s="153" t="s">
        <v>549</v>
      </c>
      <c r="P37" s="153" t="s">
        <v>549</v>
      </c>
      <c r="Q37" s="153" t="s">
        <v>549</v>
      </c>
      <c r="R37" s="153" t="s">
        <v>549</v>
      </c>
      <c r="S37" s="121"/>
      <c r="T37" s="121">
        <v>1</v>
      </c>
      <c r="U37" s="121">
        <v>1</v>
      </c>
      <c r="V37" s="121">
        <v>50</v>
      </c>
      <c r="W37" s="154">
        <f t="shared" si="25"/>
        <v>0.5</v>
      </c>
      <c r="X37" s="294">
        <f t="shared" si="20"/>
        <v>0.5</v>
      </c>
      <c r="Y37" s="294">
        <f t="shared" si="21"/>
        <v>1.5</v>
      </c>
      <c r="Z37" s="109" t="s">
        <v>635</v>
      </c>
      <c r="AA37" s="70">
        <v>1</v>
      </c>
      <c r="AB37" s="70">
        <v>1</v>
      </c>
      <c r="AC37" s="70">
        <v>1</v>
      </c>
      <c r="AD37" s="110">
        <v>1.25</v>
      </c>
      <c r="AE37" s="70">
        <v>1</v>
      </c>
      <c r="AF37" s="70">
        <v>1</v>
      </c>
      <c r="AG37" s="70">
        <v>1</v>
      </c>
      <c r="AH37" s="70"/>
      <c r="AI37" s="70"/>
      <c r="AJ37" s="70"/>
      <c r="AK37" s="70"/>
      <c r="AL37" s="110">
        <f t="shared" si="34"/>
        <v>1.25</v>
      </c>
      <c r="AM37" s="112" t="s">
        <v>992</v>
      </c>
      <c r="AN37" s="116">
        <v>0.9</v>
      </c>
      <c r="AO37" s="116">
        <v>4</v>
      </c>
      <c r="AP37" s="116">
        <v>25</v>
      </c>
      <c r="AQ37" s="114">
        <f t="shared" si="27"/>
        <v>1</v>
      </c>
      <c r="AR37" s="301">
        <f t="shared" si="22"/>
        <v>3</v>
      </c>
      <c r="AS37" s="301">
        <f t="shared" si="23"/>
        <v>5</v>
      </c>
      <c r="AT37" s="115" t="s">
        <v>559</v>
      </c>
      <c r="AU37" s="117">
        <v>1</v>
      </c>
      <c r="AV37" s="116" t="s">
        <v>559</v>
      </c>
      <c r="AW37" s="113" t="s">
        <v>1062</v>
      </c>
      <c r="AX37" s="118">
        <f t="shared" si="28"/>
        <v>1.4125000000000001</v>
      </c>
      <c r="AY37" s="118">
        <f t="shared" si="29"/>
        <v>1.8125</v>
      </c>
      <c r="AZ37" s="118">
        <f t="shared" si="30"/>
        <v>2.2124999999999999</v>
      </c>
      <c r="BA37" s="119">
        <f t="shared" si="31"/>
        <v>1.4125000000000001</v>
      </c>
      <c r="BB37" s="119">
        <f t="shared" si="32"/>
        <v>2.2124999999999999</v>
      </c>
      <c r="BC37" s="92"/>
      <c r="BD37" s="106"/>
      <c r="BE37" s="106"/>
      <c r="BF37" s="106"/>
      <c r="BG37" s="106"/>
      <c r="BH37" s="106"/>
    </row>
    <row r="38" spans="1:60" x14ac:dyDescent="0.25">
      <c r="A38" s="107">
        <v>2070</v>
      </c>
      <c r="B38" s="367" t="s">
        <v>46</v>
      </c>
      <c r="C38" s="98" t="s">
        <v>47</v>
      </c>
      <c r="D38" s="98" t="s">
        <v>435</v>
      </c>
      <c r="E38" s="142" t="s">
        <v>48</v>
      </c>
      <c r="F38" s="145">
        <v>300000</v>
      </c>
      <c r="G38" s="145">
        <v>300000</v>
      </c>
      <c r="H38" s="65">
        <v>4</v>
      </c>
      <c r="I38" s="145">
        <v>25</v>
      </c>
      <c r="J38" s="141">
        <f>(I38/100)*H38</f>
        <v>1</v>
      </c>
      <c r="K38" s="290">
        <f t="shared" si="18"/>
        <v>3</v>
      </c>
      <c r="L38" s="290">
        <f t="shared" si="19"/>
        <v>5</v>
      </c>
      <c r="M38" s="140" t="s">
        <v>260</v>
      </c>
      <c r="N38" s="78">
        <f>O38*1.5</f>
        <v>212040</v>
      </c>
      <c r="O38" s="153">
        <v>141360</v>
      </c>
      <c r="P38" s="121"/>
      <c r="Q38" s="121"/>
      <c r="R38" s="153">
        <v>23390</v>
      </c>
      <c r="S38" s="121">
        <f>(N38/G38)*100</f>
        <v>70.679999999999993</v>
      </c>
      <c r="T38" s="121">
        <f>(O38/G38)*100</f>
        <v>47.12</v>
      </c>
      <c r="U38" s="121">
        <v>3</v>
      </c>
      <c r="V38" s="121">
        <v>25</v>
      </c>
      <c r="W38" s="154">
        <f>(V38/100)*U38</f>
        <v>0.75</v>
      </c>
      <c r="X38" s="294">
        <f t="shared" si="20"/>
        <v>2.25</v>
      </c>
      <c r="Y38" s="294">
        <f t="shared" si="21"/>
        <v>3.75</v>
      </c>
      <c r="Z38" s="109" t="s">
        <v>603</v>
      </c>
      <c r="AA38" s="70">
        <v>1</v>
      </c>
      <c r="AB38" s="70">
        <v>2</v>
      </c>
      <c r="AC38" s="111">
        <v>4</v>
      </c>
      <c r="AD38" s="110">
        <v>5</v>
      </c>
      <c r="AE38" s="70">
        <v>5</v>
      </c>
      <c r="AF38" s="111">
        <v>5</v>
      </c>
      <c r="AG38" s="70">
        <v>2</v>
      </c>
      <c r="AH38" s="70">
        <v>3</v>
      </c>
      <c r="AI38" s="70"/>
      <c r="AJ38" s="70"/>
      <c r="AK38" s="70"/>
      <c r="AL38" s="110">
        <f>MAX(AA38:AF38)</f>
        <v>5</v>
      </c>
      <c r="AM38" s="112" t="s">
        <v>994</v>
      </c>
      <c r="AN38" s="116" t="s">
        <v>372</v>
      </c>
      <c r="AO38" s="116">
        <v>5</v>
      </c>
      <c r="AP38" s="116">
        <v>25</v>
      </c>
      <c r="AQ38" s="114">
        <f>(AP38/100)*AO38</f>
        <v>1.25</v>
      </c>
      <c r="AR38" s="301">
        <f t="shared" si="22"/>
        <v>3.75</v>
      </c>
      <c r="AS38" s="301">
        <f t="shared" si="23"/>
        <v>6.25</v>
      </c>
      <c r="AT38" s="115" t="s">
        <v>508</v>
      </c>
      <c r="AU38" s="117">
        <v>3</v>
      </c>
      <c r="AV38" s="116">
        <v>4</v>
      </c>
      <c r="AW38" s="113" t="s">
        <v>507</v>
      </c>
      <c r="AX38" s="118">
        <f>(K38+X38+AL38+AR38)/4</f>
        <v>3.5</v>
      </c>
      <c r="AY38" s="118">
        <f>(H38+U38+AL38+AO38)/4</f>
        <v>4.25</v>
      </c>
      <c r="AZ38" s="118">
        <f>(L38+Y38+AL38+AS38)/4</f>
        <v>5</v>
      </c>
      <c r="BA38" s="119">
        <f>MIN(AX38:AZ38)</f>
        <v>3.5</v>
      </c>
      <c r="BB38" s="119">
        <f>MAX(AX38:AZ38)</f>
        <v>5</v>
      </c>
      <c r="BC38" s="92"/>
      <c r="BD38" s="106"/>
      <c r="BE38" s="106"/>
      <c r="BF38" s="106"/>
      <c r="BG38" s="106"/>
      <c r="BH38" s="106"/>
    </row>
    <row r="39" spans="1:60" x14ac:dyDescent="0.25">
      <c r="A39" s="107">
        <v>2069</v>
      </c>
      <c r="B39" s="369"/>
      <c r="C39" s="98" t="s">
        <v>334</v>
      </c>
      <c r="D39" s="98" t="s">
        <v>436</v>
      </c>
      <c r="E39" s="142" t="s">
        <v>50</v>
      </c>
      <c r="F39" s="145">
        <v>180000</v>
      </c>
      <c r="G39" s="145">
        <v>180000</v>
      </c>
      <c r="H39" s="65">
        <v>4</v>
      </c>
      <c r="I39" s="145">
        <v>10</v>
      </c>
      <c r="J39" s="141">
        <f>(I39/100)*H39</f>
        <v>0.4</v>
      </c>
      <c r="K39" s="290">
        <f t="shared" si="18"/>
        <v>3.6</v>
      </c>
      <c r="L39" s="290">
        <f t="shared" si="19"/>
        <v>4.4000000000000004</v>
      </c>
      <c r="M39" s="140" t="s">
        <v>260</v>
      </c>
      <c r="N39" s="121" t="s">
        <v>549</v>
      </c>
      <c r="O39" s="153" t="s">
        <v>549</v>
      </c>
      <c r="P39" s="153" t="s">
        <v>549</v>
      </c>
      <c r="Q39" s="153" t="s">
        <v>549</v>
      </c>
      <c r="R39" s="153" t="s">
        <v>549</v>
      </c>
      <c r="S39" s="121">
        <v>50</v>
      </c>
      <c r="T39" s="121"/>
      <c r="U39" s="121">
        <v>3</v>
      </c>
      <c r="V39" s="121">
        <v>50</v>
      </c>
      <c r="W39" s="154">
        <f>(V39/100)*U39</f>
        <v>1.5</v>
      </c>
      <c r="X39" s="294">
        <f t="shared" si="20"/>
        <v>1.5</v>
      </c>
      <c r="Y39" s="294">
        <f t="shared" si="21"/>
        <v>4.5</v>
      </c>
      <c r="Z39" s="109" t="s">
        <v>629</v>
      </c>
      <c r="AA39" s="70">
        <v>1</v>
      </c>
      <c r="AB39" s="70">
        <v>1</v>
      </c>
      <c r="AC39" s="70">
        <v>1</v>
      </c>
      <c r="AD39" s="110">
        <v>1.25</v>
      </c>
      <c r="AE39" s="70">
        <v>2</v>
      </c>
      <c r="AF39" s="111">
        <v>5</v>
      </c>
      <c r="AG39" s="70">
        <v>2</v>
      </c>
      <c r="AH39" s="70"/>
      <c r="AI39" s="70"/>
      <c r="AJ39" s="70"/>
      <c r="AK39" s="70"/>
      <c r="AL39" s="110">
        <f>MAX(AA39:AF39)</f>
        <v>5</v>
      </c>
      <c r="AM39" s="112" t="s">
        <v>992</v>
      </c>
      <c r="AN39" s="116" t="s">
        <v>364</v>
      </c>
      <c r="AO39" s="116">
        <v>3</v>
      </c>
      <c r="AP39" s="116">
        <v>50</v>
      </c>
      <c r="AQ39" s="114">
        <f>(AP39/100)*AO39</f>
        <v>1.5</v>
      </c>
      <c r="AR39" s="301">
        <f t="shared" si="22"/>
        <v>1.5</v>
      </c>
      <c r="AS39" s="301">
        <f t="shared" si="23"/>
        <v>4.5</v>
      </c>
      <c r="AT39" s="115">
        <v>26.4</v>
      </c>
      <c r="AU39" s="117">
        <v>2</v>
      </c>
      <c r="AV39" s="116">
        <v>3</v>
      </c>
      <c r="AW39" s="113" t="s">
        <v>509</v>
      </c>
      <c r="AX39" s="118">
        <f>(K39+X39+AL39+AR39)/4</f>
        <v>2.9</v>
      </c>
      <c r="AY39" s="118">
        <f>(H39+U39+AL39+AO39)/4</f>
        <v>3.75</v>
      </c>
      <c r="AZ39" s="118">
        <f>(L39+Y39+AL39+AS39)/4</f>
        <v>4.5999999999999996</v>
      </c>
      <c r="BA39" s="119">
        <f>MIN(AX39:AZ39)</f>
        <v>2.9</v>
      </c>
      <c r="BB39" s="119">
        <f>MAX(AX39:AZ39)</f>
        <v>4.5999999999999996</v>
      </c>
      <c r="BC39" s="92"/>
      <c r="BD39" s="106"/>
      <c r="BE39" s="106"/>
      <c r="BF39" s="106"/>
      <c r="BG39" s="106"/>
      <c r="BH39" s="106"/>
    </row>
    <row r="40" spans="1:60" x14ac:dyDescent="0.25">
      <c r="A40" s="107">
        <v>1984</v>
      </c>
      <c r="B40" s="367" t="s">
        <v>51</v>
      </c>
      <c r="C40" s="98" t="s">
        <v>576</v>
      </c>
      <c r="D40" s="98" t="s">
        <v>1014</v>
      </c>
      <c r="E40" s="142" t="s">
        <v>52</v>
      </c>
      <c r="F40" s="145">
        <v>151200</v>
      </c>
      <c r="G40" s="145">
        <v>151200</v>
      </c>
      <c r="H40" s="65">
        <v>4</v>
      </c>
      <c r="I40" s="145">
        <v>10</v>
      </c>
      <c r="J40" s="141">
        <f>(I40/100)*H40</f>
        <v>0.4</v>
      </c>
      <c r="K40" s="290">
        <f t="shared" si="18"/>
        <v>3.6</v>
      </c>
      <c r="L40" s="290">
        <f t="shared" si="19"/>
        <v>4.4000000000000004</v>
      </c>
      <c r="M40" s="140" t="s">
        <v>268</v>
      </c>
      <c r="N40" s="153">
        <f>(1156+22816+83392)</f>
        <v>107364</v>
      </c>
      <c r="O40" s="153">
        <f>(264+21200+80000)</f>
        <v>101464</v>
      </c>
      <c r="P40" s="159" t="s">
        <v>53</v>
      </c>
      <c r="Q40" s="160">
        <v>21200</v>
      </c>
      <c r="R40" s="160">
        <v>83392</v>
      </c>
      <c r="S40" s="121">
        <f>(N40/G40)*100</f>
        <v>71.007936507936506</v>
      </c>
      <c r="T40" s="121">
        <f t="shared" ref="T40:T41" si="36">(O40/G40)*100</f>
        <v>67.105820105820101</v>
      </c>
      <c r="U40" s="121">
        <v>4</v>
      </c>
      <c r="V40" s="121">
        <v>10</v>
      </c>
      <c r="W40" s="154">
        <f>(V40/100)*U40</f>
        <v>0.4</v>
      </c>
      <c r="X40" s="294">
        <f t="shared" si="20"/>
        <v>3.6</v>
      </c>
      <c r="Y40" s="294">
        <f t="shared" si="21"/>
        <v>4.4000000000000004</v>
      </c>
      <c r="Z40" s="109" t="s">
        <v>847</v>
      </c>
      <c r="AA40" s="70">
        <v>1</v>
      </c>
      <c r="AB40" s="70">
        <v>1</v>
      </c>
      <c r="AC40" s="111">
        <v>3</v>
      </c>
      <c r="AD40" s="110">
        <v>1.25</v>
      </c>
      <c r="AE40" s="70">
        <v>1</v>
      </c>
      <c r="AF40" s="111">
        <v>2</v>
      </c>
      <c r="AG40" s="70">
        <v>1</v>
      </c>
      <c r="AH40" s="70"/>
      <c r="AI40" s="70"/>
      <c r="AJ40" s="70"/>
      <c r="AK40" s="70"/>
      <c r="AL40" s="110">
        <f>MAX(AA40:AF40)</f>
        <v>3</v>
      </c>
      <c r="AM40" s="112" t="s">
        <v>992</v>
      </c>
      <c r="AN40" s="116">
        <v>0.8</v>
      </c>
      <c r="AO40" s="116">
        <v>3</v>
      </c>
      <c r="AP40" s="116">
        <v>10</v>
      </c>
      <c r="AQ40" s="114">
        <f>(AP40/100)*AO40</f>
        <v>0.30000000000000004</v>
      </c>
      <c r="AR40" s="301">
        <f t="shared" si="22"/>
        <v>2.7</v>
      </c>
      <c r="AS40" s="301">
        <f t="shared" si="23"/>
        <v>3.3</v>
      </c>
      <c r="AT40" s="115">
        <v>18</v>
      </c>
      <c r="AU40" s="117" t="s">
        <v>395</v>
      </c>
      <c r="AV40" s="116">
        <v>3</v>
      </c>
      <c r="AW40" s="113" t="s">
        <v>356</v>
      </c>
      <c r="AX40" s="118">
        <f>(K40+X40+AL40+AR40)/4</f>
        <v>3.2249999999999996</v>
      </c>
      <c r="AY40" s="118">
        <f>(H40+U40+AL40+AO40)/4</f>
        <v>3.5</v>
      </c>
      <c r="AZ40" s="118">
        <f>(L40+Y40+AL40+AS40)/4</f>
        <v>3.7750000000000004</v>
      </c>
      <c r="BA40" s="119">
        <f>MIN(AX40:AZ40)</f>
        <v>3.2249999999999996</v>
      </c>
      <c r="BB40" s="119">
        <f>MAX(AX40:AZ40)</f>
        <v>3.7750000000000004</v>
      </c>
      <c r="BC40" s="92"/>
      <c r="BD40" s="106"/>
      <c r="BE40" s="106"/>
      <c r="BF40" s="106"/>
      <c r="BG40" s="106"/>
      <c r="BH40" s="106"/>
    </row>
    <row r="41" spans="1:60" x14ac:dyDescent="0.25">
      <c r="A41" s="107">
        <v>1988</v>
      </c>
      <c r="B41" s="368"/>
      <c r="C41" s="346" t="s">
        <v>575</v>
      </c>
      <c r="D41" s="346" t="s">
        <v>437</v>
      </c>
      <c r="E41" s="142" t="s">
        <v>54</v>
      </c>
      <c r="F41" s="141" t="s">
        <v>55</v>
      </c>
      <c r="G41" s="141">
        <f>(1100000+2200000)/2</f>
        <v>1650000</v>
      </c>
      <c r="H41" s="65">
        <v>2</v>
      </c>
      <c r="I41" s="141">
        <v>10</v>
      </c>
      <c r="J41" s="141">
        <f>(I41/100)*H41</f>
        <v>0.2</v>
      </c>
      <c r="K41" s="290">
        <f t="shared" si="18"/>
        <v>1.8</v>
      </c>
      <c r="L41" s="290">
        <f t="shared" si="19"/>
        <v>2.2000000000000002</v>
      </c>
      <c r="M41" s="140" t="s">
        <v>260</v>
      </c>
      <c r="N41" s="153">
        <f>3296+30400+10037</f>
        <v>43733</v>
      </c>
      <c r="O41" s="153">
        <f>100+30400+10037</f>
        <v>40537</v>
      </c>
      <c r="P41" s="121" t="s">
        <v>657</v>
      </c>
      <c r="Q41" s="153">
        <v>30400</v>
      </c>
      <c r="R41" s="153">
        <v>10037</v>
      </c>
      <c r="S41" s="121">
        <f>(N41/G41)*100</f>
        <v>2.6504848484848487</v>
      </c>
      <c r="T41" s="121">
        <f t="shared" si="36"/>
        <v>2.4567878787878787</v>
      </c>
      <c r="U41" s="121">
        <v>2</v>
      </c>
      <c r="V41" s="121">
        <v>10</v>
      </c>
      <c r="W41" s="154">
        <f>(V41/100)*U41</f>
        <v>0.2</v>
      </c>
      <c r="X41" s="294">
        <f t="shared" si="20"/>
        <v>1.8</v>
      </c>
      <c r="Y41" s="294">
        <f t="shared" si="21"/>
        <v>2.2000000000000002</v>
      </c>
      <c r="Z41" s="109" t="s">
        <v>846</v>
      </c>
      <c r="AA41" s="70">
        <v>1</v>
      </c>
      <c r="AB41" s="70">
        <v>1</v>
      </c>
      <c r="AC41" s="111">
        <v>1</v>
      </c>
      <c r="AD41" s="110">
        <v>1.25</v>
      </c>
      <c r="AE41" s="70">
        <v>1</v>
      </c>
      <c r="AF41" s="70">
        <v>1</v>
      </c>
      <c r="AG41" s="70">
        <v>2</v>
      </c>
      <c r="AH41" s="70"/>
      <c r="AI41" s="70"/>
      <c r="AJ41" s="70"/>
      <c r="AK41" s="70"/>
      <c r="AL41" s="110">
        <f>MAX(AA41:AF41)</f>
        <v>1.25</v>
      </c>
      <c r="AM41" s="112" t="s">
        <v>992</v>
      </c>
      <c r="AN41" s="116" t="s">
        <v>546</v>
      </c>
      <c r="AO41" s="116">
        <v>4</v>
      </c>
      <c r="AP41" s="116">
        <v>25</v>
      </c>
      <c r="AQ41" s="114">
        <f>(AP41/100)*AO41</f>
        <v>1</v>
      </c>
      <c r="AR41" s="301">
        <f t="shared" si="22"/>
        <v>3</v>
      </c>
      <c r="AS41" s="301">
        <f t="shared" si="23"/>
        <v>5</v>
      </c>
      <c r="AT41" s="115">
        <v>17.5</v>
      </c>
      <c r="AU41" s="117">
        <v>4</v>
      </c>
      <c r="AV41" s="116">
        <v>3</v>
      </c>
      <c r="AW41" s="113" t="s">
        <v>1003</v>
      </c>
      <c r="AX41" s="118">
        <f>(K41+X41+AL41+AR41)/4</f>
        <v>1.9624999999999999</v>
      </c>
      <c r="AY41" s="118">
        <f>(H41+U41+AL41+AO41)/4</f>
        <v>2.3125</v>
      </c>
      <c r="AZ41" s="118">
        <f>(L41+Y41+AL41+AS41)/4</f>
        <v>2.6625000000000001</v>
      </c>
      <c r="BA41" s="119">
        <f>MIN(AX41:AZ41)</f>
        <v>1.9624999999999999</v>
      </c>
      <c r="BB41" s="119">
        <f>MAX(AX41:AZ41)</f>
        <v>2.6625000000000001</v>
      </c>
      <c r="BC41" s="92"/>
      <c r="BD41" s="106"/>
      <c r="BE41" s="106"/>
      <c r="BF41" s="106"/>
      <c r="BG41" s="106"/>
      <c r="BH41" s="106"/>
    </row>
    <row r="42" spans="1:60" x14ac:dyDescent="0.25">
      <c r="A42" s="107">
        <v>2010</v>
      </c>
      <c r="B42" s="369"/>
      <c r="C42" s="98" t="s">
        <v>56</v>
      </c>
      <c r="D42" s="98" t="s">
        <v>438</v>
      </c>
      <c r="E42" s="142" t="s">
        <v>57</v>
      </c>
      <c r="F42" s="66">
        <v>400000</v>
      </c>
      <c r="G42" s="66">
        <v>400000</v>
      </c>
      <c r="H42" s="65">
        <v>4</v>
      </c>
      <c r="I42" s="66">
        <v>10</v>
      </c>
      <c r="J42" s="141">
        <f>(I42/100)*H42</f>
        <v>0.4</v>
      </c>
      <c r="K42" s="290">
        <f t="shared" si="18"/>
        <v>3.6</v>
      </c>
      <c r="L42" s="290">
        <f t="shared" si="19"/>
        <v>4.4000000000000004</v>
      </c>
      <c r="M42" s="140" t="s">
        <v>260</v>
      </c>
      <c r="N42" s="78"/>
      <c r="O42" s="121">
        <f>SUM(P42:R42)</f>
        <v>29966</v>
      </c>
      <c r="P42" s="121">
        <v>4866</v>
      </c>
      <c r="Q42" s="153">
        <v>10100</v>
      </c>
      <c r="R42" s="121">
        <v>15000</v>
      </c>
      <c r="S42" s="121">
        <f>(O42/G42)*100</f>
        <v>7.4914999999999994</v>
      </c>
      <c r="T42" s="78">
        <v>7</v>
      </c>
      <c r="U42" s="121">
        <v>2</v>
      </c>
      <c r="V42" s="121">
        <v>10</v>
      </c>
      <c r="W42" s="154">
        <f>(V42/100)*U42</f>
        <v>0.2</v>
      </c>
      <c r="X42" s="294">
        <f t="shared" si="20"/>
        <v>1.8</v>
      </c>
      <c r="Y42" s="294">
        <f t="shared" si="21"/>
        <v>2.2000000000000002</v>
      </c>
      <c r="Z42" s="109" t="s">
        <v>848</v>
      </c>
      <c r="AA42" s="70">
        <v>1</v>
      </c>
      <c r="AB42" s="70">
        <v>1</v>
      </c>
      <c r="AC42" s="111">
        <v>4</v>
      </c>
      <c r="AD42" s="110">
        <v>1.25</v>
      </c>
      <c r="AE42" s="70">
        <v>1</v>
      </c>
      <c r="AF42" s="70">
        <v>1</v>
      </c>
      <c r="AG42" s="70">
        <v>1</v>
      </c>
      <c r="AH42" s="70"/>
      <c r="AI42" s="70"/>
      <c r="AJ42" s="70"/>
      <c r="AK42" s="70"/>
      <c r="AL42" s="110">
        <f>MAX(AA42:AF42)</f>
        <v>4</v>
      </c>
      <c r="AM42" s="112" t="s">
        <v>992</v>
      </c>
      <c r="AN42" s="116" t="s">
        <v>506</v>
      </c>
      <c r="AO42" s="116">
        <v>3</v>
      </c>
      <c r="AP42" s="116">
        <v>50</v>
      </c>
      <c r="AQ42" s="114">
        <f>(AP42/100)*AO42</f>
        <v>1.5</v>
      </c>
      <c r="AR42" s="301">
        <f t="shared" si="22"/>
        <v>1.5</v>
      </c>
      <c r="AS42" s="301">
        <f t="shared" si="23"/>
        <v>4.5</v>
      </c>
      <c r="AT42" s="115">
        <v>18</v>
      </c>
      <c r="AU42" s="117" t="s">
        <v>397</v>
      </c>
      <c r="AV42" s="116">
        <v>3</v>
      </c>
      <c r="AW42" s="113" t="s">
        <v>511</v>
      </c>
      <c r="AX42" s="118">
        <f>(K42+X42+AL42+AR42)/4</f>
        <v>2.7250000000000001</v>
      </c>
      <c r="AY42" s="118">
        <f>(H42+U42+AL42+AO42)/4</f>
        <v>3.25</v>
      </c>
      <c r="AZ42" s="118">
        <f>(L42+Y42+AL42+AS42)/4</f>
        <v>3.7750000000000004</v>
      </c>
      <c r="BA42" s="119">
        <f>MIN(AX42:AZ42)</f>
        <v>2.7250000000000001</v>
      </c>
      <c r="BB42" s="119">
        <f>MAX(AX42:AZ42)</f>
        <v>3.7750000000000004</v>
      </c>
      <c r="BC42" s="92"/>
      <c r="BD42" s="106"/>
      <c r="BE42" s="106"/>
      <c r="BF42" s="106"/>
      <c r="BG42" s="106"/>
      <c r="BH42" s="106"/>
    </row>
    <row r="43" spans="1:60" x14ac:dyDescent="0.25">
      <c r="A43" s="107">
        <v>3816</v>
      </c>
      <c r="B43" s="367" t="s">
        <v>135</v>
      </c>
      <c r="C43" s="98" t="s">
        <v>136</v>
      </c>
      <c r="D43" s="98" t="s">
        <v>504</v>
      </c>
      <c r="E43" s="142" t="s">
        <v>137</v>
      </c>
      <c r="F43" s="141" t="s">
        <v>138</v>
      </c>
      <c r="G43" s="141">
        <f>(2000000+1100000)/2</f>
        <v>1550000</v>
      </c>
      <c r="H43" s="65">
        <v>2</v>
      </c>
      <c r="I43" s="141">
        <v>10</v>
      </c>
      <c r="J43" s="141">
        <f t="shared" ref="J43:J67" si="37">(I43/100)*H43</f>
        <v>0.2</v>
      </c>
      <c r="K43" s="290">
        <f t="shared" si="18"/>
        <v>1.8</v>
      </c>
      <c r="L43" s="290">
        <f t="shared" si="19"/>
        <v>2.2000000000000002</v>
      </c>
      <c r="M43" s="140" t="s">
        <v>260</v>
      </c>
      <c r="N43" s="121">
        <v>1250000</v>
      </c>
      <c r="O43" s="121">
        <v>925000</v>
      </c>
      <c r="P43" s="121" t="s">
        <v>549</v>
      </c>
      <c r="Q43" s="121" t="s">
        <v>549</v>
      </c>
      <c r="R43" s="121">
        <f>3700000*0.25</f>
        <v>925000</v>
      </c>
      <c r="S43" s="121">
        <f t="shared" ref="S43:S45" si="38">(N43/G43)*100</f>
        <v>80.645161290322577</v>
      </c>
      <c r="T43" s="121">
        <f>(O43/G43)*100</f>
        <v>59.677419354838712</v>
      </c>
      <c r="U43" s="121">
        <v>4</v>
      </c>
      <c r="V43" s="121">
        <v>25</v>
      </c>
      <c r="W43" s="154">
        <f t="shared" ref="W43:W67" si="39">(V43/100)*U43</f>
        <v>1</v>
      </c>
      <c r="X43" s="294">
        <f t="shared" si="20"/>
        <v>3</v>
      </c>
      <c r="Y43" s="294">
        <f t="shared" si="21"/>
        <v>5</v>
      </c>
      <c r="Z43" s="109" t="s">
        <v>683</v>
      </c>
      <c r="AA43" s="70">
        <v>1</v>
      </c>
      <c r="AB43" s="70">
        <v>1</v>
      </c>
      <c r="AC43" s="70">
        <v>1</v>
      </c>
      <c r="AD43" s="110">
        <v>1.25</v>
      </c>
      <c r="AE43" s="70">
        <v>1</v>
      </c>
      <c r="AF43" s="70">
        <v>1</v>
      </c>
      <c r="AG43" s="70">
        <v>1</v>
      </c>
      <c r="AH43" s="70"/>
      <c r="AI43" s="70"/>
      <c r="AJ43" s="70"/>
      <c r="AK43" s="70"/>
      <c r="AL43" s="110">
        <f t="shared" si="34"/>
        <v>1.25</v>
      </c>
      <c r="AM43" s="112" t="s">
        <v>992</v>
      </c>
      <c r="AN43" s="116" t="s">
        <v>528</v>
      </c>
      <c r="AO43" s="116">
        <v>1</v>
      </c>
      <c r="AP43" s="116">
        <v>50</v>
      </c>
      <c r="AQ43" s="114">
        <f t="shared" ref="AQ43:AQ67" si="40">(AP43/100)*AO43</f>
        <v>0.5</v>
      </c>
      <c r="AR43" s="301">
        <f t="shared" si="22"/>
        <v>0.5</v>
      </c>
      <c r="AS43" s="301">
        <f t="shared" si="23"/>
        <v>1.5</v>
      </c>
      <c r="AT43" s="116">
        <v>10</v>
      </c>
      <c r="AU43" s="117">
        <v>4</v>
      </c>
      <c r="AV43" s="116">
        <v>1</v>
      </c>
      <c r="AW43" s="113" t="s">
        <v>530</v>
      </c>
      <c r="AX43" s="118">
        <f t="shared" ref="AX43:AX67" si="41">(K43+X43+AL43+AR43)/4</f>
        <v>1.6375</v>
      </c>
      <c r="AY43" s="118">
        <f t="shared" ref="AY43:AY67" si="42">(H43+U43+AL43+AO43)/4</f>
        <v>2.0625</v>
      </c>
      <c r="AZ43" s="118">
        <f t="shared" ref="AZ43:AZ67" si="43">(L43+Y43+AL43+AS43)/4</f>
        <v>2.4874999999999998</v>
      </c>
      <c r="BA43" s="119">
        <f t="shared" ref="BA43:BA67" si="44">MIN(AX43:AZ43)</f>
        <v>1.6375</v>
      </c>
      <c r="BB43" s="119">
        <f t="shared" ref="BB43:BB67" si="45">MAX(AX43:AZ43)</f>
        <v>2.4874999999999998</v>
      </c>
      <c r="BC43" s="92"/>
      <c r="BD43" s="106"/>
      <c r="BE43" s="106"/>
      <c r="BF43" s="106"/>
      <c r="BG43" s="106"/>
      <c r="BH43" s="106"/>
    </row>
    <row r="44" spans="1:60" x14ac:dyDescent="0.25">
      <c r="A44" s="107">
        <v>4137</v>
      </c>
      <c r="B44" s="369"/>
      <c r="C44" s="98" t="s">
        <v>589</v>
      </c>
      <c r="D44" s="98" t="s">
        <v>503</v>
      </c>
      <c r="E44" s="142" t="s">
        <v>139</v>
      </c>
      <c r="F44" s="141" t="s">
        <v>140</v>
      </c>
      <c r="G44" s="141">
        <f>(4500000+3600000)/2</f>
        <v>4050000</v>
      </c>
      <c r="H44" s="65">
        <v>1</v>
      </c>
      <c r="I44" s="141">
        <v>10</v>
      </c>
      <c r="J44" s="141">
        <f t="shared" si="37"/>
        <v>0.1</v>
      </c>
      <c r="K44" s="290">
        <f t="shared" si="18"/>
        <v>0.9</v>
      </c>
      <c r="L44" s="290">
        <f t="shared" si="19"/>
        <v>1.1000000000000001</v>
      </c>
      <c r="M44" s="140" t="s">
        <v>260</v>
      </c>
      <c r="N44" s="121">
        <f>SUM(P44:R44)</f>
        <v>2775000</v>
      </c>
      <c r="O44" s="121" t="s">
        <v>549</v>
      </c>
      <c r="P44" s="121" t="s">
        <v>549</v>
      </c>
      <c r="Q44" s="121" t="s">
        <v>549</v>
      </c>
      <c r="R44" s="121">
        <f>3700000*0.75</f>
        <v>2775000</v>
      </c>
      <c r="S44" s="121">
        <f t="shared" si="38"/>
        <v>68.518518518518519</v>
      </c>
      <c r="T44" s="121"/>
      <c r="U44" s="121">
        <v>4</v>
      </c>
      <c r="V44" s="121">
        <v>25</v>
      </c>
      <c r="W44" s="154">
        <f t="shared" si="39"/>
        <v>1</v>
      </c>
      <c r="X44" s="294">
        <f t="shared" si="20"/>
        <v>3</v>
      </c>
      <c r="Y44" s="294">
        <f t="shared" si="21"/>
        <v>5</v>
      </c>
      <c r="Z44" s="109" t="s">
        <v>684</v>
      </c>
      <c r="AA44" s="70">
        <v>1</v>
      </c>
      <c r="AB44" s="70">
        <v>1</v>
      </c>
      <c r="AC44" s="70">
        <v>1</v>
      </c>
      <c r="AD44" s="110">
        <v>1.25</v>
      </c>
      <c r="AE44" s="70">
        <v>1</v>
      </c>
      <c r="AF44" s="70">
        <v>1</v>
      </c>
      <c r="AG44" s="70">
        <v>1</v>
      </c>
      <c r="AH44" s="70"/>
      <c r="AI44" s="70"/>
      <c r="AJ44" s="70"/>
      <c r="AK44" s="70"/>
      <c r="AL44" s="110">
        <f t="shared" si="34"/>
        <v>1.25</v>
      </c>
      <c r="AM44" s="112" t="s">
        <v>992</v>
      </c>
      <c r="AN44" s="116" t="s">
        <v>528</v>
      </c>
      <c r="AO44" s="116">
        <v>1</v>
      </c>
      <c r="AP44" s="116">
        <v>50</v>
      </c>
      <c r="AQ44" s="114">
        <f t="shared" si="40"/>
        <v>0.5</v>
      </c>
      <c r="AR44" s="301">
        <f t="shared" si="22"/>
        <v>0.5</v>
      </c>
      <c r="AS44" s="301">
        <f t="shared" si="23"/>
        <v>1.5</v>
      </c>
      <c r="AT44" s="116">
        <v>6</v>
      </c>
      <c r="AU44" s="116">
        <v>4</v>
      </c>
      <c r="AV44" s="116">
        <v>1</v>
      </c>
      <c r="AW44" s="113" t="s">
        <v>529</v>
      </c>
      <c r="AX44" s="118">
        <f t="shared" si="41"/>
        <v>1.4125000000000001</v>
      </c>
      <c r="AY44" s="118">
        <f t="shared" si="42"/>
        <v>1.8125</v>
      </c>
      <c r="AZ44" s="118">
        <f t="shared" si="43"/>
        <v>2.2124999999999999</v>
      </c>
      <c r="BA44" s="119">
        <f t="shared" si="44"/>
        <v>1.4125000000000001</v>
      </c>
      <c r="BB44" s="119">
        <f t="shared" si="45"/>
        <v>2.2124999999999999</v>
      </c>
      <c r="BC44" s="92"/>
      <c r="BD44" s="106"/>
      <c r="BE44" s="106"/>
      <c r="BF44" s="106"/>
      <c r="BG44" s="106"/>
      <c r="BH44" s="106"/>
    </row>
    <row r="45" spans="1:60" x14ac:dyDescent="0.25">
      <c r="A45" s="120">
        <v>4264</v>
      </c>
      <c r="B45" s="363" t="s">
        <v>69</v>
      </c>
      <c r="C45" s="80" t="s">
        <v>263</v>
      </c>
      <c r="D45" s="80" t="s">
        <v>487</v>
      </c>
      <c r="E45" s="142" t="s">
        <v>70</v>
      </c>
      <c r="F45" s="141" t="s">
        <v>71</v>
      </c>
      <c r="G45" s="141">
        <f>(18000000+17000000)/2</f>
        <v>17500000</v>
      </c>
      <c r="H45" s="65">
        <v>1</v>
      </c>
      <c r="I45" s="141">
        <v>10</v>
      </c>
      <c r="J45" s="141">
        <f t="shared" si="37"/>
        <v>0.1</v>
      </c>
      <c r="K45" s="290">
        <f t="shared" si="18"/>
        <v>0.9</v>
      </c>
      <c r="L45" s="290">
        <f t="shared" si="19"/>
        <v>1.1000000000000001</v>
      </c>
      <c r="M45" s="140" t="s">
        <v>260</v>
      </c>
      <c r="N45" s="121">
        <v>1700000</v>
      </c>
      <c r="O45" s="121">
        <v>1000000</v>
      </c>
      <c r="P45" s="153" t="s">
        <v>549</v>
      </c>
      <c r="Q45" s="153" t="s">
        <v>549</v>
      </c>
      <c r="R45" s="121"/>
      <c r="S45" s="121">
        <f t="shared" si="38"/>
        <v>9.7142857142857135</v>
      </c>
      <c r="T45" s="121">
        <f t="shared" ref="T45:T64" si="46">(O45/G45)*100</f>
        <v>5.7142857142857144</v>
      </c>
      <c r="U45" s="121">
        <v>2</v>
      </c>
      <c r="V45" s="121">
        <v>10</v>
      </c>
      <c r="W45" s="154">
        <f t="shared" si="39"/>
        <v>0.2</v>
      </c>
      <c r="X45" s="294">
        <f t="shared" si="20"/>
        <v>1.8</v>
      </c>
      <c r="Y45" s="294">
        <f t="shared" si="21"/>
        <v>2.2000000000000002</v>
      </c>
      <c r="Z45" s="109" t="s">
        <v>614</v>
      </c>
      <c r="AA45" s="70">
        <v>1</v>
      </c>
      <c r="AB45" s="70">
        <v>1</v>
      </c>
      <c r="AC45" s="70">
        <v>1</v>
      </c>
      <c r="AD45" s="110">
        <v>1.25</v>
      </c>
      <c r="AE45" s="70">
        <v>1</v>
      </c>
      <c r="AF45" s="70">
        <v>1</v>
      </c>
      <c r="AG45" s="70">
        <v>1</v>
      </c>
      <c r="AH45" s="70"/>
      <c r="AI45" s="70"/>
      <c r="AJ45" s="70"/>
      <c r="AK45" s="70"/>
      <c r="AL45" s="110">
        <f t="shared" si="34"/>
        <v>1.25</v>
      </c>
      <c r="AM45" s="112" t="s">
        <v>992</v>
      </c>
      <c r="AN45" s="116" t="s">
        <v>512</v>
      </c>
      <c r="AO45" s="116">
        <v>4</v>
      </c>
      <c r="AP45" s="116">
        <v>50</v>
      </c>
      <c r="AQ45" s="114">
        <f t="shared" si="40"/>
        <v>2</v>
      </c>
      <c r="AR45" s="301">
        <f t="shared" si="22"/>
        <v>2</v>
      </c>
      <c r="AS45" s="301">
        <f t="shared" si="23"/>
        <v>6</v>
      </c>
      <c r="AT45" s="115" t="s">
        <v>559</v>
      </c>
      <c r="AU45" s="117" t="s">
        <v>404</v>
      </c>
      <c r="AV45" s="116">
        <v>5</v>
      </c>
      <c r="AW45" s="113" t="s">
        <v>1075</v>
      </c>
      <c r="AX45" s="118">
        <f t="shared" si="41"/>
        <v>1.4875</v>
      </c>
      <c r="AY45" s="118">
        <f t="shared" si="42"/>
        <v>2.0625</v>
      </c>
      <c r="AZ45" s="118">
        <f t="shared" si="43"/>
        <v>2.6375000000000002</v>
      </c>
      <c r="BA45" s="119">
        <f t="shared" si="44"/>
        <v>1.4875</v>
      </c>
      <c r="BB45" s="119">
        <f t="shared" si="45"/>
        <v>2.6375000000000002</v>
      </c>
      <c r="BC45" s="92"/>
      <c r="BD45" s="106"/>
      <c r="BE45" s="106"/>
      <c r="BF45" s="106"/>
      <c r="BG45" s="106"/>
      <c r="BH45" s="106"/>
    </row>
    <row r="46" spans="1:60" x14ac:dyDescent="0.25">
      <c r="A46" s="120">
        <v>4276</v>
      </c>
      <c r="B46" s="364"/>
      <c r="C46" s="80" t="s">
        <v>579</v>
      </c>
      <c r="D46" s="80" t="s">
        <v>488</v>
      </c>
      <c r="E46" s="142" t="s">
        <v>72</v>
      </c>
      <c r="F46" s="141" t="s">
        <v>73</v>
      </c>
      <c r="G46" s="141">
        <f>(530000+260000)/2</f>
        <v>395000</v>
      </c>
      <c r="H46" s="65">
        <v>4</v>
      </c>
      <c r="I46" s="141">
        <v>25</v>
      </c>
      <c r="J46" s="141">
        <f t="shared" si="37"/>
        <v>1</v>
      </c>
      <c r="K46" s="290">
        <f t="shared" si="18"/>
        <v>3</v>
      </c>
      <c r="L46" s="290">
        <f t="shared" si="19"/>
        <v>5</v>
      </c>
      <c r="M46" s="140" t="s">
        <v>642</v>
      </c>
      <c r="N46" s="153">
        <v>530000</v>
      </c>
      <c r="O46" s="121">
        <v>300000</v>
      </c>
      <c r="P46" s="153"/>
      <c r="Q46" s="153"/>
      <c r="R46" s="153">
        <v>530000</v>
      </c>
      <c r="S46" s="121">
        <v>100</v>
      </c>
      <c r="T46" s="121">
        <f t="shared" si="46"/>
        <v>75.949367088607602</v>
      </c>
      <c r="U46" s="121">
        <v>4</v>
      </c>
      <c r="V46" s="121">
        <v>50</v>
      </c>
      <c r="W46" s="154">
        <f t="shared" si="39"/>
        <v>2</v>
      </c>
      <c r="X46" s="294">
        <f t="shared" si="20"/>
        <v>2</v>
      </c>
      <c r="Y46" s="294">
        <f t="shared" si="21"/>
        <v>6</v>
      </c>
      <c r="Z46" s="109" t="s">
        <v>696</v>
      </c>
      <c r="AA46" s="70">
        <v>1</v>
      </c>
      <c r="AB46" s="70">
        <v>1</v>
      </c>
      <c r="AC46" s="70">
        <v>1</v>
      </c>
      <c r="AD46" s="110">
        <v>1.25</v>
      </c>
      <c r="AE46" s="70">
        <v>1</v>
      </c>
      <c r="AF46" s="70">
        <v>1</v>
      </c>
      <c r="AG46" s="70">
        <v>1</v>
      </c>
      <c r="AH46" s="70"/>
      <c r="AI46" s="70"/>
      <c r="AJ46" s="70"/>
      <c r="AK46" s="70"/>
      <c r="AL46" s="110">
        <f t="shared" si="34"/>
        <v>1.25</v>
      </c>
      <c r="AM46" s="112" t="s">
        <v>992</v>
      </c>
      <c r="AN46" s="116" t="s">
        <v>506</v>
      </c>
      <c r="AO46" s="116">
        <v>3</v>
      </c>
      <c r="AP46" s="116">
        <v>50</v>
      </c>
      <c r="AQ46" s="114">
        <f t="shared" si="40"/>
        <v>1.5</v>
      </c>
      <c r="AR46" s="301">
        <f t="shared" si="22"/>
        <v>1.5</v>
      </c>
      <c r="AS46" s="301">
        <f t="shared" si="23"/>
        <v>4.5</v>
      </c>
      <c r="AT46" s="115" t="s">
        <v>559</v>
      </c>
      <c r="AU46" s="117">
        <v>3</v>
      </c>
      <c r="AV46" s="116">
        <v>2</v>
      </c>
      <c r="AW46" s="113" t="s">
        <v>543</v>
      </c>
      <c r="AX46" s="118">
        <f t="shared" si="41"/>
        <v>1.9375</v>
      </c>
      <c r="AY46" s="118">
        <f t="shared" si="42"/>
        <v>3.0625</v>
      </c>
      <c r="AZ46" s="118">
        <f t="shared" si="43"/>
        <v>4.1875</v>
      </c>
      <c r="BA46" s="119">
        <f t="shared" si="44"/>
        <v>1.9375</v>
      </c>
      <c r="BB46" s="119">
        <f t="shared" si="45"/>
        <v>4.1875</v>
      </c>
      <c r="BC46" s="92"/>
      <c r="BD46" s="106"/>
      <c r="BE46" s="106"/>
      <c r="BF46" s="106"/>
      <c r="BG46" s="106"/>
      <c r="BH46" s="106"/>
    </row>
    <row r="47" spans="1:60" x14ac:dyDescent="0.25">
      <c r="A47" s="120">
        <v>4269</v>
      </c>
      <c r="B47" s="364"/>
      <c r="C47" s="80" t="s">
        <v>580</v>
      </c>
      <c r="D47" s="80" t="s">
        <v>489</v>
      </c>
      <c r="E47" s="142" t="s">
        <v>74</v>
      </c>
      <c r="F47" s="141" t="s">
        <v>75</v>
      </c>
      <c r="G47" s="141">
        <f>(700000+330000)/2</f>
        <v>515000</v>
      </c>
      <c r="H47" s="65">
        <v>3</v>
      </c>
      <c r="I47" s="141">
        <v>10</v>
      </c>
      <c r="J47" s="141">
        <f t="shared" si="37"/>
        <v>0.30000000000000004</v>
      </c>
      <c r="K47" s="290">
        <f t="shared" si="18"/>
        <v>2.7</v>
      </c>
      <c r="L47" s="290">
        <f t="shared" si="19"/>
        <v>3.3</v>
      </c>
      <c r="M47" s="140" t="s">
        <v>278</v>
      </c>
      <c r="N47" s="153">
        <v>100000</v>
      </c>
      <c r="O47" s="153">
        <v>50000</v>
      </c>
      <c r="P47" s="153" t="s">
        <v>549</v>
      </c>
      <c r="Q47" s="153" t="s">
        <v>549</v>
      </c>
      <c r="R47" s="153" t="s">
        <v>688</v>
      </c>
      <c r="S47" s="121">
        <f>(N47/G47)*100</f>
        <v>19.417475728155338</v>
      </c>
      <c r="T47" s="121">
        <f t="shared" si="46"/>
        <v>9.7087378640776691</v>
      </c>
      <c r="U47" s="121">
        <v>2</v>
      </c>
      <c r="V47" s="121">
        <v>10</v>
      </c>
      <c r="W47" s="154">
        <f t="shared" si="39"/>
        <v>0.2</v>
      </c>
      <c r="X47" s="294">
        <f t="shared" si="20"/>
        <v>1.8</v>
      </c>
      <c r="Y47" s="294">
        <f t="shared" si="21"/>
        <v>2.2000000000000002</v>
      </c>
      <c r="Z47" s="109" t="s">
        <v>689</v>
      </c>
      <c r="AA47" s="70">
        <v>1</v>
      </c>
      <c r="AB47" s="70">
        <v>1</v>
      </c>
      <c r="AC47" s="70">
        <v>1</v>
      </c>
      <c r="AD47" s="110">
        <v>1.25</v>
      </c>
      <c r="AE47" s="70">
        <v>1</v>
      </c>
      <c r="AF47" s="70">
        <v>1</v>
      </c>
      <c r="AG47" s="70">
        <v>1</v>
      </c>
      <c r="AH47" s="70"/>
      <c r="AI47" s="70"/>
      <c r="AJ47" s="70"/>
      <c r="AK47" s="70"/>
      <c r="AL47" s="110">
        <f t="shared" si="34"/>
        <v>1.25</v>
      </c>
      <c r="AM47" s="112" t="s">
        <v>992</v>
      </c>
      <c r="AN47" s="116" t="s">
        <v>506</v>
      </c>
      <c r="AO47" s="116">
        <v>3</v>
      </c>
      <c r="AP47" s="116">
        <v>50</v>
      </c>
      <c r="AQ47" s="114">
        <f t="shared" si="40"/>
        <v>1.5</v>
      </c>
      <c r="AR47" s="301">
        <f t="shared" si="22"/>
        <v>1.5</v>
      </c>
      <c r="AS47" s="301">
        <f t="shared" si="23"/>
        <v>4.5</v>
      </c>
      <c r="AT47" s="115" t="s">
        <v>559</v>
      </c>
      <c r="AU47" s="117" t="s">
        <v>405</v>
      </c>
      <c r="AV47" s="116">
        <v>2</v>
      </c>
      <c r="AW47" s="113" t="s">
        <v>406</v>
      </c>
      <c r="AX47" s="118">
        <f t="shared" si="41"/>
        <v>1.8125</v>
      </c>
      <c r="AY47" s="118">
        <f t="shared" si="42"/>
        <v>2.3125</v>
      </c>
      <c r="AZ47" s="118">
        <f t="shared" si="43"/>
        <v>2.8125</v>
      </c>
      <c r="BA47" s="119">
        <f t="shared" si="44"/>
        <v>1.8125</v>
      </c>
      <c r="BB47" s="119">
        <f t="shared" si="45"/>
        <v>2.8125</v>
      </c>
      <c r="BC47" s="92"/>
      <c r="BD47" s="106"/>
      <c r="BE47" s="106"/>
      <c r="BF47" s="106"/>
      <c r="BG47" s="106"/>
      <c r="BH47" s="106"/>
    </row>
    <row r="48" spans="1:60" x14ac:dyDescent="0.25">
      <c r="A48" s="120">
        <v>4325</v>
      </c>
      <c r="B48" s="364"/>
      <c r="C48" s="80" t="s">
        <v>76</v>
      </c>
      <c r="D48" s="80" t="s">
        <v>441</v>
      </c>
      <c r="E48" s="142" t="s">
        <v>77</v>
      </c>
      <c r="F48" s="145">
        <v>620000</v>
      </c>
      <c r="G48" s="145">
        <v>620000</v>
      </c>
      <c r="H48" s="65">
        <v>3</v>
      </c>
      <c r="I48" s="145">
        <v>10</v>
      </c>
      <c r="J48" s="141">
        <f t="shared" si="37"/>
        <v>0.30000000000000004</v>
      </c>
      <c r="K48" s="290">
        <f t="shared" si="18"/>
        <v>2.7</v>
      </c>
      <c r="L48" s="290">
        <f t="shared" si="19"/>
        <v>3.3</v>
      </c>
      <c r="M48" s="140" t="s">
        <v>260</v>
      </c>
      <c r="N48" s="121">
        <v>300000</v>
      </c>
      <c r="O48" s="121">
        <v>150000</v>
      </c>
      <c r="P48" s="153" t="s">
        <v>549</v>
      </c>
      <c r="Q48" s="153" t="s">
        <v>549</v>
      </c>
      <c r="R48" s="121" t="s">
        <v>621</v>
      </c>
      <c r="S48" s="121">
        <f>(N48/G48)*100</f>
        <v>48.387096774193552</v>
      </c>
      <c r="T48" s="121">
        <f t="shared" si="46"/>
        <v>24.193548387096776</v>
      </c>
      <c r="U48" s="121">
        <v>3</v>
      </c>
      <c r="V48" s="121">
        <v>25</v>
      </c>
      <c r="W48" s="154">
        <f t="shared" si="39"/>
        <v>0.75</v>
      </c>
      <c r="X48" s="294">
        <f t="shared" si="20"/>
        <v>2.25</v>
      </c>
      <c r="Y48" s="294">
        <f t="shared" si="21"/>
        <v>3.75</v>
      </c>
      <c r="Z48" s="109" t="s">
        <v>685</v>
      </c>
      <c r="AA48" s="70">
        <v>1</v>
      </c>
      <c r="AB48" s="70">
        <v>1</v>
      </c>
      <c r="AC48" s="111">
        <v>2</v>
      </c>
      <c r="AD48" s="110">
        <v>1.25</v>
      </c>
      <c r="AE48" s="70">
        <v>1</v>
      </c>
      <c r="AF48" s="70">
        <v>1</v>
      </c>
      <c r="AG48" s="70">
        <v>1</v>
      </c>
      <c r="AH48" s="70"/>
      <c r="AI48" s="70"/>
      <c r="AJ48" s="70"/>
      <c r="AK48" s="70"/>
      <c r="AL48" s="110">
        <f t="shared" si="34"/>
        <v>2</v>
      </c>
      <c r="AM48" s="112" t="s">
        <v>992</v>
      </c>
      <c r="AN48" s="116" t="s">
        <v>358</v>
      </c>
      <c r="AO48" s="116">
        <v>3</v>
      </c>
      <c r="AP48" s="116">
        <v>50</v>
      </c>
      <c r="AQ48" s="114">
        <f t="shared" si="40"/>
        <v>1.5</v>
      </c>
      <c r="AR48" s="301">
        <f t="shared" si="22"/>
        <v>1.5</v>
      </c>
      <c r="AS48" s="301">
        <f t="shared" si="23"/>
        <v>4.5</v>
      </c>
      <c r="AT48" s="115">
        <v>30</v>
      </c>
      <c r="AU48" s="117">
        <v>3</v>
      </c>
      <c r="AV48" s="116">
        <v>4</v>
      </c>
      <c r="AW48" s="113" t="s">
        <v>359</v>
      </c>
      <c r="AX48" s="118">
        <f t="shared" si="41"/>
        <v>2.1124999999999998</v>
      </c>
      <c r="AY48" s="118">
        <f t="shared" si="42"/>
        <v>2.75</v>
      </c>
      <c r="AZ48" s="118">
        <f t="shared" si="43"/>
        <v>3.3875000000000002</v>
      </c>
      <c r="BA48" s="119">
        <f t="shared" si="44"/>
        <v>2.1124999999999998</v>
      </c>
      <c r="BB48" s="119">
        <f t="shared" si="45"/>
        <v>3.3875000000000002</v>
      </c>
      <c r="BC48" s="92"/>
      <c r="BD48" s="106"/>
      <c r="BE48" s="106"/>
      <c r="BF48" s="106"/>
      <c r="BG48" s="106"/>
      <c r="BH48" s="106"/>
    </row>
    <row r="49" spans="1:60" x14ac:dyDescent="0.25">
      <c r="A49" s="120">
        <v>4313</v>
      </c>
      <c r="B49" s="364"/>
      <c r="C49" s="80" t="s">
        <v>581</v>
      </c>
      <c r="D49" s="80" t="s">
        <v>439</v>
      </c>
      <c r="E49" s="142" t="s">
        <v>78</v>
      </c>
      <c r="F49" s="145">
        <v>530000</v>
      </c>
      <c r="G49" s="145">
        <v>530000</v>
      </c>
      <c r="H49" s="65">
        <v>3</v>
      </c>
      <c r="I49" s="145">
        <v>10</v>
      </c>
      <c r="J49" s="141">
        <f t="shared" si="37"/>
        <v>0.30000000000000004</v>
      </c>
      <c r="K49" s="290">
        <f t="shared" si="18"/>
        <v>2.7</v>
      </c>
      <c r="L49" s="290">
        <f t="shared" si="19"/>
        <v>3.3</v>
      </c>
      <c r="M49" s="140" t="s">
        <v>620</v>
      </c>
      <c r="N49" s="121" t="s">
        <v>549</v>
      </c>
      <c r="O49" s="153">
        <v>27000</v>
      </c>
      <c r="P49" s="153" t="s">
        <v>549</v>
      </c>
      <c r="Q49" s="153" t="s">
        <v>549</v>
      </c>
      <c r="R49" s="153">
        <v>27000</v>
      </c>
      <c r="S49" s="121">
        <v>90</v>
      </c>
      <c r="T49" s="121">
        <f t="shared" si="46"/>
        <v>5.0943396226415096</v>
      </c>
      <c r="U49" s="121">
        <v>3</v>
      </c>
      <c r="V49" s="121">
        <v>50</v>
      </c>
      <c r="W49" s="154">
        <f t="shared" si="39"/>
        <v>1.5</v>
      </c>
      <c r="X49" s="294">
        <f t="shared" si="20"/>
        <v>1.5</v>
      </c>
      <c r="Y49" s="294">
        <f t="shared" si="21"/>
        <v>4.5</v>
      </c>
      <c r="Z49" s="109" t="s">
        <v>988</v>
      </c>
      <c r="AA49" s="70">
        <v>2</v>
      </c>
      <c r="AB49" s="70">
        <v>1</v>
      </c>
      <c r="AC49" s="111">
        <v>3</v>
      </c>
      <c r="AD49" s="110">
        <v>1.25</v>
      </c>
      <c r="AE49" s="70">
        <v>1</v>
      </c>
      <c r="AF49" s="70">
        <v>1</v>
      </c>
      <c r="AG49" s="70">
        <v>1</v>
      </c>
      <c r="AH49" s="70">
        <v>2</v>
      </c>
      <c r="AI49" s="70"/>
      <c r="AJ49" s="70"/>
      <c r="AK49" s="70"/>
      <c r="AL49" s="110">
        <f t="shared" si="34"/>
        <v>3</v>
      </c>
      <c r="AM49" s="112" t="s">
        <v>994</v>
      </c>
      <c r="AN49" s="116" t="s">
        <v>506</v>
      </c>
      <c r="AO49" s="116">
        <v>3</v>
      </c>
      <c r="AP49" s="116">
        <v>50</v>
      </c>
      <c r="AQ49" s="114">
        <f t="shared" si="40"/>
        <v>1.5</v>
      </c>
      <c r="AR49" s="301">
        <f t="shared" si="22"/>
        <v>1.5</v>
      </c>
      <c r="AS49" s="301">
        <f t="shared" si="23"/>
        <v>4.5</v>
      </c>
      <c r="AT49" s="115">
        <v>7</v>
      </c>
      <c r="AU49" s="117" t="s">
        <v>403</v>
      </c>
      <c r="AV49" s="116">
        <v>4</v>
      </c>
      <c r="AW49" s="113" t="s">
        <v>408</v>
      </c>
      <c r="AX49" s="118">
        <f t="shared" si="41"/>
        <v>2.1749999999999998</v>
      </c>
      <c r="AY49" s="118">
        <f t="shared" si="42"/>
        <v>3</v>
      </c>
      <c r="AZ49" s="118">
        <f t="shared" si="43"/>
        <v>3.8250000000000002</v>
      </c>
      <c r="BA49" s="119">
        <f t="shared" si="44"/>
        <v>2.1749999999999998</v>
      </c>
      <c r="BB49" s="119">
        <f t="shared" si="45"/>
        <v>3.8250000000000002</v>
      </c>
      <c r="BC49" s="92"/>
      <c r="BD49" s="106"/>
      <c r="BE49" s="106"/>
      <c r="BF49" s="106"/>
      <c r="BG49" s="106"/>
      <c r="BH49" s="106"/>
    </row>
    <row r="50" spans="1:60" x14ac:dyDescent="0.25">
      <c r="A50" s="120">
        <v>4318</v>
      </c>
      <c r="B50" s="364"/>
      <c r="C50" s="80" t="s">
        <v>79</v>
      </c>
      <c r="D50" s="80" t="s">
        <v>490</v>
      </c>
      <c r="E50" s="142" t="s">
        <v>80</v>
      </c>
      <c r="F50" s="141" t="s">
        <v>81</v>
      </c>
      <c r="G50" s="141">
        <f>(3700000+2500000)/2</f>
        <v>3100000</v>
      </c>
      <c r="H50" s="65">
        <v>1</v>
      </c>
      <c r="I50" s="141">
        <v>25</v>
      </c>
      <c r="J50" s="141">
        <f t="shared" si="37"/>
        <v>0.25</v>
      </c>
      <c r="K50" s="290">
        <f t="shared" si="18"/>
        <v>0.75</v>
      </c>
      <c r="L50" s="290">
        <f t="shared" si="19"/>
        <v>1.25</v>
      </c>
      <c r="M50" s="140" t="s">
        <v>260</v>
      </c>
      <c r="N50" s="121">
        <v>50000</v>
      </c>
      <c r="O50" s="121">
        <v>1500</v>
      </c>
      <c r="P50" s="121"/>
      <c r="Q50" s="121"/>
      <c r="R50" s="121">
        <v>1500</v>
      </c>
      <c r="S50" s="121">
        <f t="shared" ref="S50:S64" si="47">(N50/G50)*100</f>
        <v>1.6129032258064515</v>
      </c>
      <c r="T50" s="121">
        <f t="shared" si="46"/>
        <v>4.8387096774193547E-2</v>
      </c>
      <c r="U50" s="121">
        <v>2</v>
      </c>
      <c r="V50" s="121">
        <v>50</v>
      </c>
      <c r="W50" s="154">
        <f t="shared" si="39"/>
        <v>1</v>
      </c>
      <c r="X50" s="294">
        <f t="shared" si="20"/>
        <v>1</v>
      </c>
      <c r="Y50" s="294">
        <f t="shared" si="21"/>
        <v>3</v>
      </c>
      <c r="Z50" s="109" t="s">
        <v>686</v>
      </c>
      <c r="AA50" s="70">
        <v>1</v>
      </c>
      <c r="AB50" s="70">
        <v>1</v>
      </c>
      <c r="AC50" s="70">
        <v>1</v>
      </c>
      <c r="AD50" s="110">
        <v>1.25</v>
      </c>
      <c r="AE50" s="70">
        <v>1</v>
      </c>
      <c r="AF50" s="70">
        <v>1</v>
      </c>
      <c r="AG50" s="70">
        <v>1</v>
      </c>
      <c r="AH50" s="70"/>
      <c r="AI50" s="70"/>
      <c r="AJ50" s="70"/>
      <c r="AK50" s="70"/>
      <c r="AL50" s="110">
        <f t="shared" si="34"/>
        <v>1.25</v>
      </c>
      <c r="AM50" s="112" t="s">
        <v>992</v>
      </c>
      <c r="AN50" s="116">
        <v>0.8</v>
      </c>
      <c r="AO50" s="116">
        <v>2</v>
      </c>
      <c r="AP50" s="116">
        <v>50</v>
      </c>
      <c r="AQ50" s="114">
        <f t="shared" si="40"/>
        <v>1</v>
      </c>
      <c r="AR50" s="301">
        <f t="shared" si="22"/>
        <v>1</v>
      </c>
      <c r="AS50" s="301">
        <f t="shared" si="23"/>
        <v>3</v>
      </c>
      <c r="AT50" s="115">
        <v>25</v>
      </c>
      <c r="AU50" s="117" t="s">
        <v>407</v>
      </c>
      <c r="AV50" s="116">
        <v>3</v>
      </c>
      <c r="AW50" s="113" t="s">
        <v>428</v>
      </c>
      <c r="AX50" s="118">
        <f t="shared" si="41"/>
        <v>1</v>
      </c>
      <c r="AY50" s="118">
        <f t="shared" si="42"/>
        <v>1.5625</v>
      </c>
      <c r="AZ50" s="118">
        <f t="shared" si="43"/>
        <v>2.125</v>
      </c>
      <c r="BA50" s="119">
        <f t="shared" si="44"/>
        <v>1</v>
      </c>
      <c r="BB50" s="119">
        <f t="shared" si="45"/>
        <v>2.125</v>
      </c>
      <c r="BC50" s="92"/>
      <c r="BD50" s="106"/>
      <c r="BE50" s="106"/>
      <c r="BF50" s="106"/>
      <c r="BG50" s="106"/>
      <c r="BH50" s="106"/>
    </row>
    <row r="51" spans="1:60" x14ac:dyDescent="0.25">
      <c r="A51" s="120">
        <v>4319</v>
      </c>
      <c r="B51" s="364"/>
      <c r="C51" s="80" t="s">
        <v>582</v>
      </c>
      <c r="D51" s="80" t="s">
        <v>440</v>
      </c>
      <c r="E51" s="142" t="s">
        <v>82</v>
      </c>
      <c r="F51" s="145">
        <v>2600000</v>
      </c>
      <c r="G51" s="145">
        <v>2600000</v>
      </c>
      <c r="H51" s="65">
        <v>2</v>
      </c>
      <c r="I51" s="145">
        <v>10</v>
      </c>
      <c r="J51" s="141">
        <f t="shared" si="37"/>
        <v>0.2</v>
      </c>
      <c r="K51" s="290">
        <f t="shared" si="18"/>
        <v>1.8</v>
      </c>
      <c r="L51" s="290">
        <f t="shared" si="19"/>
        <v>2.2000000000000002</v>
      </c>
      <c r="M51" s="140" t="s">
        <v>260</v>
      </c>
      <c r="N51" s="121">
        <v>50000</v>
      </c>
      <c r="O51" s="121">
        <v>10000</v>
      </c>
      <c r="P51" s="121"/>
      <c r="Q51" s="121"/>
      <c r="R51" s="121" t="s">
        <v>670</v>
      </c>
      <c r="S51" s="121">
        <f t="shared" si="47"/>
        <v>1.9230769230769231</v>
      </c>
      <c r="T51" s="121">
        <f t="shared" si="46"/>
        <v>0.38461538461538464</v>
      </c>
      <c r="U51" s="121">
        <v>2</v>
      </c>
      <c r="V51" s="121">
        <v>25</v>
      </c>
      <c r="W51" s="154">
        <f t="shared" si="39"/>
        <v>0.5</v>
      </c>
      <c r="X51" s="294">
        <f t="shared" si="20"/>
        <v>1.5</v>
      </c>
      <c r="Y51" s="294">
        <f t="shared" si="21"/>
        <v>2.5</v>
      </c>
      <c r="Z51" s="109" t="s">
        <v>671</v>
      </c>
      <c r="AA51" s="70">
        <v>1</v>
      </c>
      <c r="AB51" s="70">
        <v>1</v>
      </c>
      <c r="AC51" s="111">
        <v>1</v>
      </c>
      <c r="AD51" s="110">
        <v>1.25</v>
      </c>
      <c r="AE51" s="70">
        <v>1</v>
      </c>
      <c r="AF51" s="70">
        <v>1</v>
      </c>
      <c r="AG51" s="70">
        <v>1</v>
      </c>
      <c r="AH51" s="70"/>
      <c r="AI51" s="70"/>
      <c r="AJ51" s="70"/>
      <c r="AK51" s="70"/>
      <c r="AL51" s="110">
        <f t="shared" si="34"/>
        <v>1.25</v>
      </c>
      <c r="AM51" s="112" t="s">
        <v>992</v>
      </c>
      <c r="AN51" s="116" t="s">
        <v>547</v>
      </c>
      <c r="AO51" s="116">
        <v>3</v>
      </c>
      <c r="AP51" s="116">
        <v>25</v>
      </c>
      <c r="AQ51" s="114">
        <f t="shared" si="40"/>
        <v>0.75</v>
      </c>
      <c r="AR51" s="301">
        <f t="shared" si="22"/>
        <v>2.25</v>
      </c>
      <c r="AS51" s="301">
        <f t="shared" si="23"/>
        <v>3.75</v>
      </c>
      <c r="AT51" s="115">
        <v>32</v>
      </c>
      <c r="AU51" s="117" t="s">
        <v>393</v>
      </c>
      <c r="AV51" s="116">
        <v>3</v>
      </c>
      <c r="AW51" s="113" t="s">
        <v>360</v>
      </c>
      <c r="AX51" s="118">
        <f t="shared" si="41"/>
        <v>1.7</v>
      </c>
      <c r="AY51" s="118">
        <f t="shared" si="42"/>
        <v>2.0625</v>
      </c>
      <c r="AZ51" s="118">
        <f t="shared" si="43"/>
        <v>2.4249999999999998</v>
      </c>
      <c r="BA51" s="119">
        <f t="shared" si="44"/>
        <v>1.7</v>
      </c>
      <c r="BB51" s="119">
        <f t="shared" si="45"/>
        <v>2.4249999999999998</v>
      </c>
      <c r="BC51" s="92"/>
      <c r="BD51" s="106"/>
      <c r="BE51" s="106"/>
      <c r="BF51" s="106"/>
      <c r="BG51" s="106"/>
      <c r="BH51" s="106"/>
    </row>
    <row r="52" spans="1:60" x14ac:dyDescent="0.25">
      <c r="A52" s="120">
        <v>4329</v>
      </c>
      <c r="B52" s="364"/>
      <c r="C52" s="80" t="s">
        <v>83</v>
      </c>
      <c r="D52" s="80" t="s">
        <v>491</v>
      </c>
      <c r="E52" s="142" t="s">
        <v>84</v>
      </c>
      <c r="F52" s="65" t="s">
        <v>279</v>
      </c>
      <c r="G52" s="141">
        <f>(2600000+5700000)/2</f>
        <v>4150000</v>
      </c>
      <c r="H52" s="65">
        <v>1</v>
      </c>
      <c r="I52" s="65">
        <v>25</v>
      </c>
      <c r="J52" s="141">
        <f t="shared" si="37"/>
        <v>0.25</v>
      </c>
      <c r="K52" s="290">
        <f t="shared" si="18"/>
        <v>0.75</v>
      </c>
      <c r="L52" s="290">
        <f t="shared" si="19"/>
        <v>1.25</v>
      </c>
      <c r="M52" s="140" t="s">
        <v>596</v>
      </c>
      <c r="N52" s="121"/>
      <c r="O52" s="121">
        <v>300000</v>
      </c>
      <c r="P52" s="121"/>
      <c r="Q52" s="121"/>
      <c r="R52" s="121">
        <v>300000</v>
      </c>
      <c r="S52" s="121">
        <f t="shared" si="47"/>
        <v>0</v>
      </c>
      <c r="T52" s="121">
        <f t="shared" si="46"/>
        <v>7.2289156626506017</v>
      </c>
      <c r="U52" s="121">
        <v>2</v>
      </c>
      <c r="V52" s="121">
        <v>25</v>
      </c>
      <c r="W52" s="154">
        <f t="shared" si="39"/>
        <v>0.5</v>
      </c>
      <c r="X52" s="294">
        <f t="shared" si="20"/>
        <v>1.5</v>
      </c>
      <c r="Y52" s="294">
        <f t="shared" si="21"/>
        <v>2.5</v>
      </c>
      <c r="Z52" s="109" t="s">
        <v>672</v>
      </c>
      <c r="AA52" s="70">
        <v>1</v>
      </c>
      <c r="AB52" s="70">
        <v>1</v>
      </c>
      <c r="AC52" s="70">
        <v>1</v>
      </c>
      <c r="AD52" s="110">
        <v>1.25</v>
      </c>
      <c r="AE52" s="70">
        <v>1</v>
      </c>
      <c r="AF52" s="70">
        <v>1</v>
      </c>
      <c r="AG52" s="70">
        <v>1</v>
      </c>
      <c r="AH52" s="70"/>
      <c r="AI52" s="70"/>
      <c r="AJ52" s="70"/>
      <c r="AK52" s="70"/>
      <c r="AL52" s="110">
        <f t="shared" si="34"/>
        <v>1.25</v>
      </c>
      <c r="AM52" s="112" t="s">
        <v>992</v>
      </c>
      <c r="AN52" s="116" t="s">
        <v>361</v>
      </c>
      <c r="AO52" s="116">
        <v>3</v>
      </c>
      <c r="AP52" s="116">
        <v>50</v>
      </c>
      <c r="AQ52" s="114">
        <f t="shared" si="40"/>
        <v>1.5</v>
      </c>
      <c r="AR52" s="301">
        <f t="shared" si="22"/>
        <v>1.5</v>
      </c>
      <c r="AS52" s="301">
        <f t="shared" si="23"/>
        <v>4.5</v>
      </c>
      <c r="AT52" s="115" t="s">
        <v>520</v>
      </c>
      <c r="AU52" s="117" t="s">
        <v>404</v>
      </c>
      <c r="AV52" s="116">
        <v>4</v>
      </c>
      <c r="AW52" s="113" t="s">
        <v>1076</v>
      </c>
      <c r="AX52" s="118">
        <f t="shared" si="41"/>
        <v>1.25</v>
      </c>
      <c r="AY52" s="118">
        <f t="shared" si="42"/>
        <v>1.8125</v>
      </c>
      <c r="AZ52" s="118">
        <f t="shared" si="43"/>
        <v>2.375</v>
      </c>
      <c r="BA52" s="119">
        <f t="shared" si="44"/>
        <v>1.25</v>
      </c>
      <c r="BB52" s="119">
        <f t="shared" si="45"/>
        <v>2.375</v>
      </c>
      <c r="BC52" s="92"/>
      <c r="BD52" s="106"/>
      <c r="BE52" s="106"/>
      <c r="BF52" s="106"/>
      <c r="BG52" s="106"/>
      <c r="BH52" s="106"/>
    </row>
    <row r="53" spans="1:60" x14ac:dyDescent="0.25">
      <c r="A53" s="120">
        <v>4349</v>
      </c>
      <c r="B53" s="364"/>
      <c r="C53" s="80" t="s">
        <v>583</v>
      </c>
      <c r="D53" s="80" t="s">
        <v>492</v>
      </c>
      <c r="E53" s="142" t="s">
        <v>85</v>
      </c>
      <c r="F53" s="145">
        <v>10000</v>
      </c>
      <c r="G53" s="145">
        <v>10000</v>
      </c>
      <c r="H53" s="65">
        <v>5</v>
      </c>
      <c r="I53" s="145">
        <v>10</v>
      </c>
      <c r="J53" s="141">
        <f t="shared" si="37"/>
        <v>0.5</v>
      </c>
      <c r="K53" s="290">
        <f t="shared" si="18"/>
        <v>4.5</v>
      </c>
      <c r="L53" s="290">
        <f t="shared" si="19"/>
        <v>5.5</v>
      </c>
      <c r="M53" s="140" t="s">
        <v>260</v>
      </c>
      <c r="N53" s="121"/>
      <c r="O53" s="121"/>
      <c r="P53" s="121"/>
      <c r="Q53" s="121"/>
      <c r="R53" s="121"/>
      <c r="S53" s="121">
        <f t="shared" si="47"/>
        <v>0</v>
      </c>
      <c r="T53" s="121">
        <f t="shared" si="46"/>
        <v>0</v>
      </c>
      <c r="U53" s="121">
        <v>2</v>
      </c>
      <c r="V53" s="121">
        <v>50</v>
      </c>
      <c r="W53" s="154">
        <f t="shared" si="39"/>
        <v>1</v>
      </c>
      <c r="X53" s="294">
        <f t="shared" si="20"/>
        <v>1</v>
      </c>
      <c r="Y53" s="294">
        <f t="shared" si="21"/>
        <v>3</v>
      </c>
      <c r="Z53" s="109" t="s">
        <v>690</v>
      </c>
      <c r="AA53" s="70">
        <v>1</v>
      </c>
      <c r="AB53" s="70">
        <v>1</v>
      </c>
      <c r="AC53" s="70">
        <v>1</v>
      </c>
      <c r="AD53" s="110">
        <v>1.25</v>
      </c>
      <c r="AE53" s="70">
        <v>1</v>
      </c>
      <c r="AF53" s="70">
        <v>1</v>
      </c>
      <c r="AG53" s="70">
        <v>1</v>
      </c>
      <c r="AH53" s="70"/>
      <c r="AI53" s="70"/>
      <c r="AJ53" s="70"/>
      <c r="AK53" s="70"/>
      <c r="AL53" s="110">
        <f t="shared" si="34"/>
        <v>1.25</v>
      </c>
      <c r="AM53" s="112" t="s">
        <v>992</v>
      </c>
      <c r="AN53" s="116" t="s">
        <v>506</v>
      </c>
      <c r="AO53" s="116">
        <v>3</v>
      </c>
      <c r="AP53" s="116">
        <v>50</v>
      </c>
      <c r="AQ53" s="114">
        <f t="shared" si="40"/>
        <v>1.5</v>
      </c>
      <c r="AR53" s="301">
        <f t="shared" si="22"/>
        <v>1.5</v>
      </c>
      <c r="AS53" s="301">
        <f t="shared" si="23"/>
        <v>4.5</v>
      </c>
      <c r="AT53" s="115">
        <v>30</v>
      </c>
      <c r="AU53" s="117" t="s">
        <v>409</v>
      </c>
      <c r="AV53" s="116">
        <v>4.5</v>
      </c>
      <c r="AW53" s="113" t="s">
        <v>564</v>
      </c>
      <c r="AX53" s="118">
        <f t="shared" si="41"/>
        <v>2.0625</v>
      </c>
      <c r="AY53" s="118">
        <f t="shared" si="42"/>
        <v>2.8125</v>
      </c>
      <c r="AZ53" s="118">
        <f t="shared" si="43"/>
        <v>3.5625</v>
      </c>
      <c r="BA53" s="119">
        <f t="shared" si="44"/>
        <v>2.0625</v>
      </c>
      <c r="BB53" s="119">
        <f t="shared" si="45"/>
        <v>3.5625</v>
      </c>
      <c r="BC53" s="92"/>
      <c r="BD53" s="106"/>
      <c r="BE53" s="106"/>
      <c r="BF53" s="106"/>
      <c r="BG53" s="106"/>
      <c r="BH53" s="106"/>
    </row>
    <row r="54" spans="1:60" x14ac:dyDescent="0.25">
      <c r="A54" s="120">
        <v>4363</v>
      </c>
      <c r="B54" s="364"/>
      <c r="C54" s="80" t="s">
        <v>584</v>
      </c>
      <c r="D54" s="80" t="s">
        <v>591</v>
      </c>
      <c r="E54" s="142" t="s">
        <v>86</v>
      </c>
      <c r="F54" s="145">
        <v>570000</v>
      </c>
      <c r="G54" s="145">
        <v>570000</v>
      </c>
      <c r="H54" s="65">
        <v>3</v>
      </c>
      <c r="I54" s="145">
        <v>10</v>
      </c>
      <c r="J54" s="141">
        <f t="shared" si="37"/>
        <v>0.30000000000000004</v>
      </c>
      <c r="K54" s="290">
        <f t="shared" si="18"/>
        <v>2.7</v>
      </c>
      <c r="L54" s="290">
        <f t="shared" si="19"/>
        <v>3.3</v>
      </c>
      <c r="M54" s="140" t="s">
        <v>260</v>
      </c>
      <c r="N54" s="121">
        <f>34923+32300+50500</f>
        <v>117723</v>
      </c>
      <c r="O54" s="121">
        <f>20900+22400+35250</f>
        <v>78550</v>
      </c>
      <c r="P54" s="121" t="s">
        <v>616</v>
      </c>
      <c r="Q54" s="121" t="s">
        <v>615</v>
      </c>
      <c r="R54" s="121" t="s">
        <v>691</v>
      </c>
      <c r="S54" s="121">
        <f t="shared" si="47"/>
        <v>20.653157894736843</v>
      </c>
      <c r="T54" s="121">
        <f t="shared" si="46"/>
        <v>13.780701754385966</v>
      </c>
      <c r="U54" s="121">
        <v>2</v>
      </c>
      <c r="V54" s="121">
        <v>50</v>
      </c>
      <c r="W54" s="154">
        <f t="shared" si="39"/>
        <v>1</v>
      </c>
      <c r="X54" s="294">
        <f t="shared" si="20"/>
        <v>1</v>
      </c>
      <c r="Y54" s="294">
        <f t="shared" si="21"/>
        <v>3</v>
      </c>
      <c r="Z54" s="109" t="s">
        <v>692</v>
      </c>
      <c r="AA54" s="70">
        <v>1</v>
      </c>
      <c r="AB54" s="70">
        <v>1</v>
      </c>
      <c r="AC54" s="111">
        <v>1</v>
      </c>
      <c r="AD54" s="110">
        <v>1.25</v>
      </c>
      <c r="AE54" s="70">
        <v>1</v>
      </c>
      <c r="AF54" s="70">
        <v>1</v>
      </c>
      <c r="AG54" s="70">
        <v>1</v>
      </c>
      <c r="AH54" s="70"/>
      <c r="AI54" s="70"/>
      <c r="AJ54" s="70"/>
      <c r="AK54" s="70"/>
      <c r="AL54" s="110">
        <f t="shared" si="34"/>
        <v>1.25</v>
      </c>
      <c r="AM54" s="112" t="s">
        <v>1000</v>
      </c>
      <c r="AN54" s="116" t="s">
        <v>362</v>
      </c>
      <c r="AO54" s="116">
        <v>3</v>
      </c>
      <c r="AP54" s="116">
        <v>50</v>
      </c>
      <c r="AQ54" s="114">
        <f t="shared" si="40"/>
        <v>1.5</v>
      </c>
      <c r="AR54" s="301">
        <f t="shared" si="22"/>
        <v>1.5</v>
      </c>
      <c r="AS54" s="301">
        <f t="shared" si="23"/>
        <v>4.5</v>
      </c>
      <c r="AT54" s="115">
        <v>32</v>
      </c>
      <c r="AU54" s="117" t="s">
        <v>410</v>
      </c>
      <c r="AV54" s="116">
        <v>5.5</v>
      </c>
      <c r="AW54" s="113" t="s">
        <v>562</v>
      </c>
      <c r="AX54" s="118">
        <f t="shared" si="41"/>
        <v>1.6125</v>
      </c>
      <c r="AY54" s="118">
        <f t="shared" si="42"/>
        <v>2.3125</v>
      </c>
      <c r="AZ54" s="118">
        <f t="shared" si="43"/>
        <v>3.0125000000000002</v>
      </c>
      <c r="BA54" s="119">
        <f t="shared" si="44"/>
        <v>1.6125</v>
      </c>
      <c r="BB54" s="119">
        <f t="shared" si="45"/>
        <v>3.0125000000000002</v>
      </c>
      <c r="BC54" s="92"/>
      <c r="BD54" s="106"/>
      <c r="BE54" s="106"/>
      <c r="BF54" s="106"/>
      <c r="BG54" s="106"/>
      <c r="BH54" s="106"/>
    </row>
    <row r="55" spans="1:60" x14ac:dyDescent="0.25">
      <c r="A55" s="120">
        <v>4320</v>
      </c>
      <c r="B55" s="364"/>
      <c r="C55" s="80" t="s">
        <v>87</v>
      </c>
      <c r="D55" s="80" t="s">
        <v>442</v>
      </c>
      <c r="E55" s="142" t="s">
        <v>88</v>
      </c>
      <c r="F55" s="145">
        <v>120000</v>
      </c>
      <c r="G55" s="145">
        <v>120000</v>
      </c>
      <c r="H55" s="65">
        <v>4</v>
      </c>
      <c r="I55" s="145">
        <v>10</v>
      </c>
      <c r="J55" s="141">
        <f t="shared" si="37"/>
        <v>0.4</v>
      </c>
      <c r="K55" s="290">
        <f t="shared" si="18"/>
        <v>3.6</v>
      </c>
      <c r="L55" s="290">
        <f t="shared" si="19"/>
        <v>4.4000000000000004</v>
      </c>
      <c r="M55" s="140" t="s">
        <v>260</v>
      </c>
      <c r="N55" s="121">
        <f>8000+24600+61760</f>
        <v>94360</v>
      </c>
      <c r="O55" s="121">
        <f>1900+9900+50930</f>
        <v>62730</v>
      </c>
      <c r="P55" s="121" t="s">
        <v>694</v>
      </c>
      <c r="Q55" s="121" t="s">
        <v>695</v>
      </c>
      <c r="R55" s="121" t="s">
        <v>554</v>
      </c>
      <c r="S55" s="121">
        <f t="shared" si="47"/>
        <v>78.633333333333326</v>
      </c>
      <c r="T55" s="121">
        <f t="shared" si="46"/>
        <v>52.275000000000006</v>
      </c>
      <c r="U55" s="121">
        <v>4</v>
      </c>
      <c r="V55" s="121">
        <v>50</v>
      </c>
      <c r="W55" s="154">
        <f t="shared" si="39"/>
        <v>2</v>
      </c>
      <c r="X55" s="294">
        <f t="shared" si="20"/>
        <v>2</v>
      </c>
      <c r="Y55" s="294">
        <f t="shared" si="21"/>
        <v>6</v>
      </c>
      <c r="Z55" s="109" t="s">
        <v>693</v>
      </c>
      <c r="AA55" s="70">
        <v>1</v>
      </c>
      <c r="AB55" s="70">
        <v>1</v>
      </c>
      <c r="AC55" s="111">
        <v>1</v>
      </c>
      <c r="AD55" s="110">
        <v>1.25</v>
      </c>
      <c r="AE55" s="70">
        <v>1</v>
      </c>
      <c r="AF55" s="70">
        <v>1</v>
      </c>
      <c r="AG55" s="70">
        <v>1</v>
      </c>
      <c r="AH55" s="70"/>
      <c r="AI55" s="70"/>
      <c r="AJ55" s="70"/>
      <c r="AK55" s="70"/>
      <c r="AL55" s="110">
        <f t="shared" si="34"/>
        <v>1.25</v>
      </c>
      <c r="AM55" s="112" t="s">
        <v>992</v>
      </c>
      <c r="AN55" s="116" t="s">
        <v>363</v>
      </c>
      <c r="AO55" s="116">
        <v>3</v>
      </c>
      <c r="AP55" s="116">
        <v>50</v>
      </c>
      <c r="AQ55" s="114">
        <f t="shared" si="40"/>
        <v>1.5</v>
      </c>
      <c r="AR55" s="301">
        <f t="shared" si="22"/>
        <v>1.5</v>
      </c>
      <c r="AS55" s="301">
        <f t="shared" si="23"/>
        <v>4.5</v>
      </c>
      <c r="AT55" s="115">
        <v>25</v>
      </c>
      <c r="AU55" s="117" t="s">
        <v>409</v>
      </c>
      <c r="AV55" s="116">
        <v>4.5</v>
      </c>
      <c r="AW55" s="113" t="s">
        <v>563</v>
      </c>
      <c r="AX55" s="118">
        <f t="shared" si="41"/>
        <v>2.0874999999999999</v>
      </c>
      <c r="AY55" s="118">
        <f t="shared" si="42"/>
        <v>3.0625</v>
      </c>
      <c r="AZ55" s="118">
        <f t="shared" si="43"/>
        <v>4.0374999999999996</v>
      </c>
      <c r="BA55" s="119">
        <f t="shared" si="44"/>
        <v>2.0874999999999999</v>
      </c>
      <c r="BB55" s="119">
        <f t="shared" si="45"/>
        <v>4.0374999999999996</v>
      </c>
      <c r="BC55" s="92"/>
      <c r="BD55" s="106"/>
      <c r="BE55" s="106"/>
      <c r="BF55" s="106"/>
      <c r="BG55" s="106"/>
      <c r="BH55" s="106"/>
    </row>
    <row r="56" spans="1:60" x14ac:dyDescent="0.25">
      <c r="A56" s="120">
        <v>4463</v>
      </c>
      <c r="B56" s="364"/>
      <c r="C56" s="80" t="s">
        <v>89</v>
      </c>
      <c r="D56" s="80" t="s">
        <v>443</v>
      </c>
      <c r="E56" s="142" t="s">
        <v>90</v>
      </c>
      <c r="F56" s="141" t="s">
        <v>91</v>
      </c>
      <c r="G56" s="141">
        <f>(420000+240000)/2</f>
        <v>330000</v>
      </c>
      <c r="H56" s="65">
        <v>4</v>
      </c>
      <c r="I56" s="141">
        <v>10</v>
      </c>
      <c r="J56" s="141">
        <f t="shared" si="37"/>
        <v>0.4</v>
      </c>
      <c r="K56" s="290">
        <f t="shared" si="18"/>
        <v>3.6</v>
      </c>
      <c r="L56" s="290">
        <f t="shared" si="19"/>
        <v>4.4000000000000004</v>
      </c>
      <c r="M56" s="140" t="s">
        <v>260</v>
      </c>
      <c r="N56" s="121">
        <f>12922*3</f>
        <v>38766</v>
      </c>
      <c r="O56" s="121">
        <f>12922*2</f>
        <v>25844</v>
      </c>
      <c r="P56" s="121">
        <v>7918</v>
      </c>
      <c r="Q56" s="121"/>
      <c r="R56" s="121">
        <v>2838</v>
      </c>
      <c r="S56" s="121">
        <f t="shared" si="47"/>
        <v>11.747272727272726</v>
      </c>
      <c r="T56" s="121">
        <f t="shared" si="46"/>
        <v>7.831515151515152</v>
      </c>
      <c r="U56" s="121">
        <v>2</v>
      </c>
      <c r="V56" s="121">
        <v>25</v>
      </c>
      <c r="W56" s="154">
        <f t="shared" si="39"/>
        <v>0.5</v>
      </c>
      <c r="X56" s="294">
        <f t="shared" si="20"/>
        <v>1.5</v>
      </c>
      <c r="Y56" s="294">
        <f t="shared" si="21"/>
        <v>2.5</v>
      </c>
      <c r="Z56" s="109" t="s">
        <v>656</v>
      </c>
      <c r="AA56" s="70">
        <v>1</v>
      </c>
      <c r="AB56" s="70">
        <v>1</v>
      </c>
      <c r="AC56" s="111">
        <v>3</v>
      </c>
      <c r="AD56" s="110">
        <v>1.25</v>
      </c>
      <c r="AE56" s="70">
        <v>1</v>
      </c>
      <c r="AF56" s="111">
        <v>1</v>
      </c>
      <c r="AG56" s="70">
        <v>2</v>
      </c>
      <c r="AH56" s="70"/>
      <c r="AI56" s="70"/>
      <c r="AJ56" s="70"/>
      <c r="AK56" s="70"/>
      <c r="AL56" s="110">
        <f t="shared" si="34"/>
        <v>3</v>
      </c>
      <c r="AM56" s="112" t="s">
        <v>992</v>
      </c>
      <c r="AN56" s="116" t="s">
        <v>617</v>
      </c>
      <c r="AO56" s="116">
        <v>4</v>
      </c>
      <c r="AP56" s="116">
        <v>50</v>
      </c>
      <c r="AQ56" s="114">
        <f t="shared" si="40"/>
        <v>2</v>
      </c>
      <c r="AR56" s="301">
        <f t="shared" si="22"/>
        <v>2</v>
      </c>
      <c r="AS56" s="301">
        <f t="shared" si="23"/>
        <v>6</v>
      </c>
      <c r="AT56" s="115" t="s">
        <v>514</v>
      </c>
      <c r="AU56" s="117" t="s">
        <v>405</v>
      </c>
      <c r="AV56" s="116">
        <v>3</v>
      </c>
      <c r="AW56" s="113" t="s">
        <v>1077</v>
      </c>
      <c r="AX56" s="118">
        <f t="shared" si="41"/>
        <v>2.5249999999999999</v>
      </c>
      <c r="AY56" s="118">
        <f t="shared" si="42"/>
        <v>3.25</v>
      </c>
      <c r="AZ56" s="118">
        <f t="shared" si="43"/>
        <v>3.9750000000000001</v>
      </c>
      <c r="BA56" s="119">
        <f t="shared" si="44"/>
        <v>2.5249999999999999</v>
      </c>
      <c r="BB56" s="119">
        <f t="shared" si="45"/>
        <v>3.9750000000000001</v>
      </c>
      <c r="BC56" s="92"/>
      <c r="BD56" s="106"/>
      <c r="BE56" s="106"/>
      <c r="BF56" s="106"/>
      <c r="BG56" s="106"/>
      <c r="BH56" s="106"/>
    </row>
    <row r="57" spans="1:60" x14ac:dyDescent="0.25">
      <c r="A57" s="120">
        <v>4497</v>
      </c>
      <c r="B57" s="364"/>
      <c r="C57" s="80" t="s">
        <v>92</v>
      </c>
      <c r="D57" s="80" t="s">
        <v>493</v>
      </c>
      <c r="E57" s="142" t="s">
        <v>93</v>
      </c>
      <c r="F57" s="145">
        <v>2000000</v>
      </c>
      <c r="G57" s="145">
        <v>2000000</v>
      </c>
      <c r="H57" s="65">
        <v>2</v>
      </c>
      <c r="I57" s="145">
        <v>10</v>
      </c>
      <c r="J57" s="141">
        <f t="shared" si="37"/>
        <v>0.2</v>
      </c>
      <c r="K57" s="290">
        <f t="shared" si="18"/>
        <v>1.8</v>
      </c>
      <c r="L57" s="290">
        <f t="shared" si="19"/>
        <v>2.2000000000000002</v>
      </c>
      <c r="M57" s="140" t="s">
        <v>260</v>
      </c>
      <c r="N57" s="121">
        <v>237500</v>
      </c>
      <c r="O57" s="121">
        <f>(150000*95)/100</f>
        <v>142500</v>
      </c>
      <c r="P57" s="153" t="s">
        <v>549</v>
      </c>
      <c r="Q57" s="153" t="s">
        <v>549</v>
      </c>
      <c r="R57" s="121">
        <f>250000*0.95</f>
        <v>237500</v>
      </c>
      <c r="S57" s="121">
        <f t="shared" si="47"/>
        <v>11.875</v>
      </c>
      <c r="T57" s="121">
        <f t="shared" si="46"/>
        <v>7.1249999999999991</v>
      </c>
      <c r="U57" s="121">
        <v>2</v>
      </c>
      <c r="V57" s="121">
        <v>25</v>
      </c>
      <c r="W57" s="154">
        <f t="shared" si="39"/>
        <v>0.5</v>
      </c>
      <c r="X57" s="294">
        <f t="shared" si="20"/>
        <v>1.5</v>
      </c>
      <c r="Y57" s="294">
        <f t="shared" si="21"/>
        <v>2.5</v>
      </c>
      <c r="Z57" s="109" t="s">
        <v>989</v>
      </c>
      <c r="AA57" s="70">
        <v>1</v>
      </c>
      <c r="AB57" s="70">
        <v>1</v>
      </c>
      <c r="AC57" s="111">
        <v>2</v>
      </c>
      <c r="AD57" s="110">
        <v>1.25</v>
      </c>
      <c r="AE57" s="70">
        <v>1</v>
      </c>
      <c r="AF57" s="111">
        <v>1</v>
      </c>
      <c r="AG57" s="70">
        <v>1</v>
      </c>
      <c r="AH57" s="70"/>
      <c r="AI57" s="70"/>
      <c r="AJ57" s="70"/>
      <c r="AK57" s="70"/>
      <c r="AL57" s="110">
        <f t="shared" si="34"/>
        <v>2</v>
      </c>
      <c r="AM57" s="112" t="s">
        <v>992</v>
      </c>
      <c r="AN57" s="116" t="s">
        <v>365</v>
      </c>
      <c r="AO57" s="116">
        <v>4</v>
      </c>
      <c r="AP57" s="116">
        <v>50</v>
      </c>
      <c r="AQ57" s="114">
        <f t="shared" si="40"/>
        <v>2</v>
      </c>
      <c r="AR57" s="301">
        <f t="shared" si="22"/>
        <v>2</v>
      </c>
      <c r="AS57" s="301">
        <f t="shared" si="23"/>
        <v>6</v>
      </c>
      <c r="AT57" s="115" t="s">
        <v>515</v>
      </c>
      <c r="AU57" s="117" t="s">
        <v>403</v>
      </c>
      <c r="AV57" s="116">
        <v>3</v>
      </c>
      <c r="AW57" s="113" t="s">
        <v>1078</v>
      </c>
      <c r="AX57" s="118">
        <f t="shared" si="41"/>
        <v>1.825</v>
      </c>
      <c r="AY57" s="118">
        <f t="shared" si="42"/>
        <v>2.5</v>
      </c>
      <c r="AZ57" s="118">
        <f t="shared" si="43"/>
        <v>3.1749999999999998</v>
      </c>
      <c r="BA57" s="119">
        <f t="shared" si="44"/>
        <v>1.825</v>
      </c>
      <c r="BB57" s="119">
        <f t="shared" si="45"/>
        <v>3.1749999999999998</v>
      </c>
      <c r="BC57" s="92"/>
      <c r="BD57" s="106"/>
      <c r="BE57" s="106"/>
      <c r="BF57" s="106"/>
      <c r="BG57" s="106"/>
      <c r="BH57" s="106"/>
    </row>
    <row r="58" spans="1:60" x14ac:dyDescent="0.25">
      <c r="A58" s="120">
        <v>4492</v>
      </c>
      <c r="B58" s="364"/>
      <c r="C58" s="80" t="s">
        <v>94</v>
      </c>
      <c r="D58" s="80" t="s">
        <v>494</v>
      </c>
      <c r="E58" s="345" t="s">
        <v>95</v>
      </c>
      <c r="F58" s="141" t="s">
        <v>281</v>
      </c>
      <c r="G58" s="141">
        <f>(4600000+1100000)/2</f>
        <v>2850000</v>
      </c>
      <c r="H58" s="65">
        <v>2</v>
      </c>
      <c r="I58" s="141">
        <v>25</v>
      </c>
      <c r="J58" s="141">
        <f t="shared" si="37"/>
        <v>0.5</v>
      </c>
      <c r="K58" s="290">
        <f t="shared" si="18"/>
        <v>1.5</v>
      </c>
      <c r="L58" s="290">
        <f t="shared" si="19"/>
        <v>2.5</v>
      </c>
      <c r="M58" s="140" t="s">
        <v>282</v>
      </c>
      <c r="N58" s="121">
        <v>12500</v>
      </c>
      <c r="O58" s="121">
        <f>150000-O57</f>
        <v>7500</v>
      </c>
      <c r="P58" s="153" t="s">
        <v>549</v>
      </c>
      <c r="Q58" s="153" t="s">
        <v>549</v>
      </c>
      <c r="R58" s="121">
        <f>250000*0.05</f>
        <v>12500</v>
      </c>
      <c r="S58" s="121">
        <f t="shared" si="47"/>
        <v>0.43859649122807015</v>
      </c>
      <c r="T58" s="121">
        <f t="shared" si="46"/>
        <v>0.26315789473684209</v>
      </c>
      <c r="U58" s="121">
        <v>1</v>
      </c>
      <c r="V58" s="121">
        <v>25</v>
      </c>
      <c r="W58" s="154">
        <f t="shared" si="39"/>
        <v>0.25</v>
      </c>
      <c r="X58" s="294">
        <f t="shared" si="20"/>
        <v>0.75</v>
      </c>
      <c r="Y58" s="294">
        <f t="shared" si="21"/>
        <v>1.25</v>
      </c>
      <c r="Z58" s="109" t="s">
        <v>989</v>
      </c>
      <c r="AA58" s="70">
        <v>1</v>
      </c>
      <c r="AB58" s="70">
        <v>1</v>
      </c>
      <c r="AC58" s="70">
        <v>1</v>
      </c>
      <c r="AD58" s="110">
        <v>1.25</v>
      </c>
      <c r="AE58" s="70">
        <v>1</v>
      </c>
      <c r="AF58" s="70">
        <v>1</v>
      </c>
      <c r="AG58" s="70">
        <v>2</v>
      </c>
      <c r="AH58" s="70"/>
      <c r="AI58" s="70"/>
      <c r="AJ58" s="70"/>
      <c r="AK58" s="70"/>
      <c r="AL58" s="110">
        <v>2</v>
      </c>
      <c r="AM58" s="112" t="s">
        <v>992</v>
      </c>
      <c r="AN58" s="116" t="s">
        <v>386</v>
      </c>
      <c r="AO58" s="116">
        <v>4</v>
      </c>
      <c r="AP58" s="116">
        <v>25</v>
      </c>
      <c r="AQ58" s="114">
        <f t="shared" si="40"/>
        <v>1</v>
      </c>
      <c r="AR58" s="301">
        <f t="shared" si="22"/>
        <v>3</v>
      </c>
      <c r="AS58" s="301">
        <f t="shared" si="23"/>
        <v>5</v>
      </c>
      <c r="AT58" s="115" t="s">
        <v>513</v>
      </c>
      <c r="AU58" s="117" t="s">
        <v>399</v>
      </c>
      <c r="AV58" s="116">
        <v>3</v>
      </c>
      <c r="AW58" s="113" t="s">
        <v>1079</v>
      </c>
      <c r="AX58" s="118">
        <f t="shared" si="41"/>
        <v>1.8125</v>
      </c>
      <c r="AY58" s="118">
        <f t="shared" si="42"/>
        <v>2.25</v>
      </c>
      <c r="AZ58" s="118">
        <f t="shared" si="43"/>
        <v>2.6875</v>
      </c>
      <c r="BA58" s="119">
        <f t="shared" si="44"/>
        <v>1.8125</v>
      </c>
      <c r="BB58" s="119">
        <f t="shared" si="45"/>
        <v>2.6875</v>
      </c>
      <c r="BC58" s="92"/>
      <c r="BD58" s="106"/>
      <c r="BE58" s="106"/>
      <c r="BF58" s="106"/>
      <c r="BG58" s="106"/>
      <c r="BH58" s="106"/>
    </row>
    <row r="59" spans="1:60" x14ac:dyDescent="0.25">
      <c r="A59" s="120">
        <v>4530</v>
      </c>
      <c r="B59" s="364"/>
      <c r="C59" s="80" t="s">
        <v>96</v>
      </c>
      <c r="D59" s="80" t="s">
        <v>446</v>
      </c>
      <c r="E59" s="142" t="s">
        <v>97</v>
      </c>
      <c r="F59" s="141" t="s">
        <v>98</v>
      </c>
      <c r="G59" s="141">
        <f>(90000+51000)/2</f>
        <v>70500</v>
      </c>
      <c r="H59" s="65">
        <v>5</v>
      </c>
      <c r="I59" s="141">
        <v>10</v>
      </c>
      <c r="J59" s="141">
        <f t="shared" si="37"/>
        <v>0.5</v>
      </c>
      <c r="K59" s="290">
        <f t="shared" si="18"/>
        <v>4.5</v>
      </c>
      <c r="L59" s="290">
        <f t="shared" si="19"/>
        <v>5.5</v>
      </c>
      <c r="M59" s="140" t="s">
        <v>260</v>
      </c>
      <c r="N59" s="121">
        <v>50000</v>
      </c>
      <c r="O59" s="121">
        <v>1000</v>
      </c>
      <c r="P59" s="153" t="s">
        <v>549</v>
      </c>
      <c r="Q59" s="153" t="s">
        <v>549</v>
      </c>
      <c r="R59" s="121"/>
      <c r="S59" s="121">
        <f t="shared" si="47"/>
        <v>70.921985815602838</v>
      </c>
      <c r="T59" s="121">
        <f t="shared" si="46"/>
        <v>1.4184397163120568</v>
      </c>
      <c r="U59" s="180">
        <v>3</v>
      </c>
      <c r="V59" s="121">
        <v>50</v>
      </c>
      <c r="W59" s="154">
        <f t="shared" si="39"/>
        <v>1.5</v>
      </c>
      <c r="X59" s="294">
        <f t="shared" si="20"/>
        <v>1.5</v>
      </c>
      <c r="Y59" s="294">
        <f t="shared" si="21"/>
        <v>4.5</v>
      </c>
      <c r="Z59" s="109" t="s">
        <v>636</v>
      </c>
      <c r="AA59" s="70">
        <v>2</v>
      </c>
      <c r="AB59" s="70">
        <v>1</v>
      </c>
      <c r="AC59" s="111">
        <v>4</v>
      </c>
      <c r="AD59" s="110">
        <v>1.25</v>
      </c>
      <c r="AE59" s="70">
        <v>1</v>
      </c>
      <c r="AF59" s="70">
        <v>1</v>
      </c>
      <c r="AG59" s="70">
        <v>1</v>
      </c>
      <c r="AH59" s="70"/>
      <c r="AI59" s="70"/>
      <c r="AJ59" s="70"/>
      <c r="AK59" s="70"/>
      <c r="AL59" s="110">
        <f t="shared" ref="AL59:AL71" si="48">MAX(AA59:AF59)</f>
        <v>4</v>
      </c>
      <c r="AM59" s="112" t="s">
        <v>992</v>
      </c>
      <c r="AN59" s="116" t="s">
        <v>506</v>
      </c>
      <c r="AO59" s="116">
        <v>4</v>
      </c>
      <c r="AP59" s="116">
        <v>50</v>
      </c>
      <c r="AQ59" s="114">
        <f t="shared" si="40"/>
        <v>2</v>
      </c>
      <c r="AR59" s="301">
        <f t="shared" si="22"/>
        <v>2</v>
      </c>
      <c r="AS59" s="301">
        <f t="shared" si="23"/>
        <v>6</v>
      </c>
      <c r="AT59" s="115" t="s">
        <v>560</v>
      </c>
      <c r="AU59" s="117">
        <v>1</v>
      </c>
      <c r="AV59" s="116">
        <v>3</v>
      </c>
      <c r="AW59" s="113" t="s">
        <v>411</v>
      </c>
      <c r="AX59" s="118">
        <f t="shared" si="41"/>
        <v>3</v>
      </c>
      <c r="AY59" s="118">
        <f t="shared" si="42"/>
        <v>4</v>
      </c>
      <c r="AZ59" s="118">
        <f t="shared" si="43"/>
        <v>5</v>
      </c>
      <c r="BA59" s="119">
        <f t="shared" si="44"/>
        <v>3</v>
      </c>
      <c r="BB59" s="119">
        <f t="shared" si="45"/>
        <v>5</v>
      </c>
      <c r="BC59" s="92"/>
      <c r="BD59" s="106"/>
      <c r="BE59" s="106"/>
      <c r="BF59" s="106"/>
      <c r="BG59" s="106"/>
      <c r="BH59" s="106"/>
    </row>
    <row r="60" spans="1:60" x14ac:dyDescent="0.25">
      <c r="A60" s="120">
        <v>4515</v>
      </c>
      <c r="B60" s="364"/>
      <c r="C60" s="80" t="s">
        <v>99</v>
      </c>
      <c r="D60" s="80" t="s">
        <v>447</v>
      </c>
      <c r="E60" s="142" t="s">
        <v>100</v>
      </c>
      <c r="F60" s="145">
        <v>370000</v>
      </c>
      <c r="G60" s="145">
        <v>370000</v>
      </c>
      <c r="H60" s="65">
        <v>4</v>
      </c>
      <c r="I60" s="145">
        <v>10</v>
      </c>
      <c r="J60" s="141">
        <f t="shared" si="37"/>
        <v>0.4</v>
      </c>
      <c r="K60" s="290">
        <f t="shared" si="18"/>
        <v>3.6</v>
      </c>
      <c r="L60" s="290">
        <f t="shared" si="19"/>
        <v>4.4000000000000004</v>
      </c>
      <c r="M60" s="140" t="s">
        <v>260</v>
      </c>
      <c r="N60" s="153">
        <v>20000</v>
      </c>
      <c r="O60" s="180">
        <v>500</v>
      </c>
      <c r="P60" s="153" t="s">
        <v>549</v>
      </c>
      <c r="Q60" s="153" t="s">
        <v>549</v>
      </c>
      <c r="R60" s="121"/>
      <c r="S60" s="121">
        <f t="shared" si="47"/>
        <v>5.4054054054054053</v>
      </c>
      <c r="T60" s="121">
        <f t="shared" si="46"/>
        <v>0.13513513513513514</v>
      </c>
      <c r="U60" s="121">
        <v>1</v>
      </c>
      <c r="V60" s="121">
        <v>25</v>
      </c>
      <c r="W60" s="154">
        <f t="shared" si="39"/>
        <v>0.25</v>
      </c>
      <c r="X60" s="294">
        <f t="shared" si="20"/>
        <v>0.75</v>
      </c>
      <c r="Y60" s="294">
        <f t="shared" si="21"/>
        <v>1.25</v>
      </c>
      <c r="Z60" s="109" t="s">
        <v>637</v>
      </c>
      <c r="AA60" s="70">
        <v>1</v>
      </c>
      <c r="AB60" s="70">
        <v>1</v>
      </c>
      <c r="AC60" s="111">
        <v>2</v>
      </c>
      <c r="AD60" s="110">
        <v>1.25</v>
      </c>
      <c r="AE60" s="70">
        <v>1</v>
      </c>
      <c r="AF60" s="70">
        <v>1</v>
      </c>
      <c r="AG60" s="70">
        <v>1</v>
      </c>
      <c r="AH60" s="70"/>
      <c r="AI60" s="70"/>
      <c r="AJ60" s="70"/>
      <c r="AK60" s="70"/>
      <c r="AL60" s="110">
        <f t="shared" si="48"/>
        <v>2</v>
      </c>
      <c r="AM60" s="112" t="s">
        <v>992</v>
      </c>
      <c r="AN60" s="116" t="s">
        <v>506</v>
      </c>
      <c r="AO60" s="116">
        <v>4</v>
      </c>
      <c r="AP60" s="116">
        <v>50</v>
      </c>
      <c r="AQ60" s="114">
        <f t="shared" si="40"/>
        <v>2</v>
      </c>
      <c r="AR60" s="301">
        <f t="shared" si="22"/>
        <v>2</v>
      </c>
      <c r="AS60" s="301">
        <f t="shared" si="23"/>
        <v>6</v>
      </c>
      <c r="AT60" s="115" t="s">
        <v>516</v>
      </c>
      <c r="AU60" s="117">
        <v>1</v>
      </c>
      <c r="AV60" s="116">
        <v>2.5</v>
      </c>
      <c r="AW60" s="113" t="s">
        <v>366</v>
      </c>
      <c r="AX60" s="118">
        <f t="shared" si="41"/>
        <v>2.0874999999999999</v>
      </c>
      <c r="AY60" s="118">
        <f t="shared" si="42"/>
        <v>2.75</v>
      </c>
      <c r="AZ60" s="118">
        <f t="shared" si="43"/>
        <v>3.4125000000000001</v>
      </c>
      <c r="BA60" s="119">
        <f t="shared" si="44"/>
        <v>2.0874999999999999</v>
      </c>
      <c r="BB60" s="119">
        <f t="shared" si="45"/>
        <v>3.4125000000000001</v>
      </c>
      <c r="BC60" s="92"/>
      <c r="BD60" s="106"/>
      <c r="BE60" s="106"/>
      <c r="BF60" s="106"/>
      <c r="BG60" s="106"/>
      <c r="BH60" s="106"/>
    </row>
    <row r="61" spans="1:60" x14ac:dyDescent="0.25">
      <c r="A61" s="120">
        <v>4508</v>
      </c>
      <c r="B61" s="364"/>
      <c r="C61" s="80" t="s">
        <v>148</v>
      </c>
      <c r="D61" s="80" t="s">
        <v>444</v>
      </c>
      <c r="E61" s="142" t="s">
        <v>101</v>
      </c>
      <c r="F61" s="145">
        <v>120000</v>
      </c>
      <c r="G61" s="145">
        <v>120000</v>
      </c>
      <c r="H61" s="65">
        <v>4</v>
      </c>
      <c r="I61" s="145">
        <v>10</v>
      </c>
      <c r="J61" s="141">
        <f t="shared" si="37"/>
        <v>0.4</v>
      </c>
      <c r="K61" s="290">
        <f t="shared" si="18"/>
        <v>3.6</v>
      </c>
      <c r="L61" s="290">
        <f t="shared" si="19"/>
        <v>4.4000000000000004</v>
      </c>
      <c r="M61" s="140" t="s">
        <v>260</v>
      </c>
      <c r="N61" s="121">
        <v>8095</v>
      </c>
      <c r="O61" s="121">
        <v>3550</v>
      </c>
      <c r="P61" s="153" t="s">
        <v>549</v>
      </c>
      <c r="Q61" s="153" t="s">
        <v>549</v>
      </c>
      <c r="R61" s="121">
        <v>3550</v>
      </c>
      <c r="S61" s="121">
        <f t="shared" si="47"/>
        <v>6.7458333333333327</v>
      </c>
      <c r="T61" s="121">
        <f t="shared" si="46"/>
        <v>2.9583333333333335</v>
      </c>
      <c r="U61" s="121">
        <v>2</v>
      </c>
      <c r="V61" s="121">
        <v>10</v>
      </c>
      <c r="W61" s="154">
        <f t="shared" si="39"/>
        <v>0.2</v>
      </c>
      <c r="X61" s="294">
        <f t="shared" si="20"/>
        <v>1.8</v>
      </c>
      <c r="Y61" s="294">
        <f t="shared" si="21"/>
        <v>2.2000000000000002</v>
      </c>
      <c r="Z61" s="109" t="s">
        <v>638</v>
      </c>
      <c r="AA61" s="70">
        <v>1</v>
      </c>
      <c r="AB61" s="70">
        <v>1</v>
      </c>
      <c r="AC61" s="70">
        <v>1</v>
      </c>
      <c r="AD61" s="110">
        <v>1.25</v>
      </c>
      <c r="AE61" s="70">
        <v>1</v>
      </c>
      <c r="AF61" s="111">
        <v>1</v>
      </c>
      <c r="AG61" s="70">
        <v>1</v>
      </c>
      <c r="AH61" s="70"/>
      <c r="AI61" s="70"/>
      <c r="AJ61" s="70"/>
      <c r="AK61" s="70"/>
      <c r="AL61" s="110">
        <f t="shared" si="48"/>
        <v>1.25</v>
      </c>
      <c r="AM61" s="112" t="s">
        <v>992</v>
      </c>
      <c r="AN61" s="116" t="s">
        <v>506</v>
      </c>
      <c r="AO61" s="116">
        <v>4</v>
      </c>
      <c r="AP61" s="116">
        <v>50</v>
      </c>
      <c r="AQ61" s="114">
        <f t="shared" si="40"/>
        <v>2</v>
      </c>
      <c r="AR61" s="301">
        <f t="shared" si="22"/>
        <v>2</v>
      </c>
      <c r="AS61" s="301">
        <f t="shared" si="23"/>
        <v>6</v>
      </c>
      <c r="AT61" s="115" t="s">
        <v>517</v>
      </c>
      <c r="AU61" s="117">
        <v>3</v>
      </c>
      <c r="AV61" s="116" t="s">
        <v>559</v>
      </c>
      <c r="AW61" s="113" t="s">
        <v>412</v>
      </c>
      <c r="AX61" s="118">
        <f t="shared" si="41"/>
        <v>2.1625000000000001</v>
      </c>
      <c r="AY61" s="118">
        <f t="shared" si="42"/>
        <v>2.8125</v>
      </c>
      <c r="AZ61" s="118">
        <f t="shared" si="43"/>
        <v>3.4625000000000004</v>
      </c>
      <c r="BA61" s="119">
        <f t="shared" si="44"/>
        <v>2.1625000000000001</v>
      </c>
      <c r="BB61" s="119">
        <f t="shared" si="45"/>
        <v>3.4625000000000004</v>
      </c>
      <c r="BC61" s="92"/>
      <c r="BD61" s="106"/>
      <c r="BE61" s="106"/>
      <c r="BF61" s="106"/>
      <c r="BG61" s="106"/>
      <c r="BH61" s="106"/>
    </row>
    <row r="62" spans="1:60" x14ac:dyDescent="0.25">
      <c r="A62" s="120">
        <v>4440</v>
      </c>
      <c r="B62" s="364"/>
      <c r="C62" s="80" t="s">
        <v>102</v>
      </c>
      <c r="D62" s="80" t="s">
        <v>445</v>
      </c>
      <c r="E62" s="347" t="s">
        <v>103</v>
      </c>
      <c r="F62" s="141" t="s">
        <v>104</v>
      </c>
      <c r="G62" s="141">
        <f>(70000+65000)/2</f>
        <v>67500</v>
      </c>
      <c r="H62" s="65">
        <v>5</v>
      </c>
      <c r="I62" s="141">
        <v>10</v>
      </c>
      <c r="J62" s="141">
        <f t="shared" si="37"/>
        <v>0.5</v>
      </c>
      <c r="K62" s="290">
        <f t="shared" si="18"/>
        <v>4.5</v>
      </c>
      <c r="L62" s="290">
        <f t="shared" si="19"/>
        <v>5.5</v>
      </c>
      <c r="M62" s="140" t="s">
        <v>260</v>
      </c>
      <c r="N62" s="162">
        <v>13000</v>
      </c>
      <c r="O62" s="162">
        <v>272</v>
      </c>
      <c r="P62" s="153" t="s">
        <v>549</v>
      </c>
      <c r="Q62" s="153" t="s">
        <v>549</v>
      </c>
      <c r="R62" s="121">
        <v>272</v>
      </c>
      <c r="S62" s="121">
        <f t="shared" si="47"/>
        <v>19.25925925925926</v>
      </c>
      <c r="T62" s="121">
        <f t="shared" si="46"/>
        <v>0.40296296296296297</v>
      </c>
      <c r="U62" s="121">
        <v>2</v>
      </c>
      <c r="V62" s="121">
        <v>25</v>
      </c>
      <c r="W62" s="154">
        <f t="shared" si="39"/>
        <v>0.5</v>
      </c>
      <c r="X62" s="294">
        <f t="shared" si="20"/>
        <v>1.5</v>
      </c>
      <c r="Y62" s="294">
        <f t="shared" si="21"/>
        <v>2.5</v>
      </c>
      <c r="Z62" s="109" t="s">
        <v>430</v>
      </c>
      <c r="AA62" s="70">
        <v>1</v>
      </c>
      <c r="AB62" s="70">
        <v>5</v>
      </c>
      <c r="AC62" s="111">
        <v>4</v>
      </c>
      <c r="AD62" s="110">
        <v>1.25</v>
      </c>
      <c r="AE62" s="70">
        <v>5</v>
      </c>
      <c r="AF62" s="70">
        <v>1</v>
      </c>
      <c r="AG62" s="70">
        <v>1</v>
      </c>
      <c r="AH62" s="70"/>
      <c r="AI62" s="70"/>
      <c r="AJ62" s="70"/>
      <c r="AK62" s="70"/>
      <c r="AL62" s="110">
        <f t="shared" si="48"/>
        <v>5</v>
      </c>
      <c r="AM62" s="112" t="s">
        <v>992</v>
      </c>
      <c r="AN62" s="116" t="s">
        <v>367</v>
      </c>
      <c r="AO62" s="116">
        <v>4</v>
      </c>
      <c r="AP62" s="116">
        <v>50</v>
      </c>
      <c r="AQ62" s="114">
        <f t="shared" si="40"/>
        <v>2</v>
      </c>
      <c r="AR62" s="301">
        <f t="shared" si="22"/>
        <v>2</v>
      </c>
      <c r="AS62" s="301">
        <f t="shared" si="23"/>
        <v>6</v>
      </c>
      <c r="AT62" s="115" t="s">
        <v>518</v>
      </c>
      <c r="AU62" s="117" t="s">
        <v>413</v>
      </c>
      <c r="AV62" s="116">
        <v>3</v>
      </c>
      <c r="AW62" s="113" t="s">
        <v>1080</v>
      </c>
      <c r="AX62" s="118">
        <f t="shared" si="41"/>
        <v>3.25</v>
      </c>
      <c r="AY62" s="118">
        <f t="shared" si="42"/>
        <v>4</v>
      </c>
      <c r="AZ62" s="118">
        <f t="shared" si="43"/>
        <v>4.75</v>
      </c>
      <c r="BA62" s="119">
        <f t="shared" si="44"/>
        <v>3.25</v>
      </c>
      <c r="BB62" s="119">
        <f t="shared" si="45"/>
        <v>4.75</v>
      </c>
      <c r="BC62" s="92"/>
      <c r="BD62" s="106"/>
      <c r="BE62" s="106"/>
      <c r="BF62" s="106"/>
      <c r="BG62" s="106"/>
      <c r="BH62" s="106"/>
    </row>
    <row r="63" spans="1:60" x14ac:dyDescent="0.25">
      <c r="A63" s="120">
        <v>4456</v>
      </c>
      <c r="B63" s="364"/>
      <c r="C63" s="80" t="s">
        <v>325</v>
      </c>
      <c r="D63" s="80" t="s">
        <v>448</v>
      </c>
      <c r="E63" s="142" t="s">
        <v>328</v>
      </c>
      <c r="F63" s="141" t="s">
        <v>327</v>
      </c>
      <c r="G63" s="141">
        <f>(79000+420000)/2</f>
        <v>249500</v>
      </c>
      <c r="H63" s="65">
        <v>4</v>
      </c>
      <c r="I63" s="141">
        <v>25</v>
      </c>
      <c r="J63" s="141">
        <f t="shared" si="37"/>
        <v>1</v>
      </c>
      <c r="K63" s="290">
        <f t="shared" si="18"/>
        <v>3</v>
      </c>
      <c r="L63" s="290">
        <f t="shared" si="19"/>
        <v>5</v>
      </c>
      <c r="M63" s="140" t="s">
        <v>341</v>
      </c>
      <c r="N63" s="162">
        <v>120</v>
      </c>
      <c r="O63" s="162">
        <v>40</v>
      </c>
      <c r="P63" s="153" t="s">
        <v>549</v>
      </c>
      <c r="Q63" s="153" t="s">
        <v>549</v>
      </c>
      <c r="R63" s="121" t="s">
        <v>630</v>
      </c>
      <c r="S63" s="121">
        <f t="shared" si="47"/>
        <v>4.8096192384769539E-2</v>
      </c>
      <c r="T63" s="121">
        <f t="shared" si="46"/>
        <v>1.6032064128256512E-2</v>
      </c>
      <c r="U63" s="121">
        <v>1</v>
      </c>
      <c r="V63" s="121">
        <v>25</v>
      </c>
      <c r="W63" s="154">
        <f t="shared" si="39"/>
        <v>0.25</v>
      </c>
      <c r="X63" s="294">
        <f t="shared" si="20"/>
        <v>0.75</v>
      </c>
      <c r="Y63" s="294">
        <f t="shared" si="21"/>
        <v>1.25</v>
      </c>
      <c r="Z63" s="109" t="s">
        <v>631</v>
      </c>
      <c r="AA63" s="70">
        <v>1</v>
      </c>
      <c r="AB63" s="70">
        <v>1</v>
      </c>
      <c r="AC63" s="70">
        <v>1</v>
      </c>
      <c r="AD63" s="110">
        <v>1.25</v>
      </c>
      <c r="AE63" s="70">
        <v>1</v>
      </c>
      <c r="AF63" s="70">
        <v>1</v>
      </c>
      <c r="AG63" s="70">
        <v>1</v>
      </c>
      <c r="AH63" s="70"/>
      <c r="AI63" s="70"/>
      <c r="AJ63" s="70"/>
      <c r="AK63" s="70"/>
      <c r="AL63" s="110">
        <f t="shared" si="48"/>
        <v>1.25</v>
      </c>
      <c r="AM63" s="112" t="s">
        <v>992</v>
      </c>
      <c r="AN63" s="116" t="s">
        <v>506</v>
      </c>
      <c r="AO63" s="116">
        <v>4</v>
      </c>
      <c r="AP63" s="116">
        <v>50</v>
      </c>
      <c r="AQ63" s="114">
        <f t="shared" si="40"/>
        <v>2</v>
      </c>
      <c r="AR63" s="301">
        <f t="shared" si="22"/>
        <v>2</v>
      </c>
      <c r="AS63" s="301">
        <f t="shared" si="23"/>
        <v>6</v>
      </c>
      <c r="AT63" s="115" t="s">
        <v>519</v>
      </c>
      <c r="AU63" s="117" t="s">
        <v>414</v>
      </c>
      <c r="AV63" s="116">
        <v>3</v>
      </c>
      <c r="AW63" s="113" t="s">
        <v>1081</v>
      </c>
      <c r="AX63" s="118">
        <f t="shared" si="41"/>
        <v>1.75</v>
      </c>
      <c r="AY63" s="118">
        <f t="shared" si="42"/>
        <v>2.5625</v>
      </c>
      <c r="AZ63" s="118">
        <f t="shared" si="43"/>
        <v>3.375</v>
      </c>
      <c r="BA63" s="119">
        <f t="shared" si="44"/>
        <v>1.75</v>
      </c>
      <c r="BB63" s="119">
        <f t="shared" si="45"/>
        <v>3.375</v>
      </c>
      <c r="BC63" s="92"/>
      <c r="BD63" s="106"/>
      <c r="BE63" s="106"/>
      <c r="BF63" s="106"/>
      <c r="BG63" s="106"/>
      <c r="BH63" s="106"/>
    </row>
    <row r="64" spans="1:60" x14ac:dyDescent="0.25">
      <c r="A64" s="120">
        <v>4539</v>
      </c>
      <c r="B64" s="365"/>
      <c r="C64" s="80" t="s">
        <v>294</v>
      </c>
      <c r="D64" s="98" t="s">
        <v>449</v>
      </c>
      <c r="E64" s="343" t="s">
        <v>304</v>
      </c>
      <c r="F64" s="141" t="s">
        <v>305</v>
      </c>
      <c r="G64" s="141">
        <f>(120000+210000)/2</f>
        <v>165000</v>
      </c>
      <c r="H64" s="65">
        <v>4</v>
      </c>
      <c r="I64" s="141">
        <v>10</v>
      </c>
      <c r="J64" s="141">
        <f t="shared" si="37"/>
        <v>0.4</v>
      </c>
      <c r="K64" s="290">
        <f t="shared" si="18"/>
        <v>3.6</v>
      </c>
      <c r="L64" s="290">
        <f t="shared" si="19"/>
        <v>4.4000000000000004</v>
      </c>
      <c r="M64" s="140" t="s">
        <v>282</v>
      </c>
      <c r="N64" s="162">
        <v>3150</v>
      </c>
      <c r="O64" s="162">
        <v>2100</v>
      </c>
      <c r="P64" s="153" t="s">
        <v>549</v>
      </c>
      <c r="Q64" s="153" t="s">
        <v>549</v>
      </c>
      <c r="R64" s="121" t="s">
        <v>632</v>
      </c>
      <c r="S64" s="121">
        <f t="shared" si="47"/>
        <v>1.9090909090909092</v>
      </c>
      <c r="T64" s="121">
        <f t="shared" si="46"/>
        <v>1.2727272727272727</v>
      </c>
      <c r="U64" s="121">
        <v>2</v>
      </c>
      <c r="V64" s="121">
        <v>10</v>
      </c>
      <c r="W64" s="154">
        <f t="shared" si="39"/>
        <v>0.2</v>
      </c>
      <c r="X64" s="294">
        <f t="shared" si="20"/>
        <v>1.8</v>
      </c>
      <c r="Y64" s="294">
        <f t="shared" si="21"/>
        <v>2.2000000000000002</v>
      </c>
      <c r="Z64" s="109" t="s">
        <v>990</v>
      </c>
      <c r="AA64" s="70">
        <v>1</v>
      </c>
      <c r="AB64" s="70">
        <v>1</v>
      </c>
      <c r="AC64" s="111">
        <v>4</v>
      </c>
      <c r="AD64" s="110">
        <v>2.5</v>
      </c>
      <c r="AE64" s="70">
        <v>1</v>
      </c>
      <c r="AF64" s="70">
        <v>1</v>
      </c>
      <c r="AG64" s="70">
        <v>1</v>
      </c>
      <c r="AH64" s="70"/>
      <c r="AI64" s="70"/>
      <c r="AJ64" s="70"/>
      <c r="AK64" s="70"/>
      <c r="AL64" s="110">
        <f t="shared" si="48"/>
        <v>4</v>
      </c>
      <c r="AM64" s="112" t="s">
        <v>992</v>
      </c>
      <c r="AN64" s="116" t="s">
        <v>506</v>
      </c>
      <c r="AO64" s="116">
        <v>4</v>
      </c>
      <c r="AP64" s="116">
        <v>50</v>
      </c>
      <c r="AQ64" s="114">
        <f t="shared" si="40"/>
        <v>2</v>
      </c>
      <c r="AR64" s="301">
        <f t="shared" si="22"/>
        <v>2</v>
      </c>
      <c r="AS64" s="301">
        <f t="shared" si="23"/>
        <v>6</v>
      </c>
      <c r="AT64" s="115" t="s">
        <v>526</v>
      </c>
      <c r="AU64" s="117">
        <v>3</v>
      </c>
      <c r="AV64" s="116">
        <v>3</v>
      </c>
      <c r="AW64" s="113" t="s">
        <v>1082</v>
      </c>
      <c r="AX64" s="118">
        <f t="shared" si="41"/>
        <v>2.85</v>
      </c>
      <c r="AY64" s="118">
        <f t="shared" si="42"/>
        <v>3.5</v>
      </c>
      <c r="AZ64" s="118">
        <f t="shared" si="43"/>
        <v>4.1500000000000004</v>
      </c>
      <c r="BA64" s="119">
        <f t="shared" si="44"/>
        <v>2.85</v>
      </c>
      <c r="BB64" s="119">
        <f t="shared" si="45"/>
        <v>4.1500000000000004</v>
      </c>
      <c r="BC64" s="92"/>
      <c r="BD64" s="106"/>
      <c r="BE64" s="106"/>
      <c r="BF64" s="106"/>
      <c r="BG64" s="106"/>
      <c r="BH64" s="106"/>
    </row>
    <row r="65" spans="1:60" x14ac:dyDescent="0.25">
      <c r="A65" s="107">
        <v>4262.12</v>
      </c>
      <c r="B65" s="367" t="s">
        <v>105</v>
      </c>
      <c r="C65" s="98" t="s">
        <v>585</v>
      </c>
      <c r="D65" s="98" t="s">
        <v>495</v>
      </c>
      <c r="E65" s="142" t="s">
        <v>106</v>
      </c>
      <c r="F65" s="141" t="s">
        <v>107</v>
      </c>
      <c r="G65" s="141">
        <f>(5000000+150000)/2</f>
        <v>2575000</v>
      </c>
      <c r="H65" s="65">
        <v>1</v>
      </c>
      <c r="I65" s="141">
        <v>50</v>
      </c>
      <c r="J65" s="141">
        <f t="shared" si="37"/>
        <v>0.5</v>
      </c>
      <c r="K65" s="290">
        <f t="shared" si="18"/>
        <v>0.5</v>
      </c>
      <c r="L65" s="290">
        <f t="shared" si="19"/>
        <v>1.5</v>
      </c>
      <c r="M65" s="140" t="s">
        <v>260</v>
      </c>
      <c r="N65" s="121" t="s">
        <v>549</v>
      </c>
      <c r="O65" s="121" t="s">
        <v>549</v>
      </c>
      <c r="P65" s="153" t="s">
        <v>549</v>
      </c>
      <c r="Q65" s="153" t="s">
        <v>549</v>
      </c>
      <c r="R65" s="121" t="s">
        <v>549</v>
      </c>
      <c r="S65" s="121"/>
      <c r="T65" s="121"/>
      <c r="U65" s="121">
        <v>1</v>
      </c>
      <c r="V65" s="121">
        <v>50</v>
      </c>
      <c r="W65" s="154">
        <f t="shared" si="39"/>
        <v>0.5</v>
      </c>
      <c r="X65" s="294">
        <f t="shared" si="20"/>
        <v>0.5</v>
      </c>
      <c r="Y65" s="294">
        <f t="shared" si="21"/>
        <v>1.5</v>
      </c>
      <c r="Z65" s="109" t="s">
        <v>681</v>
      </c>
      <c r="AA65" s="70">
        <v>1</v>
      </c>
      <c r="AB65" s="70">
        <v>1</v>
      </c>
      <c r="AC65" s="70">
        <v>1</v>
      </c>
      <c r="AD65" s="110">
        <v>1.25</v>
      </c>
      <c r="AE65" s="70">
        <v>1</v>
      </c>
      <c r="AF65" s="70">
        <v>1</v>
      </c>
      <c r="AG65" s="70">
        <v>1</v>
      </c>
      <c r="AH65" s="70"/>
      <c r="AI65" s="70"/>
      <c r="AJ65" s="70"/>
      <c r="AK65" s="70"/>
      <c r="AL65" s="110">
        <f t="shared" si="48"/>
        <v>1.25</v>
      </c>
      <c r="AM65" s="112" t="s">
        <v>992</v>
      </c>
      <c r="AN65" s="116" t="s">
        <v>368</v>
      </c>
      <c r="AO65" s="116">
        <v>4</v>
      </c>
      <c r="AP65" s="116">
        <v>50</v>
      </c>
      <c r="AQ65" s="114">
        <f t="shared" si="40"/>
        <v>2</v>
      </c>
      <c r="AR65" s="301">
        <f t="shared" si="22"/>
        <v>2</v>
      </c>
      <c r="AS65" s="301">
        <f t="shared" si="23"/>
        <v>6</v>
      </c>
      <c r="AT65" s="115">
        <v>8</v>
      </c>
      <c r="AU65" s="117">
        <v>2</v>
      </c>
      <c r="AV65" s="116">
        <v>3</v>
      </c>
      <c r="AW65" s="113" t="s">
        <v>527</v>
      </c>
      <c r="AX65" s="118">
        <f t="shared" si="41"/>
        <v>1.0625</v>
      </c>
      <c r="AY65" s="118">
        <f t="shared" si="42"/>
        <v>1.8125</v>
      </c>
      <c r="AZ65" s="118">
        <f t="shared" si="43"/>
        <v>2.5625</v>
      </c>
      <c r="BA65" s="119">
        <f t="shared" si="44"/>
        <v>1.0625</v>
      </c>
      <c r="BB65" s="119">
        <f t="shared" si="45"/>
        <v>2.5625</v>
      </c>
      <c r="BC65" s="92"/>
      <c r="BD65" s="106"/>
      <c r="BE65" s="106"/>
      <c r="BF65" s="106"/>
      <c r="BG65" s="106"/>
      <c r="BH65" s="106"/>
    </row>
    <row r="66" spans="1:60" x14ac:dyDescent="0.25">
      <c r="A66" s="107">
        <v>4262.1000000000004</v>
      </c>
      <c r="B66" s="368"/>
      <c r="C66" s="98" t="s">
        <v>108</v>
      </c>
      <c r="D66" s="98" t="s">
        <v>496</v>
      </c>
      <c r="E66" s="142" t="s">
        <v>109</v>
      </c>
      <c r="F66" s="141" t="s">
        <v>110</v>
      </c>
      <c r="G66" s="141">
        <f>(10000000+500000)/2</f>
        <v>5250000</v>
      </c>
      <c r="H66" s="65">
        <v>1</v>
      </c>
      <c r="I66" s="141">
        <v>50</v>
      </c>
      <c r="J66" s="141">
        <f t="shared" si="37"/>
        <v>0.5</v>
      </c>
      <c r="K66" s="290">
        <f t="shared" si="18"/>
        <v>0.5</v>
      </c>
      <c r="L66" s="290">
        <f t="shared" si="19"/>
        <v>1.5</v>
      </c>
      <c r="M66" s="140" t="s">
        <v>282</v>
      </c>
      <c r="N66" s="121">
        <v>6600</v>
      </c>
      <c r="O66" s="121">
        <v>3200</v>
      </c>
      <c r="P66" s="153" t="s">
        <v>549</v>
      </c>
      <c r="Q66" s="153" t="s">
        <v>549</v>
      </c>
      <c r="R66" s="121" t="s">
        <v>619</v>
      </c>
      <c r="S66" s="121">
        <f>(N66/G66)*100</f>
        <v>0.1257142857142857</v>
      </c>
      <c r="T66" s="121">
        <f>(O66/G66)*100</f>
        <v>6.0952380952380945E-2</v>
      </c>
      <c r="U66" s="121">
        <v>1</v>
      </c>
      <c r="V66" s="121">
        <v>50</v>
      </c>
      <c r="W66" s="154">
        <f t="shared" si="39"/>
        <v>0.5</v>
      </c>
      <c r="X66" s="294">
        <f t="shared" si="20"/>
        <v>0.5</v>
      </c>
      <c r="Y66" s="294">
        <f t="shared" si="21"/>
        <v>1.5</v>
      </c>
      <c r="Z66" s="109" t="s">
        <v>681</v>
      </c>
      <c r="AA66" s="70">
        <v>1</v>
      </c>
      <c r="AB66" s="70">
        <v>1</v>
      </c>
      <c r="AC66" s="70">
        <v>1</v>
      </c>
      <c r="AD66" s="110">
        <v>1.25</v>
      </c>
      <c r="AE66" s="70">
        <v>1</v>
      </c>
      <c r="AF66" s="70">
        <v>1</v>
      </c>
      <c r="AG66" s="70">
        <v>1</v>
      </c>
      <c r="AH66" s="70"/>
      <c r="AI66" s="70"/>
      <c r="AJ66" s="70"/>
      <c r="AK66" s="70"/>
      <c r="AL66" s="110">
        <f t="shared" si="48"/>
        <v>1.25</v>
      </c>
      <c r="AM66" s="112" t="s">
        <v>992</v>
      </c>
      <c r="AN66" s="116" t="s">
        <v>828</v>
      </c>
      <c r="AO66" s="116">
        <v>4</v>
      </c>
      <c r="AP66" s="116">
        <v>50</v>
      </c>
      <c r="AQ66" s="114">
        <f t="shared" si="40"/>
        <v>2</v>
      </c>
      <c r="AR66" s="301">
        <f t="shared" si="22"/>
        <v>2</v>
      </c>
      <c r="AS66" s="301">
        <f t="shared" si="23"/>
        <v>6</v>
      </c>
      <c r="AT66" s="115">
        <v>18</v>
      </c>
      <c r="AU66" s="117">
        <v>2</v>
      </c>
      <c r="AV66" s="116">
        <v>4</v>
      </c>
      <c r="AW66" s="113" t="s">
        <v>829</v>
      </c>
      <c r="AX66" s="118">
        <f t="shared" si="41"/>
        <v>1.0625</v>
      </c>
      <c r="AY66" s="118">
        <f t="shared" si="42"/>
        <v>1.8125</v>
      </c>
      <c r="AZ66" s="118">
        <f t="shared" si="43"/>
        <v>2.5625</v>
      </c>
      <c r="BA66" s="119">
        <f t="shared" si="44"/>
        <v>1.0625</v>
      </c>
      <c r="BB66" s="119">
        <f t="shared" si="45"/>
        <v>2.5625</v>
      </c>
      <c r="BC66" s="92"/>
      <c r="BD66" s="106"/>
      <c r="BE66" s="106"/>
      <c r="BF66" s="106"/>
      <c r="BG66" s="106"/>
      <c r="BH66" s="106"/>
    </row>
    <row r="67" spans="1:60" x14ac:dyDescent="0.25">
      <c r="A67" s="107">
        <v>4262.09</v>
      </c>
      <c r="B67" s="368"/>
      <c r="C67" s="98" t="s">
        <v>111</v>
      </c>
      <c r="D67" s="98" t="s">
        <v>497</v>
      </c>
      <c r="E67" s="142" t="s">
        <v>112</v>
      </c>
      <c r="F67" s="141" t="s">
        <v>113</v>
      </c>
      <c r="G67" s="141">
        <f>(3000000+250000)/2</f>
        <v>1625000</v>
      </c>
      <c r="H67" s="65">
        <v>2</v>
      </c>
      <c r="I67" s="141">
        <v>50</v>
      </c>
      <c r="J67" s="141">
        <f t="shared" si="37"/>
        <v>1</v>
      </c>
      <c r="K67" s="290">
        <f t="shared" si="18"/>
        <v>1</v>
      </c>
      <c r="L67" s="290">
        <f t="shared" si="19"/>
        <v>3</v>
      </c>
      <c r="M67" s="140" t="s">
        <v>282</v>
      </c>
      <c r="N67" s="121">
        <v>66000</v>
      </c>
      <c r="O67" s="121">
        <v>32000</v>
      </c>
      <c r="P67" s="153" t="s">
        <v>549</v>
      </c>
      <c r="Q67" s="153" t="s">
        <v>549</v>
      </c>
      <c r="R67" s="121" t="s">
        <v>618</v>
      </c>
      <c r="S67" s="121">
        <f>(N67/G67)*100</f>
        <v>4.0615384615384613</v>
      </c>
      <c r="T67" s="121">
        <f>(O67/G67)*100</f>
        <v>1.9692307692307693</v>
      </c>
      <c r="U67" s="121">
        <v>2</v>
      </c>
      <c r="V67" s="121">
        <v>25</v>
      </c>
      <c r="W67" s="154">
        <f t="shared" si="39"/>
        <v>0.5</v>
      </c>
      <c r="X67" s="294">
        <f t="shared" si="20"/>
        <v>1.5</v>
      </c>
      <c r="Y67" s="294">
        <f t="shared" si="21"/>
        <v>2.5</v>
      </c>
      <c r="Z67" s="109" t="s">
        <v>681</v>
      </c>
      <c r="AA67" s="70">
        <v>1</v>
      </c>
      <c r="AB67" s="70">
        <v>1</v>
      </c>
      <c r="AC67" s="70">
        <v>1</v>
      </c>
      <c r="AD67" s="110">
        <v>1.25</v>
      </c>
      <c r="AE67" s="70">
        <v>1</v>
      </c>
      <c r="AF67" s="70">
        <v>1</v>
      </c>
      <c r="AG67" s="70">
        <v>1</v>
      </c>
      <c r="AH67" s="70"/>
      <c r="AI67" s="70"/>
      <c r="AJ67" s="70"/>
      <c r="AK67" s="70"/>
      <c r="AL67" s="110">
        <f t="shared" si="48"/>
        <v>1.25</v>
      </c>
      <c r="AM67" s="112" t="s">
        <v>992</v>
      </c>
      <c r="AN67" s="116" t="s">
        <v>545</v>
      </c>
      <c r="AO67" s="116">
        <v>3</v>
      </c>
      <c r="AP67" s="116">
        <v>50</v>
      </c>
      <c r="AQ67" s="114">
        <f t="shared" si="40"/>
        <v>1.5</v>
      </c>
      <c r="AR67" s="301">
        <f t="shared" si="22"/>
        <v>1.5</v>
      </c>
      <c r="AS67" s="301">
        <f t="shared" si="23"/>
        <v>4.5</v>
      </c>
      <c r="AT67" s="115" t="s">
        <v>559</v>
      </c>
      <c r="AU67" s="117">
        <v>2</v>
      </c>
      <c r="AV67" s="116">
        <v>3</v>
      </c>
      <c r="AW67" s="113" t="s">
        <v>544</v>
      </c>
      <c r="AX67" s="118">
        <f t="shared" si="41"/>
        <v>1.3125</v>
      </c>
      <c r="AY67" s="118">
        <f t="shared" si="42"/>
        <v>2.0625</v>
      </c>
      <c r="AZ67" s="118">
        <f t="shared" si="43"/>
        <v>2.8125</v>
      </c>
      <c r="BA67" s="119">
        <f t="shared" si="44"/>
        <v>1.3125</v>
      </c>
      <c r="BB67" s="119">
        <f t="shared" si="45"/>
        <v>2.8125</v>
      </c>
      <c r="BC67" s="92"/>
      <c r="BD67" s="106"/>
      <c r="BE67" s="106"/>
      <c r="BF67" s="106"/>
      <c r="BG67" s="106"/>
      <c r="BH67" s="106"/>
    </row>
    <row r="68" spans="1:60" x14ac:dyDescent="0.25">
      <c r="A68" s="107">
        <v>4262.03</v>
      </c>
      <c r="B68" s="369"/>
      <c r="C68" s="98" t="s">
        <v>114</v>
      </c>
      <c r="D68" s="98" t="s">
        <v>498</v>
      </c>
      <c r="E68" s="142" t="s">
        <v>115</v>
      </c>
      <c r="F68" s="141" t="s">
        <v>116</v>
      </c>
      <c r="G68" s="141">
        <f>(19999+10000)/2</f>
        <v>14999.5</v>
      </c>
      <c r="H68" s="65">
        <v>5</v>
      </c>
      <c r="I68" s="141">
        <v>10</v>
      </c>
      <c r="J68" s="141">
        <f t="shared" ref="J68:J78" si="49">(I68/100)*H68</f>
        <v>0.5</v>
      </c>
      <c r="K68" s="290">
        <f t="shared" si="18"/>
        <v>4.5</v>
      </c>
      <c r="L68" s="290">
        <f t="shared" si="19"/>
        <v>5.5</v>
      </c>
      <c r="M68" s="140" t="s">
        <v>260</v>
      </c>
      <c r="N68" s="121" t="s">
        <v>549</v>
      </c>
      <c r="O68" s="153" t="s">
        <v>549</v>
      </c>
      <c r="P68" s="153" t="s">
        <v>549</v>
      </c>
      <c r="Q68" s="153" t="s">
        <v>549</v>
      </c>
      <c r="R68" s="153" t="s">
        <v>549</v>
      </c>
      <c r="S68" s="121"/>
      <c r="T68" s="121"/>
      <c r="U68" s="121">
        <v>2</v>
      </c>
      <c r="V68" s="121">
        <v>50</v>
      </c>
      <c r="W68" s="154">
        <f t="shared" ref="W68:W78" si="50">(V68/100)*U68</f>
        <v>1</v>
      </c>
      <c r="X68" s="294">
        <f t="shared" si="20"/>
        <v>1</v>
      </c>
      <c r="Y68" s="294">
        <f t="shared" si="21"/>
        <v>3</v>
      </c>
      <c r="Z68" s="109" t="s">
        <v>681</v>
      </c>
      <c r="AA68" s="70">
        <v>1</v>
      </c>
      <c r="AB68" s="70">
        <v>1</v>
      </c>
      <c r="AC68" s="70">
        <v>1</v>
      </c>
      <c r="AD68" s="110">
        <v>1.25</v>
      </c>
      <c r="AE68" s="70">
        <v>1</v>
      </c>
      <c r="AF68" s="70">
        <v>1</v>
      </c>
      <c r="AG68" s="70">
        <v>1</v>
      </c>
      <c r="AH68" s="70"/>
      <c r="AI68" s="70"/>
      <c r="AJ68" s="70"/>
      <c r="AK68" s="70"/>
      <c r="AL68" s="110">
        <f t="shared" si="48"/>
        <v>1.25</v>
      </c>
      <c r="AM68" s="112" t="s">
        <v>992</v>
      </c>
      <c r="AN68" s="116" t="s">
        <v>387</v>
      </c>
      <c r="AO68" s="116">
        <v>5</v>
      </c>
      <c r="AP68" s="116">
        <v>10</v>
      </c>
      <c r="AQ68" s="114">
        <f t="shared" ref="AQ68:AQ78" si="51">(AP68/100)*AO68</f>
        <v>0.5</v>
      </c>
      <c r="AR68" s="301">
        <f t="shared" si="22"/>
        <v>4.5</v>
      </c>
      <c r="AS68" s="301">
        <f t="shared" si="23"/>
        <v>5.5</v>
      </c>
      <c r="AT68" s="115">
        <v>5</v>
      </c>
      <c r="AU68" s="117" t="s">
        <v>559</v>
      </c>
      <c r="AV68" s="116" t="s">
        <v>559</v>
      </c>
      <c r="AW68" s="113" t="s">
        <v>1074</v>
      </c>
      <c r="AX68" s="118">
        <f t="shared" ref="AX68:AX78" si="52">(K68+X68+AL68+AR68)/4</f>
        <v>2.8125</v>
      </c>
      <c r="AY68" s="118">
        <f t="shared" ref="AY68:AY78" si="53">(H68+U68+AL68+AO68)/4</f>
        <v>3.3125</v>
      </c>
      <c r="AZ68" s="118">
        <f t="shared" ref="AZ68:AZ78" si="54">(L68+Y68+AL68+AS68)/4</f>
        <v>3.8125</v>
      </c>
      <c r="BA68" s="119">
        <f t="shared" ref="BA68:BA78" si="55">MIN(AX68:AZ68)</f>
        <v>2.8125</v>
      </c>
      <c r="BB68" s="119">
        <f t="shared" ref="BB68:BB78" si="56">MAX(AX68:AZ68)</f>
        <v>3.8125</v>
      </c>
      <c r="BC68" s="92"/>
      <c r="BD68" s="106"/>
      <c r="BE68" s="106"/>
      <c r="BF68" s="106"/>
      <c r="BG68" s="106"/>
      <c r="BH68" s="106"/>
    </row>
    <row r="69" spans="1:60" x14ac:dyDescent="0.25">
      <c r="A69" s="107">
        <v>4262.6099999999997</v>
      </c>
      <c r="B69" s="363" t="s">
        <v>117</v>
      </c>
      <c r="C69" s="98" t="s">
        <v>118</v>
      </c>
      <c r="D69" s="98" t="s">
        <v>499</v>
      </c>
      <c r="E69" s="142" t="s">
        <v>119</v>
      </c>
      <c r="F69" s="141" t="s">
        <v>120</v>
      </c>
      <c r="G69" s="145">
        <v>1500000</v>
      </c>
      <c r="H69" s="65">
        <v>2</v>
      </c>
      <c r="I69" s="141">
        <v>10</v>
      </c>
      <c r="J69" s="141">
        <f t="shared" si="49"/>
        <v>0.2</v>
      </c>
      <c r="K69" s="290">
        <f t="shared" ref="K69:K79" si="57">H69-J69</f>
        <v>1.8</v>
      </c>
      <c r="L69" s="290">
        <f t="shared" ref="L69:L79" si="58">H69+J69</f>
        <v>2.2000000000000002</v>
      </c>
      <c r="M69" s="140" t="s">
        <v>260</v>
      </c>
      <c r="N69" s="121"/>
      <c r="O69" s="121">
        <v>500000</v>
      </c>
      <c r="P69" s="121">
        <v>50000</v>
      </c>
      <c r="Q69" s="121" t="s">
        <v>549</v>
      </c>
      <c r="R69" s="121"/>
      <c r="S69" s="121"/>
      <c r="T69" s="121">
        <f>(O69/G69)*100</f>
        <v>33.333333333333329</v>
      </c>
      <c r="U69" s="121">
        <v>3</v>
      </c>
      <c r="V69" s="121">
        <v>50</v>
      </c>
      <c r="W69" s="154">
        <f t="shared" si="50"/>
        <v>1.5</v>
      </c>
      <c r="X69" s="294">
        <f t="shared" ref="X69:X79" si="59">U69-W69</f>
        <v>1.5</v>
      </c>
      <c r="Y69" s="294">
        <f t="shared" ref="Y69:Y79" si="60">U69+W69</f>
        <v>4.5</v>
      </c>
      <c r="Z69" s="109" t="s">
        <v>682</v>
      </c>
      <c r="AA69" s="70">
        <v>1</v>
      </c>
      <c r="AB69" s="70">
        <v>1</v>
      </c>
      <c r="AC69" s="111">
        <v>3</v>
      </c>
      <c r="AD69" s="110">
        <v>1.25</v>
      </c>
      <c r="AE69" s="70">
        <v>1</v>
      </c>
      <c r="AF69" s="70">
        <v>1</v>
      </c>
      <c r="AG69" s="70">
        <v>3</v>
      </c>
      <c r="AH69" s="70"/>
      <c r="AI69" s="70"/>
      <c r="AJ69" s="70"/>
      <c r="AK69" s="70"/>
      <c r="AL69" s="110">
        <f t="shared" si="48"/>
        <v>3</v>
      </c>
      <c r="AM69" s="112" t="s">
        <v>992</v>
      </c>
      <c r="AN69" s="116" t="s">
        <v>369</v>
      </c>
      <c r="AO69" s="116">
        <v>2</v>
      </c>
      <c r="AP69" s="116">
        <v>25</v>
      </c>
      <c r="AQ69" s="114">
        <f t="shared" si="51"/>
        <v>0.5</v>
      </c>
      <c r="AR69" s="301">
        <f t="shared" ref="AR69:AR79" si="61">AO69-AQ69</f>
        <v>1.5</v>
      </c>
      <c r="AS69" s="301">
        <f t="shared" ref="AS69:AS79" si="62">AO69+AQ69</f>
        <v>2.5</v>
      </c>
      <c r="AT69" s="116">
        <v>22</v>
      </c>
      <c r="AU69" s="117">
        <v>3</v>
      </c>
      <c r="AV69" s="122" t="s">
        <v>392</v>
      </c>
      <c r="AW69" s="113" t="s">
        <v>390</v>
      </c>
      <c r="AX69" s="118">
        <f t="shared" si="52"/>
        <v>1.95</v>
      </c>
      <c r="AY69" s="118">
        <f t="shared" si="53"/>
        <v>2.5</v>
      </c>
      <c r="AZ69" s="118">
        <f t="shared" si="54"/>
        <v>3.05</v>
      </c>
      <c r="BA69" s="119">
        <f t="shared" si="55"/>
        <v>1.95</v>
      </c>
      <c r="BB69" s="119">
        <f t="shared" si="56"/>
        <v>3.05</v>
      </c>
      <c r="BC69" s="92"/>
      <c r="BD69" s="106"/>
      <c r="BE69" s="106"/>
      <c r="BF69" s="106"/>
      <c r="BG69" s="106"/>
      <c r="BH69" s="106"/>
    </row>
    <row r="70" spans="1:60" x14ac:dyDescent="0.25">
      <c r="A70" s="107">
        <v>4262.54</v>
      </c>
      <c r="B70" s="364"/>
      <c r="C70" s="98" t="s">
        <v>123</v>
      </c>
      <c r="D70" s="98" t="s">
        <v>451</v>
      </c>
      <c r="E70" s="142" t="s">
        <v>124</v>
      </c>
      <c r="F70" s="141" t="s">
        <v>125</v>
      </c>
      <c r="G70" s="141">
        <f>(760000+480000)/2</f>
        <v>620000</v>
      </c>
      <c r="H70" s="65">
        <v>3</v>
      </c>
      <c r="I70" s="141">
        <v>25</v>
      </c>
      <c r="J70" s="141">
        <f t="shared" si="49"/>
        <v>0.75</v>
      </c>
      <c r="K70" s="290">
        <f t="shared" si="57"/>
        <v>2.25</v>
      </c>
      <c r="L70" s="290">
        <f t="shared" si="58"/>
        <v>3.75</v>
      </c>
      <c r="M70" s="140" t="s">
        <v>260</v>
      </c>
      <c r="N70" s="121">
        <f>12940+2000</f>
        <v>14940</v>
      </c>
      <c r="O70" s="121">
        <f>SUM(P70:R70)</f>
        <v>4417</v>
      </c>
      <c r="P70" s="121">
        <v>2417</v>
      </c>
      <c r="Q70" s="121"/>
      <c r="R70" s="121">
        <v>2000</v>
      </c>
      <c r="S70" s="121">
        <f>(N70/G70)*100</f>
        <v>2.4096774193548387</v>
      </c>
      <c r="T70" s="121">
        <f>(O70/G70)*100</f>
        <v>0.71241935483870966</v>
      </c>
      <c r="U70" s="121">
        <v>2</v>
      </c>
      <c r="V70" s="121">
        <v>25</v>
      </c>
      <c r="W70" s="154">
        <f t="shared" si="50"/>
        <v>0.5</v>
      </c>
      <c r="X70" s="294">
        <f t="shared" si="59"/>
        <v>1.5</v>
      </c>
      <c r="Y70" s="294">
        <f t="shared" si="60"/>
        <v>2.5</v>
      </c>
      <c r="Z70" s="109" t="s">
        <v>991</v>
      </c>
      <c r="AA70" s="70">
        <v>4</v>
      </c>
      <c r="AB70" s="70">
        <v>4</v>
      </c>
      <c r="AC70" s="111">
        <v>5</v>
      </c>
      <c r="AD70" s="110">
        <v>1.25</v>
      </c>
      <c r="AE70" s="70">
        <v>4</v>
      </c>
      <c r="AF70" s="111">
        <v>4</v>
      </c>
      <c r="AG70" s="70">
        <v>4</v>
      </c>
      <c r="AH70" s="70"/>
      <c r="AI70" s="70"/>
      <c r="AJ70" s="70"/>
      <c r="AK70" s="70"/>
      <c r="AL70" s="110">
        <f t="shared" si="48"/>
        <v>5</v>
      </c>
      <c r="AM70" s="112" t="s">
        <v>992</v>
      </c>
      <c r="AN70" s="116" t="s">
        <v>555</v>
      </c>
      <c r="AO70" s="116">
        <v>4</v>
      </c>
      <c r="AP70" s="116">
        <v>25</v>
      </c>
      <c r="AQ70" s="114">
        <f t="shared" si="51"/>
        <v>1</v>
      </c>
      <c r="AR70" s="301">
        <f t="shared" si="61"/>
        <v>3</v>
      </c>
      <c r="AS70" s="301">
        <f t="shared" si="62"/>
        <v>5</v>
      </c>
      <c r="AT70" s="116" t="s">
        <v>559</v>
      </c>
      <c r="AU70" s="117">
        <v>1</v>
      </c>
      <c r="AV70" s="116">
        <v>3</v>
      </c>
      <c r="AW70" s="113" t="s">
        <v>557</v>
      </c>
      <c r="AX70" s="118">
        <f t="shared" si="52"/>
        <v>2.9375</v>
      </c>
      <c r="AY70" s="118">
        <f t="shared" si="53"/>
        <v>3.5</v>
      </c>
      <c r="AZ70" s="118">
        <f t="shared" si="54"/>
        <v>4.0625</v>
      </c>
      <c r="BA70" s="119">
        <f t="shared" si="55"/>
        <v>2.9375</v>
      </c>
      <c r="BB70" s="119">
        <f t="shared" si="56"/>
        <v>4.0625</v>
      </c>
      <c r="BC70" s="92"/>
      <c r="BD70" s="106"/>
      <c r="BE70" s="106"/>
      <c r="BF70" s="106"/>
      <c r="BG70" s="106"/>
      <c r="BH70" s="106"/>
    </row>
    <row r="71" spans="1:60" x14ac:dyDescent="0.25">
      <c r="A71" s="107">
        <v>4262.5600000000004</v>
      </c>
      <c r="B71" s="364"/>
      <c r="C71" s="98" t="s">
        <v>1055</v>
      </c>
      <c r="D71" s="98" t="s">
        <v>452</v>
      </c>
      <c r="E71" s="142" t="s">
        <v>126</v>
      </c>
      <c r="F71" s="141" t="s">
        <v>116</v>
      </c>
      <c r="G71" s="141">
        <f>(19999+10000)/2</f>
        <v>14999.5</v>
      </c>
      <c r="H71" s="65">
        <v>5</v>
      </c>
      <c r="I71" s="141">
        <v>10</v>
      </c>
      <c r="J71" s="141">
        <f t="shared" si="49"/>
        <v>0.5</v>
      </c>
      <c r="K71" s="290">
        <f t="shared" si="57"/>
        <v>4.5</v>
      </c>
      <c r="L71" s="290">
        <f t="shared" si="58"/>
        <v>5.5</v>
      </c>
      <c r="M71" s="140" t="s">
        <v>260</v>
      </c>
      <c r="N71" s="121">
        <v>3500</v>
      </c>
      <c r="O71" s="121">
        <v>1760</v>
      </c>
      <c r="P71" s="121" t="s">
        <v>549</v>
      </c>
      <c r="Q71" s="121" t="s">
        <v>549</v>
      </c>
      <c r="R71" s="121" t="s">
        <v>605</v>
      </c>
      <c r="S71" s="121">
        <f>(N71/G71)*100</f>
        <v>23.334111137037901</v>
      </c>
      <c r="T71" s="121">
        <f>(O71/G71)*100</f>
        <v>11.733724457481916</v>
      </c>
      <c r="U71" s="121">
        <v>2</v>
      </c>
      <c r="V71" s="121">
        <v>10</v>
      </c>
      <c r="W71" s="154">
        <f t="shared" si="50"/>
        <v>0.2</v>
      </c>
      <c r="X71" s="294">
        <f t="shared" si="59"/>
        <v>1.8</v>
      </c>
      <c r="Y71" s="294">
        <f t="shared" si="60"/>
        <v>2.2000000000000002</v>
      </c>
      <c r="Z71" s="109" t="s">
        <v>606</v>
      </c>
      <c r="AA71" s="70">
        <v>3</v>
      </c>
      <c r="AB71" s="70">
        <v>3</v>
      </c>
      <c r="AC71" s="111">
        <v>4</v>
      </c>
      <c r="AD71" s="110">
        <v>1.25</v>
      </c>
      <c r="AE71" s="70">
        <v>1</v>
      </c>
      <c r="AF71" s="70">
        <v>1</v>
      </c>
      <c r="AG71" s="70">
        <v>1</v>
      </c>
      <c r="AH71" s="70">
        <v>4</v>
      </c>
      <c r="AI71" s="70"/>
      <c r="AJ71" s="70"/>
      <c r="AK71" s="70"/>
      <c r="AL71" s="110">
        <f t="shared" si="48"/>
        <v>4</v>
      </c>
      <c r="AM71" s="112" t="s">
        <v>994</v>
      </c>
      <c r="AN71" s="116" t="s">
        <v>506</v>
      </c>
      <c r="AO71" s="116">
        <v>4</v>
      </c>
      <c r="AP71" s="116">
        <v>50</v>
      </c>
      <c r="AQ71" s="114">
        <f t="shared" si="51"/>
        <v>2</v>
      </c>
      <c r="AR71" s="301">
        <f t="shared" si="61"/>
        <v>2</v>
      </c>
      <c r="AS71" s="301">
        <f t="shared" si="62"/>
        <v>6</v>
      </c>
      <c r="AT71" s="116">
        <v>14</v>
      </c>
      <c r="AU71" s="117">
        <v>1</v>
      </c>
      <c r="AV71" s="116" t="s">
        <v>559</v>
      </c>
      <c r="AW71" s="113" t="s">
        <v>1083</v>
      </c>
      <c r="AX71" s="118">
        <f t="shared" si="52"/>
        <v>3.0750000000000002</v>
      </c>
      <c r="AY71" s="118">
        <f t="shared" si="53"/>
        <v>3.75</v>
      </c>
      <c r="AZ71" s="118">
        <f t="shared" si="54"/>
        <v>4.4249999999999998</v>
      </c>
      <c r="BA71" s="119">
        <f t="shared" si="55"/>
        <v>3.0750000000000002</v>
      </c>
      <c r="BB71" s="119">
        <f t="shared" si="56"/>
        <v>4.4249999999999998</v>
      </c>
      <c r="BC71" s="92"/>
      <c r="BD71" s="106"/>
      <c r="BE71" s="106"/>
      <c r="BF71" s="106"/>
      <c r="BG71" s="106"/>
      <c r="BH71" s="106"/>
    </row>
    <row r="72" spans="1:60" x14ac:dyDescent="0.25">
      <c r="A72" s="107">
        <v>4262.59</v>
      </c>
      <c r="B72" s="364"/>
      <c r="C72" s="98" t="s">
        <v>292</v>
      </c>
      <c r="D72" s="83" t="s">
        <v>500</v>
      </c>
      <c r="E72" s="343" t="s">
        <v>322</v>
      </c>
      <c r="F72" s="141" t="s">
        <v>663</v>
      </c>
      <c r="G72" s="141">
        <f>(9000+22000)/2</f>
        <v>15500</v>
      </c>
      <c r="H72" s="65">
        <v>5</v>
      </c>
      <c r="I72" s="141">
        <v>10</v>
      </c>
      <c r="J72" s="141">
        <f t="shared" si="49"/>
        <v>0.5</v>
      </c>
      <c r="K72" s="290">
        <f t="shared" si="57"/>
        <v>4.5</v>
      </c>
      <c r="L72" s="290">
        <f t="shared" si="58"/>
        <v>5.5</v>
      </c>
      <c r="M72" s="140" t="s">
        <v>662</v>
      </c>
      <c r="N72" s="153" t="s">
        <v>549</v>
      </c>
      <c r="O72" s="153" t="s">
        <v>549</v>
      </c>
      <c r="P72" s="153" t="s">
        <v>549</v>
      </c>
      <c r="Q72" s="153" t="s">
        <v>549</v>
      </c>
      <c r="R72" s="121"/>
      <c r="S72" s="121"/>
      <c r="T72" s="121"/>
      <c r="U72" s="121">
        <v>2</v>
      </c>
      <c r="V72" s="121">
        <v>50</v>
      </c>
      <c r="W72" s="154">
        <f t="shared" si="50"/>
        <v>1</v>
      </c>
      <c r="X72" s="294">
        <f t="shared" si="59"/>
        <v>1</v>
      </c>
      <c r="Y72" s="294">
        <f t="shared" si="60"/>
        <v>3</v>
      </c>
      <c r="Z72" s="109" t="s">
        <v>664</v>
      </c>
      <c r="AA72" s="70">
        <v>3</v>
      </c>
      <c r="AB72" s="70">
        <v>1</v>
      </c>
      <c r="AC72" s="70">
        <v>1</v>
      </c>
      <c r="AD72" s="110">
        <v>1.25</v>
      </c>
      <c r="AE72" s="70">
        <v>1</v>
      </c>
      <c r="AF72" s="70">
        <v>1</v>
      </c>
      <c r="AG72" s="70">
        <v>1</v>
      </c>
      <c r="AH72" s="70">
        <v>4</v>
      </c>
      <c r="AI72" s="70"/>
      <c r="AJ72" s="70"/>
      <c r="AK72" s="70"/>
      <c r="AL72" s="110">
        <v>4</v>
      </c>
      <c r="AM72" s="112" t="s">
        <v>994</v>
      </c>
      <c r="AN72" s="116" t="s">
        <v>506</v>
      </c>
      <c r="AO72" s="116">
        <v>3</v>
      </c>
      <c r="AP72" s="116">
        <v>50</v>
      </c>
      <c r="AQ72" s="114">
        <f t="shared" si="51"/>
        <v>1.5</v>
      </c>
      <c r="AR72" s="301">
        <f t="shared" si="61"/>
        <v>1.5</v>
      </c>
      <c r="AS72" s="301">
        <f t="shared" si="62"/>
        <v>4.5</v>
      </c>
      <c r="AT72" s="116" t="s">
        <v>559</v>
      </c>
      <c r="AU72" s="117">
        <v>1</v>
      </c>
      <c r="AV72" s="116" t="s">
        <v>559</v>
      </c>
      <c r="AW72" s="113" t="s">
        <v>391</v>
      </c>
      <c r="AX72" s="118">
        <f t="shared" si="52"/>
        <v>2.75</v>
      </c>
      <c r="AY72" s="118">
        <f t="shared" si="53"/>
        <v>3.5</v>
      </c>
      <c r="AZ72" s="118">
        <f t="shared" si="54"/>
        <v>4.25</v>
      </c>
      <c r="BA72" s="119">
        <f t="shared" si="55"/>
        <v>2.75</v>
      </c>
      <c r="BB72" s="119">
        <f t="shared" si="56"/>
        <v>4.25</v>
      </c>
      <c r="BC72" s="92"/>
      <c r="BD72" s="106"/>
      <c r="BE72" s="106"/>
      <c r="BF72" s="106"/>
      <c r="BG72" s="106"/>
      <c r="BH72" s="106"/>
    </row>
    <row r="73" spans="1:60" x14ac:dyDescent="0.25">
      <c r="A73" s="107">
        <v>4262.22</v>
      </c>
      <c r="B73" s="364"/>
      <c r="C73" s="98" t="s">
        <v>127</v>
      </c>
      <c r="D73" s="98" t="s">
        <v>453</v>
      </c>
      <c r="E73" s="142" t="s">
        <v>128</v>
      </c>
      <c r="F73" s="145">
        <v>18000000</v>
      </c>
      <c r="G73" s="145">
        <v>18000000</v>
      </c>
      <c r="H73" s="65">
        <v>1</v>
      </c>
      <c r="I73" s="145">
        <v>10</v>
      </c>
      <c r="J73" s="141">
        <f t="shared" si="49"/>
        <v>0.1</v>
      </c>
      <c r="K73" s="290">
        <f t="shared" si="57"/>
        <v>0.9</v>
      </c>
      <c r="L73" s="290">
        <f t="shared" si="58"/>
        <v>1.1000000000000001</v>
      </c>
      <c r="M73" s="140" t="s">
        <v>260</v>
      </c>
      <c r="N73" s="153">
        <f>(351336+711900+30780)</f>
        <v>1094016</v>
      </c>
      <c r="O73" s="121">
        <f>(261400+711900+5900)</f>
        <v>979200</v>
      </c>
      <c r="P73" s="121" t="s">
        <v>661</v>
      </c>
      <c r="Q73" s="121">
        <v>711900</v>
      </c>
      <c r="R73" s="153" t="s">
        <v>552</v>
      </c>
      <c r="S73" s="121">
        <f>(N73/G73)*100</f>
        <v>6.077866666666667</v>
      </c>
      <c r="T73" s="121">
        <f>(O73/G73)*100</f>
        <v>5.4399999999999995</v>
      </c>
      <c r="U73" s="121">
        <v>2</v>
      </c>
      <c r="V73" s="121">
        <v>10</v>
      </c>
      <c r="W73" s="154">
        <f t="shared" si="50"/>
        <v>0.2</v>
      </c>
      <c r="X73" s="294">
        <f t="shared" si="59"/>
        <v>1.8</v>
      </c>
      <c r="Y73" s="294">
        <f t="shared" si="60"/>
        <v>2.2000000000000002</v>
      </c>
      <c r="Z73" s="109" t="s">
        <v>653</v>
      </c>
      <c r="AA73" s="70">
        <v>1</v>
      </c>
      <c r="AB73" s="70">
        <v>1</v>
      </c>
      <c r="AC73" s="111">
        <v>3</v>
      </c>
      <c r="AD73" s="110">
        <v>1.25</v>
      </c>
      <c r="AE73" s="70">
        <v>1</v>
      </c>
      <c r="AF73" s="111">
        <v>2</v>
      </c>
      <c r="AG73" s="70">
        <v>1</v>
      </c>
      <c r="AH73" s="70"/>
      <c r="AI73" s="70">
        <v>4</v>
      </c>
      <c r="AJ73" s="70"/>
      <c r="AK73" s="70"/>
      <c r="AL73" s="110">
        <f t="shared" ref="AL73:AL78" si="63">MAX(AA73:AF73)</f>
        <v>3</v>
      </c>
      <c r="AM73" s="112" t="s">
        <v>995</v>
      </c>
      <c r="AN73" s="116" t="s">
        <v>389</v>
      </c>
      <c r="AO73" s="116">
        <v>5</v>
      </c>
      <c r="AP73" s="116">
        <v>25</v>
      </c>
      <c r="AQ73" s="114">
        <f t="shared" si="51"/>
        <v>1.25</v>
      </c>
      <c r="AR73" s="301">
        <f t="shared" si="61"/>
        <v>3.75</v>
      </c>
      <c r="AS73" s="301">
        <f t="shared" si="62"/>
        <v>6.25</v>
      </c>
      <c r="AT73" s="116">
        <v>32</v>
      </c>
      <c r="AU73" s="117">
        <v>1</v>
      </c>
      <c r="AV73" s="116" t="s">
        <v>394</v>
      </c>
      <c r="AW73" s="113" t="s">
        <v>415</v>
      </c>
      <c r="AX73" s="118">
        <f t="shared" si="52"/>
        <v>2.3624999999999998</v>
      </c>
      <c r="AY73" s="118">
        <f t="shared" si="53"/>
        <v>2.75</v>
      </c>
      <c r="AZ73" s="118">
        <f t="shared" si="54"/>
        <v>3.1375000000000002</v>
      </c>
      <c r="BA73" s="119">
        <f t="shared" si="55"/>
        <v>2.3624999999999998</v>
      </c>
      <c r="BB73" s="119">
        <f t="shared" si="56"/>
        <v>3.1375000000000002</v>
      </c>
      <c r="BC73" s="92"/>
      <c r="BD73" s="106"/>
      <c r="BE73" s="106"/>
      <c r="BF73" s="106"/>
      <c r="BG73" s="106"/>
      <c r="BH73" s="106"/>
    </row>
    <row r="74" spans="1:60" x14ac:dyDescent="0.25">
      <c r="A74" s="107">
        <v>4262.4399999999996</v>
      </c>
      <c r="B74" s="364"/>
      <c r="C74" s="98" t="s">
        <v>131</v>
      </c>
      <c r="D74" s="98" t="s">
        <v>455</v>
      </c>
      <c r="E74" s="142" t="s">
        <v>132</v>
      </c>
      <c r="F74" s="145">
        <v>470000</v>
      </c>
      <c r="G74" s="145">
        <v>470000</v>
      </c>
      <c r="H74" s="65">
        <v>4</v>
      </c>
      <c r="I74" s="145">
        <v>10</v>
      </c>
      <c r="J74" s="141">
        <f>(I74/100)*H74</f>
        <v>0.4</v>
      </c>
      <c r="K74" s="290">
        <f t="shared" si="57"/>
        <v>3.6</v>
      </c>
      <c r="L74" s="290">
        <f t="shared" si="58"/>
        <v>4.4000000000000004</v>
      </c>
      <c r="M74" s="140" t="s">
        <v>260</v>
      </c>
      <c r="N74" s="121">
        <f>4270+2100+15470</f>
        <v>21840</v>
      </c>
      <c r="O74" s="121">
        <f>700+2100+12500</f>
        <v>15300</v>
      </c>
      <c r="P74" s="121" t="s">
        <v>654</v>
      </c>
      <c r="Q74" s="121">
        <v>21000</v>
      </c>
      <c r="R74" s="121" t="s">
        <v>604</v>
      </c>
      <c r="S74" s="121">
        <f>(N74/G74)*100</f>
        <v>4.6468085106382979</v>
      </c>
      <c r="T74" s="121">
        <f>(O74/G74)*100</f>
        <v>3.2553191489361701</v>
      </c>
      <c r="U74" s="121">
        <v>2</v>
      </c>
      <c r="V74" s="121">
        <v>10</v>
      </c>
      <c r="W74" s="154">
        <f>(V74/100)*U74</f>
        <v>0.2</v>
      </c>
      <c r="X74" s="294">
        <f t="shared" si="59"/>
        <v>1.8</v>
      </c>
      <c r="Y74" s="294">
        <f t="shared" si="60"/>
        <v>2.2000000000000002</v>
      </c>
      <c r="Z74" s="109" t="s">
        <v>655</v>
      </c>
      <c r="AA74" s="70">
        <v>1</v>
      </c>
      <c r="AB74" s="70">
        <v>1</v>
      </c>
      <c r="AC74" s="111">
        <v>3</v>
      </c>
      <c r="AD74" s="110">
        <v>1.25</v>
      </c>
      <c r="AE74" s="70">
        <v>1</v>
      </c>
      <c r="AF74" s="70">
        <v>1</v>
      </c>
      <c r="AG74" s="70">
        <v>1</v>
      </c>
      <c r="AH74" s="70"/>
      <c r="AI74" s="70"/>
      <c r="AJ74" s="70"/>
      <c r="AK74" s="70"/>
      <c r="AL74" s="110">
        <f>MAX(AA74:AF74)</f>
        <v>3</v>
      </c>
      <c r="AM74" s="112" t="s">
        <v>992</v>
      </c>
      <c r="AN74" s="116" t="s">
        <v>370</v>
      </c>
      <c r="AO74" s="116">
        <v>3</v>
      </c>
      <c r="AP74" s="116">
        <v>50</v>
      </c>
      <c r="AQ74" s="114">
        <f>(AP74/100)*AO74</f>
        <v>1.5</v>
      </c>
      <c r="AR74" s="301">
        <f t="shared" si="61"/>
        <v>1.5</v>
      </c>
      <c r="AS74" s="301">
        <f t="shared" si="62"/>
        <v>4.5</v>
      </c>
      <c r="AT74" s="116">
        <v>14</v>
      </c>
      <c r="AU74" s="117">
        <v>1</v>
      </c>
      <c r="AV74" s="116">
        <v>3</v>
      </c>
      <c r="AW74" s="113" t="s">
        <v>1084</v>
      </c>
      <c r="AX74" s="118">
        <f>(K74+X74+AL74+AR74)/4</f>
        <v>2.4750000000000001</v>
      </c>
      <c r="AY74" s="118">
        <f>(H74+U74+AL74+AO74)/4</f>
        <v>3</v>
      </c>
      <c r="AZ74" s="118">
        <f>(L74+Y74+AL74+AS74)/4</f>
        <v>3.5250000000000004</v>
      </c>
      <c r="BA74" s="119">
        <f>MIN(AX74:AZ74)</f>
        <v>2.4750000000000001</v>
      </c>
      <c r="BB74" s="119">
        <f>MAX(AX74:AZ74)</f>
        <v>3.5250000000000004</v>
      </c>
      <c r="BC74" s="92"/>
      <c r="BD74" s="106"/>
      <c r="BE74" s="106"/>
      <c r="BF74" s="106"/>
      <c r="BG74" s="106"/>
      <c r="BH74" s="106"/>
    </row>
    <row r="75" spans="1:60" x14ac:dyDescent="0.25">
      <c r="A75" s="107">
        <v>4262.8</v>
      </c>
      <c r="B75" s="364"/>
      <c r="C75" s="98" t="s">
        <v>588</v>
      </c>
      <c r="D75" s="98" t="s">
        <v>454</v>
      </c>
      <c r="E75" s="142" t="s">
        <v>330</v>
      </c>
      <c r="F75" s="145" t="s">
        <v>310</v>
      </c>
      <c r="G75" s="145">
        <f>(2970000+3500000)/2</f>
        <v>3235000</v>
      </c>
      <c r="H75" s="65">
        <v>1</v>
      </c>
      <c r="I75" s="145">
        <v>25</v>
      </c>
      <c r="J75" s="141">
        <f t="shared" si="49"/>
        <v>0.25</v>
      </c>
      <c r="K75" s="290">
        <f t="shared" si="57"/>
        <v>0.75</v>
      </c>
      <c r="L75" s="290">
        <f t="shared" si="58"/>
        <v>1.25</v>
      </c>
      <c r="M75" s="140" t="s">
        <v>311</v>
      </c>
      <c r="N75" s="153" t="s">
        <v>549</v>
      </c>
      <c r="O75" s="153" t="s">
        <v>549</v>
      </c>
      <c r="P75" s="163">
        <v>8.9999999999999993E-3</v>
      </c>
      <c r="Q75" s="163">
        <v>2E-3</v>
      </c>
      <c r="R75" s="163">
        <v>1E-4</v>
      </c>
      <c r="S75" s="121">
        <v>1.1000000000000001</v>
      </c>
      <c r="T75" s="121"/>
      <c r="U75" s="121">
        <v>2</v>
      </c>
      <c r="V75" s="121">
        <v>25</v>
      </c>
      <c r="W75" s="154">
        <f t="shared" si="50"/>
        <v>0.5</v>
      </c>
      <c r="X75" s="294">
        <f t="shared" si="59"/>
        <v>1.5</v>
      </c>
      <c r="Y75" s="294">
        <f t="shared" si="60"/>
        <v>2.5</v>
      </c>
      <c r="Z75" s="148" t="s">
        <v>633</v>
      </c>
      <c r="AA75" s="70">
        <v>1</v>
      </c>
      <c r="AB75" s="70">
        <v>1</v>
      </c>
      <c r="AC75" s="111">
        <v>3</v>
      </c>
      <c r="AD75" s="110">
        <v>5</v>
      </c>
      <c r="AE75" s="70">
        <v>2</v>
      </c>
      <c r="AF75" s="111">
        <v>2</v>
      </c>
      <c r="AG75" s="70">
        <v>1</v>
      </c>
      <c r="AH75" s="70"/>
      <c r="AI75" s="70"/>
      <c r="AJ75" s="70"/>
      <c r="AK75" s="70"/>
      <c r="AL75" s="110">
        <f t="shared" si="63"/>
        <v>5</v>
      </c>
      <c r="AM75" s="112" t="s">
        <v>992</v>
      </c>
      <c r="AN75" s="116" t="s">
        <v>506</v>
      </c>
      <c r="AO75" s="116">
        <v>5</v>
      </c>
      <c r="AP75" s="116">
        <v>50</v>
      </c>
      <c r="AQ75" s="114">
        <f t="shared" si="51"/>
        <v>2.5</v>
      </c>
      <c r="AR75" s="301">
        <f t="shared" si="61"/>
        <v>2.5</v>
      </c>
      <c r="AS75" s="301">
        <f t="shared" si="62"/>
        <v>7.5</v>
      </c>
      <c r="AT75" s="116">
        <v>6</v>
      </c>
      <c r="AU75" s="117">
        <v>1</v>
      </c>
      <c r="AV75" s="116">
        <v>5</v>
      </c>
      <c r="AW75" s="113" t="s">
        <v>1085</v>
      </c>
      <c r="AX75" s="118">
        <f t="shared" si="52"/>
        <v>2.4375</v>
      </c>
      <c r="AY75" s="118">
        <f t="shared" si="53"/>
        <v>3.25</v>
      </c>
      <c r="AZ75" s="118">
        <f t="shared" si="54"/>
        <v>4.0625</v>
      </c>
      <c r="BA75" s="119">
        <f t="shared" si="55"/>
        <v>2.4375</v>
      </c>
      <c r="BB75" s="119">
        <f t="shared" si="56"/>
        <v>4.0625</v>
      </c>
      <c r="BC75" s="92"/>
      <c r="BD75" s="106"/>
      <c r="BE75" s="106"/>
      <c r="BF75" s="106"/>
      <c r="BG75" s="106"/>
      <c r="BH75" s="106"/>
    </row>
    <row r="76" spans="1:60" x14ac:dyDescent="0.25">
      <c r="A76" s="107">
        <v>4262.79</v>
      </c>
      <c r="B76" s="364"/>
      <c r="C76" s="98" t="s">
        <v>129</v>
      </c>
      <c r="D76" s="98" t="s">
        <v>501</v>
      </c>
      <c r="E76" s="142" t="s">
        <v>130</v>
      </c>
      <c r="F76" s="145">
        <v>1200000</v>
      </c>
      <c r="G76" s="145">
        <v>1200000</v>
      </c>
      <c r="H76" s="65">
        <v>2</v>
      </c>
      <c r="I76" s="145">
        <v>10</v>
      </c>
      <c r="J76" s="141">
        <f t="shared" si="49"/>
        <v>0.2</v>
      </c>
      <c r="K76" s="290">
        <f t="shared" si="57"/>
        <v>1.8</v>
      </c>
      <c r="L76" s="290">
        <f t="shared" si="58"/>
        <v>2.2000000000000002</v>
      </c>
      <c r="M76" s="140" t="s">
        <v>260</v>
      </c>
      <c r="N76" s="121">
        <v>10000</v>
      </c>
      <c r="O76" s="121">
        <v>5000</v>
      </c>
      <c r="P76" s="121" t="s">
        <v>549</v>
      </c>
      <c r="Q76" s="121" t="s">
        <v>549</v>
      </c>
      <c r="R76" s="121" t="s">
        <v>665</v>
      </c>
      <c r="S76" s="121">
        <f>(N76/G76)*100</f>
        <v>0.83333333333333337</v>
      </c>
      <c r="T76" s="121">
        <f>(O76/G76)*100</f>
        <v>0.41666666666666669</v>
      </c>
      <c r="U76" s="121">
        <v>1</v>
      </c>
      <c r="V76" s="121">
        <v>50</v>
      </c>
      <c r="W76" s="154">
        <f t="shared" si="50"/>
        <v>0.5</v>
      </c>
      <c r="X76" s="294">
        <f t="shared" si="59"/>
        <v>0.5</v>
      </c>
      <c r="Y76" s="294">
        <f t="shared" si="60"/>
        <v>1.5</v>
      </c>
      <c r="Z76" s="109" t="s">
        <v>666</v>
      </c>
      <c r="AA76" s="70">
        <v>1</v>
      </c>
      <c r="AB76" s="70">
        <v>1</v>
      </c>
      <c r="AC76" s="70">
        <v>1</v>
      </c>
      <c r="AD76" s="110">
        <v>1.25</v>
      </c>
      <c r="AE76" s="70">
        <v>2</v>
      </c>
      <c r="AF76" s="70">
        <v>1</v>
      </c>
      <c r="AG76" s="70">
        <v>1</v>
      </c>
      <c r="AH76" s="70"/>
      <c r="AI76" s="70"/>
      <c r="AJ76" s="70"/>
      <c r="AK76" s="70"/>
      <c r="AL76" s="110">
        <f t="shared" si="63"/>
        <v>2</v>
      </c>
      <c r="AM76" s="112" t="s">
        <v>992</v>
      </c>
      <c r="AN76" s="116" t="s">
        <v>506</v>
      </c>
      <c r="AO76" s="116">
        <v>5</v>
      </c>
      <c r="AP76" s="116">
        <v>50</v>
      </c>
      <c r="AQ76" s="114">
        <f t="shared" si="51"/>
        <v>2.5</v>
      </c>
      <c r="AR76" s="301">
        <f t="shared" si="61"/>
        <v>2.5</v>
      </c>
      <c r="AS76" s="301">
        <f t="shared" si="62"/>
        <v>7.5</v>
      </c>
      <c r="AT76" s="116">
        <v>20</v>
      </c>
      <c r="AU76" s="117">
        <v>1</v>
      </c>
      <c r="AV76" s="116">
        <v>4</v>
      </c>
      <c r="AW76" s="113" t="s">
        <v>1086</v>
      </c>
      <c r="AX76" s="118">
        <f t="shared" si="52"/>
        <v>1.7</v>
      </c>
      <c r="AY76" s="118">
        <f t="shared" si="53"/>
        <v>2.5</v>
      </c>
      <c r="AZ76" s="118">
        <f t="shared" si="54"/>
        <v>3.3</v>
      </c>
      <c r="BA76" s="119">
        <f t="shared" si="55"/>
        <v>1.7</v>
      </c>
      <c r="BB76" s="119">
        <f t="shared" si="56"/>
        <v>3.3</v>
      </c>
      <c r="BC76" s="92"/>
      <c r="BD76" s="106"/>
      <c r="BE76" s="106"/>
      <c r="BF76" s="106"/>
      <c r="BG76" s="106"/>
      <c r="BH76" s="106"/>
    </row>
    <row r="77" spans="1:60" x14ac:dyDescent="0.25">
      <c r="A77" s="107">
        <v>4262.7299999999996</v>
      </c>
      <c r="B77" s="364"/>
      <c r="C77" s="98" t="s">
        <v>133</v>
      </c>
      <c r="D77" s="98" t="s">
        <v>456</v>
      </c>
      <c r="E77" s="142" t="s">
        <v>134</v>
      </c>
      <c r="F77" s="145">
        <v>1300000</v>
      </c>
      <c r="G77" s="145">
        <v>1300000</v>
      </c>
      <c r="H77" s="65">
        <v>2</v>
      </c>
      <c r="I77" s="145">
        <v>10</v>
      </c>
      <c r="J77" s="141">
        <f>(I77/100)*H77</f>
        <v>0.2</v>
      </c>
      <c r="K77" s="290">
        <f t="shared" si="57"/>
        <v>1.8</v>
      </c>
      <c r="L77" s="290">
        <f t="shared" si="58"/>
        <v>2.2000000000000002</v>
      </c>
      <c r="M77" s="140" t="s">
        <v>260</v>
      </c>
      <c r="N77" s="121">
        <f>60814+500+400</f>
        <v>61714</v>
      </c>
      <c r="O77" s="180">
        <f>42400+200+362</f>
        <v>42962</v>
      </c>
      <c r="P77" s="121" t="s">
        <v>607</v>
      </c>
      <c r="Q77" s="121" t="s">
        <v>608</v>
      </c>
      <c r="R77" s="121" t="s">
        <v>609</v>
      </c>
      <c r="S77" s="121">
        <f>(N77/G77)*100</f>
        <v>4.7472307692307698</v>
      </c>
      <c r="T77" s="121">
        <f>(O77/G77)*100</f>
        <v>3.3047692307692307</v>
      </c>
      <c r="U77" s="121">
        <v>2</v>
      </c>
      <c r="V77" s="121">
        <v>25</v>
      </c>
      <c r="W77" s="154">
        <f>(V77/100)*U77</f>
        <v>0.5</v>
      </c>
      <c r="X77" s="294">
        <f t="shared" si="59"/>
        <v>1.5</v>
      </c>
      <c r="Y77" s="294">
        <f t="shared" si="60"/>
        <v>2.5</v>
      </c>
      <c r="Z77" s="109" t="s">
        <v>429</v>
      </c>
      <c r="AA77" s="70">
        <v>1</v>
      </c>
      <c r="AB77" s="70">
        <v>1</v>
      </c>
      <c r="AC77" s="111">
        <v>4</v>
      </c>
      <c r="AD77" s="110">
        <v>1.25</v>
      </c>
      <c r="AE77" s="70">
        <v>1</v>
      </c>
      <c r="AF77" s="70">
        <v>1</v>
      </c>
      <c r="AG77" s="70">
        <v>1</v>
      </c>
      <c r="AH77" s="70"/>
      <c r="AI77" s="70"/>
      <c r="AJ77" s="70"/>
      <c r="AK77" s="70"/>
      <c r="AL77" s="110">
        <f>MAX(AA77:AF77)</f>
        <v>4</v>
      </c>
      <c r="AM77" s="112" t="s">
        <v>992</v>
      </c>
      <c r="AN77" s="116" t="s">
        <v>556</v>
      </c>
      <c r="AO77" s="116">
        <v>4</v>
      </c>
      <c r="AP77" s="116">
        <v>25</v>
      </c>
      <c r="AQ77" s="114">
        <f>(AP77/100)*AO77</f>
        <v>1</v>
      </c>
      <c r="AR77" s="301">
        <f t="shared" si="61"/>
        <v>3</v>
      </c>
      <c r="AS77" s="301">
        <f t="shared" si="62"/>
        <v>5</v>
      </c>
      <c r="AT77" s="116">
        <v>15</v>
      </c>
      <c r="AU77" s="117">
        <v>1</v>
      </c>
      <c r="AV77" s="116">
        <v>3</v>
      </c>
      <c r="AW77" s="113" t="s">
        <v>1087</v>
      </c>
      <c r="AX77" s="118">
        <f>(K77+X77+AL77+AR77)/4</f>
        <v>2.5750000000000002</v>
      </c>
      <c r="AY77" s="118">
        <f>(H77+U77+AL77+AO77)/4</f>
        <v>3</v>
      </c>
      <c r="AZ77" s="118">
        <f>(L77+Y77+AL77+AS77)/4</f>
        <v>3.4249999999999998</v>
      </c>
      <c r="BA77" s="119">
        <f>MIN(AX77:AZ77)</f>
        <v>2.5750000000000002</v>
      </c>
      <c r="BB77" s="119">
        <f>MAX(AX77:AZ77)</f>
        <v>3.4249999999999998</v>
      </c>
      <c r="BC77" s="92"/>
      <c r="BD77" s="106"/>
      <c r="BE77" s="106"/>
      <c r="BF77" s="106"/>
      <c r="BG77" s="106"/>
      <c r="BH77" s="106"/>
    </row>
    <row r="78" spans="1:60" x14ac:dyDescent="0.25">
      <c r="A78" s="107">
        <v>4262.6899999999996</v>
      </c>
      <c r="B78" s="364"/>
      <c r="C78" s="98" t="s">
        <v>288</v>
      </c>
      <c r="D78" s="98" t="s">
        <v>502</v>
      </c>
      <c r="E78" s="142" t="s">
        <v>289</v>
      </c>
      <c r="F78" s="145" t="s">
        <v>306</v>
      </c>
      <c r="G78" s="145">
        <v>1500000</v>
      </c>
      <c r="H78" s="65">
        <v>2</v>
      </c>
      <c r="I78" s="145">
        <v>10</v>
      </c>
      <c r="J78" s="141">
        <f t="shared" si="49"/>
        <v>0.2</v>
      </c>
      <c r="K78" s="290">
        <f t="shared" si="57"/>
        <v>1.8</v>
      </c>
      <c r="L78" s="290">
        <f t="shared" si="58"/>
        <v>2.2000000000000002</v>
      </c>
      <c r="M78" s="140" t="s">
        <v>308</v>
      </c>
      <c r="N78" s="121" t="s">
        <v>549</v>
      </c>
      <c r="O78" s="153" t="s">
        <v>549</v>
      </c>
      <c r="P78" s="153" t="s">
        <v>549</v>
      </c>
      <c r="Q78" s="153" t="s">
        <v>549</v>
      </c>
      <c r="R78" s="153" t="s">
        <v>549</v>
      </c>
      <c r="S78" s="121"/>
      <c r="T78" s="121"/>
      <c r="U78" s="121">
        <v>1</v>
      </c>
      <c r="V78" s="121">
        <v>50</v>
      </c>
      <c r="W78" s="154">
        <f t="shared" si="50"/>
        <v>0.5</v>
      </c>
      <c r="X78" s="294">
        <f t="shared" si="59"/>
        <v>0.5</v>
      </c>
      <c r="Y78" s="294">
        <f t="shared" si="60"/>
        <v>1.5</v>
      </c>
      <c r="Z78" s="109" t="s">
        <v>667</v>
      </c>
      <c r="AA78" s="70">
        <v>1</v>
      </c>
      <c r="AB78" s="70">
        <v>1</v>
      </c>
      <c r="AC78" s="70">
        <v>1</v>
      </c>
      <c r="AD78" s="110">
        <v>1.25</v>
      </c>
      <c r="AE78" s="70">
        <v>1</v>
      </c>
      <c r="AF78" s="70">
        <v>1</v>
      </c>
      <c r="AG78" s="70">
        <v>1</v>
      </c>
      <c r="AH78" s="70"/>
      <c r="AI78" s="70"/>
      <c r="AJ78" s="70"/>
      <c r="AK78" s="70"/>
      <c r="AL78" s="110">
        <f t="shared" si="63"/>
        <v>1.25</v>
      </c>
      <c r="AM78" s="112" t="s">
        <v>992</v>
      </c>
      <c r="AN78" s="116" t="s">
        <v>506</v>
      </c>
      <c r="AO78" s="116">
        <v>4</v>
      </c>
      <c r="AP78" s="116">
        <v>50</v>
      </c>
      <c r="AQ78" s="114">
        <f t="shared" si="51"/>
        <v>2</v>
      </c>
      <c r="AR78" s="301">
        <f t="shared" si="61"/>
        <v>2</v>
      </c>
      <c r="AS78" s="301">
        <f t="shared" si="62"/>
        <v>6</v>
      </c>
      <c r="AT78" s="116" t="s">
        <v>559</v>
      </c>
      <c r="AU78" s="117">
        <v>1</v>
      </c>
      <c r="AV78" s="116">
        <v>3</v>
      </c>
      <c r="AW78" s="113" t="s">
        <v>1088</v>
      </c>
      <c r="AX78" s="118">
        <f t="shared" si="52"/>
        <v>1.3875</v>
      </c>
      <c r="AY78" s="118">
        <f t="shared" si="53"/>
        <v>2.0625</v>
      </c>
      <c r="AZ78" s="118">
        <f t="shared" si="54"/>
        <v>2.7374999999999998</v>
      </c>
      <c r="BA78" s="119">
        <f t="shared" si="55"/>
        <v>1.3875</v>
      </c>
      <c r="BB78" s="119">
        <f t="shared" si="56"/>
        <v>2.7374999999999998</v>
      </c>
      <c r="BC78" s="92"/>
      <c r="BD78" s="106"/>
      <c r="BE78" s="106"/>
      <c r="BF78" s="106"/>
      <c r="BG78" s="106"/>
      <c r="BH78" s="106"/>
    </row>
    <row r="79" spans="1:60" x14ac:dyDescent="0.25">
      <c r="A79" s="107">
        <v>4262.66</v>
      </c>
      <c r="B79" s="365"/>
      <c r="C79" s="98" t="s">
        <v>586</v>
      </c>
      <c r="D79" s="98" t="s">
        <v>450</v>
      </c>
      <c r="E79" s="142" t="s">
        <v>121</v>
      </c>
      <c r="F79" s="141" t="s">
        <v>122</v>
      </c>
      <c r="G79" s="141">
        <f>(5000000+2500000)/2</f>
        <v>3750000</v>
      </c>
      <c r="H79" s="65">
        <v>1</v>
      </c>
      <c r="I79" s="141">
        <v>25</v>
      </c>
      <c r="J79" s="141">
        <f>(I79/100)*H79</f>
        <v>0.25</v>
      </c>
      <c r="K79" s="290">
        <f t="shared" si="57"/>
        <v>0.75</v>
      </c>
      <c r="L79" s="290">
        <f t="shared" si="58"/>
        <v>1.25</v>
      </c>
      <c r="M79" s="140" t="s">
        <v>622</v>
      </c>
      <c r="N79" s="153">
        <f>SUM(P70:R70)</f>
        <v>4417</v>
      </c>
      <c r="O79" s="153">
        <f>SUM(87600+400+53572)</f>
        <v>141572</v>
      </c>
      <c r="P79" s="153">
        <f xml:space="preserve"> 87600+(87600*0.7)</f>
        <v>148920</v>
      </c>
      <c r="Q79" s="121">
        <f>400+(400*0.7)</f>
        <v>680</v>
      </c>
      <c r="R79" s="153">
        <f>53572+(53572*0.7)</f>
        <v>91072.4</v>
      </c>
      <c r="S79" s="121">
        <f>(N79/G79)*100</f>
        <v>0.11778666666666666</v>
      </c>
      <c r="T79" s="121">
        <f>(O79/G79)*100</f>
        <v>3.7752533333333331</v>
      </c>
      <c r="U79" s="121">
        <v>2</v>
      </c>
      <c r="V79" s="121">
        <v>25</v>
      </c>
      <c r="W79" s="154">
        <f>(V79/100)*U79</f>
        <v>0.5</v>
      </c>
      <c r="X79" s="294">
        <f t="shared" si="59"/>
        <v>1.5</v>
      </c>
      <c r="Y79" s="294">
        <f t="shared" si="60"/>
        <v>2.5</v>
      </c>
      <c r="Z79" s="109" t="s">
        <v>623</v>
      </c>
      <c r="AA79" s="70">
        <v>1</v>
      </c>
      <c r="AB79" s="70">
        <v>1</v>
      </c>
      <c r="AC79" s="111">
        <v>4</v>
      </c>
      <c r="AD79" s="110">
        <v>2.5</v>
      </c>
      <c r="AE79" s="70">
        <v>2</v>
      </c>
      <c r="AF79" s="111">
        <v>2</v>
      </c>
      <c r="AG79" s="70">
        <v>1</v>
      </c>
      <c r="AH79" s="70">
        <v>2</v>
      </c>
      <c r="AI79" s="70"/>
      <c r="AJ79" s="70"/>
      <c r="AK79" s="70"/>
      <c r="AL79" s="110">
        <f>MAX(AA79:AF79)</f>
        <v>4</v>
      </c>
      <c r="AM79" s="112" t="s">
        <v>994</v>
      </c>
      <c r="AN79" s="116" t="s">
        <v>388</v>
      </c>
      <c r="AO79" s="116">
        <v>3</v>
      </c>
      <c r="AP79" s="116">
        <v>50</v>
      </c>
      <c r="AQ79" s="114">
        <f>(AP79/100)*AO79</f>
        <v>1.5</v>
      </c>
      <c r="AR79" s="301">
        <f t="shared" si="61"/>
        <v>1.5</v>
      </c>
      <c r="AS79" s="301">
        <f t="shared" si="62"/>
        <v>4.5</v>
      </c>
      <c r="AT79" s="116">
        <v>20</v>
      </c>
      <c r="AU79" s="117">
        <v>1</v>
      </c>
      <c r="AV79" s="116" t="s">
        <v>393</v>
      </c>
      <c r="AW79" s="113" t="s">
        <v>1089</v>
      </c>
      <c r="AX79" s="118">
        <f>(K79+X79+AL79+AR79)/4</f>
        <v>1.9375</v>
      </c>
      <c r="AY79" s="118">
        <f>(H79+U79+AL79+AO79)/4</f>
        <v>2.5</v>
      </c>
      <c r="AZ79" s="118">
        <f>(L79+Y79+AL79+AS79)/4</f>
        <v>3.0625</v>
      </c>
      <c r="BA79" s="119">
        <f>MIN(AX79:AZ79)</f>
        <v>1.9375</v>
      </c>
      <c r="BB79" s="119">
        <f>MAX(AX79:AZ79)</f>
        <v>3.0625</v>
      </c>
      <c r="BC79" s="92"/>
      <c r="BD79" s="106"/>
      <c r="BE79" s="106"/>
      <c r="BF79" s="106"/>
      <c r="BG79" s="106"/>
      <c r="BH79" s="106"/>
    </row>
    <row r="80" spans="1:60" x14ac:dyDescent="0.25">
      <c r="A80" s="14"/>
      <c r="B80" s="14"/>
      <c r="C80" s="14"/>
      <c r="D80" s="92"/>
      <c r="E80" s="14"/>
      <c r="F80" s="14"/>
      <c r="G80" s="14"/>
      <c r="H80" s="14"/>
      <c r="I80" s="67"/>
      <c r="J80" s="14"/>
      <c r="K80" s="14"/>
      <c r="L80" s="14"/>
      <c r="M80" s="14"/>
      <c r="N80" s="71"/>
      <c r="O80" s="102"/>
      <c r="P80" s="102"/>
      <c r="Q80" s="71"/>
      <c r="R80" s="71"/>
      <c r="S80" s="71"/>
      <c r="T80" s="71"/>
      <c r="U80" s="71"/>
      <c r="V80" s="71"/>
      <c r="AU80" s="81"/>
      <c r="AV80" s="99"/>
      <c r="AW80" s="99"/>
      <c r="BC80" s="106"/>
      <c r="BD80" s="106"/>
      <c r="BE80" s="106"/>
      <c r="BF80" s="106"/>
      <c r="BG80" s="106"/>
      <c r="BH80" s="106"/>
    </row>
    <row r="81" spans="1:60" x14ac:dyDescent="0.25">
      <c r="A81" s="14"/>
      <c r="B81" s="14"/>
      <c r="C81" s="14"/>
      <c r="D81" s="92"/>
      <c r="E81" s="14"/>
      <c r="F81" s="14"/>
      <c r="G81" s="14"/>
      <c r="H81" s="14"/>
      <c r="I81" s="67"/>
      <c r="J81" s="14"/>
      <c r="K81" s="14"/>
      <c r="L81" s="14"/>
      <c r="M81" s="14"/>
      <c r="O81" s="99"/>
      <c r="P81" s="99"/>
      <c r="AU81" s="81"/>
      <c r="AV81" s="99"/>
      <c r="AW81" s="99"/>
      <c r="BC81" s="106"/>
      <c r="BD81" s="106"/>
      <c r="BE81" s="106"/>
      <c r="BF81" s="106"/>
      <c r="BG81" s="106"/>
      <c r="BH81" s="106"/>
    </row>
    <row r="82" spans="1:60" x14ac:dyDescent="0.25">
      <c r="A82" s="14"/>
      <c r="B82" s="14"/>
      <c r="C82" s="14"/>
      <c r="D82" s="92"/>
      <c r="E82" s="14"/>
      <c r="F82" s="14"/>
      <c r="G82" s="14"/>
      <c r="H82" s="14"/>
      <c r="I82" s="67"/>
      <c r="J82" s="14"/>
      <c r="K82" s="14"/>
      <c r="L82" s="14"/>
      <c r="M82" s="14"/>
      <c r="O82" s="99"/>
      <c r="P82" s="99"/>
      <c r="AU82" s="81"/>
      <c r="AV82" s="99"/>
      <c r="AW82" s="99"/>
      <c r="BC82" s="106"/>
      <c r="BD82" s="106"/>
      <c r="BE82" s="106"/>
      <c r="BF82" s="106"/>
      <c r="BG82" s="106"/>
      <c r="BH82" s="106"/>
    </row>
    <row r="83" spans="1:60" x14ac:dyDescent="0.25">
      <c r="A83" s="14"/>
      <c r="B83" s="14"/>
      <c r="C83" s="14"/>
      <c r="D83" s="92"/>
      <c r="E83" s="14"/>
      <c r="F83" s="14"/>
      <c r="G83" s="14"/>
      <c r="H83" s="14"/>
      <c r="I83" s="67"/>
      <c r="J83" s="14"/>
      <c r="K83" s="14"/>
      <c r="L83" s="14"/>
      <c r="M83" s="14"/>
      <c r="O83" s="99"/>
      <c r="P83" s="99"/>
      <c r="AU83" s="81"/>
      <c r="AV83" s="99"/>
      <c r="AW83" s="99"/>
      <c r="BC83" s="106"/>
      <c r="BD83" s="106"/>
      <c r="BE83" s="106"/>
      <c r="BF83" s="106"/>
      <c r="BG83" s="106"/>
      <c r="BH83" s="106"/>
    </row>
    <row r="84" spans="1:60" x14ac:dyDescent="0.25">
      <c r="A84" s="14"/>
      <c r="B84" s="14"/>
      <c r="C84" s="14"/>
      <c r="D84" s="92"/>
      <c r="E84" s="14"/>
      <c r="F84" s="14"/>
      <c r="G84" s="14"/>
      <c r="H84" s="14"/>
      <c r="I84" s="67"/>
      <c r="J84" s="14"/>
      <c r="K84" s="14"/>
      <c r="L84" s="14"/>
      <c r="M84" s="14"/>
      <c r="O84" s="99"/>
      <c r="P84" s="99"/>
      <c r="AU84" s="81"/>
      <c r="AV84" s="99"/>
      <c r="AW84" s="99"/>
      <c r="BC84" s="106"/>
      <c r="BD84" s="106"/>
      <c r="BE84" s="106"/>
      <c r="BF84" s="106"/>
      <c r="BG84" s="106"/>
      <c r="BH84" s="106"/>
    </row>
    <row r="85" spans="1:60" x14ac:dyDescent="0.25">
      <c r="A85" s="14"/>
      <c r="B85" s="14"/>
      <c r="C85" s="14"/>
      <c r="D85" s="92"/>
      <c r="E85" s="14"/>
      <c r="F85" s="14"/>
      <c r="G85" s="14"/>
      <c r="H85" s="14"/>
      <c r="I85" s="67"/>
      <c r="J85" s="14"/>
      <c r="K85" s="14"/>
      <c r="L85" s="14"/>
      <c r="M85" s="14"/>
      <c r="O85" s="99"/>
      <c r="P85" s="99"/>
      <c r="AU85" s="81"/>
      <c r="AV85" s="99"/>
      <c r="AW85" s="99"/>
      <c r="BC85" s="106"/>
      <c r="BD85" s="106"/>
      <c r="BE85" s="106"/>
      <c r="BF85" s="106"/>
      <c r="BG85" s="106"/>
      <c r="BH85" s="106"/>
    </row>
    <row r="86" spans="1:60" x14ac:dyDescent="0.25">
      <c r="A86" s="14"/>
      <c r="B86" s="14"/>
      <c r="C86" s="14"/>
      <c r="D86" s="92"/>
      <c r="E86" s="14"/>
      <c r="F86" s="14"/>
      <c r="G86" s="14"/>
      <c r="H86" s="14"/>
      <c r="I86" s="67"/>
      <c r="J86" s="14"/>
      <c r="K86" s="14"/>
      <c r="L86" s="14"/>
      <c r="M86" s="14"/>
      <c r="O86" s="99"/>
      <c r="P86" s="99"/>
      <c r="AU86" s="81"/>
      <c r="AV86" s="99"/>
      <c r="AW86" s="99"/>
      <c r="BC86" s="106"/>
      <c r="BD86" s="106"/>
      <c r="BE86" s="106"/>
      <c r="BF86" s="106"/>
      <c r="BG86" s="106"/>
      <c r="BH86" s="106"/>
    </row>
    <row r="87" spans="1:60" x14ac:dyDescent="0.25">
      <c r="A87" s="14"/>
      <c r="B87" s="14"/>
      <c r="C87" s="14"/>
      <c r="D87" s="92"/>
      <c r="E87" s="14"/>
      <c r="F87" s="14"/>
      <c r="G87" s="14"/>
      <c r="H87" s="14"/>
      <c r="I87" s="67"/>
      <c r="J87" s="14"/>
      <c r="K87" s="14"/>
      <c r="L87" s="14"/>
      <c r="M87" s="14"/>
      <c r="O87" s="99"/>
      <c r="P87" s="99"/>
      <c r="AU87" s="81"/>
      <c r="AV87" s="99"/>
      <c r="AW87" s="99"/>
      <c r="BC87" s="106"/>
      <c r="BD87" s="106"/>
      <c r="BE87" s="106"/>
      <c r="BF87" s="106"/>
      <c r="BG87" s="106"/>
      <c r="BH87" s="106"/>
    </row>
    <row r="88" spans="1:60" x14ac:dyDescent="0.25">
      <c r="A88" s="14"/>
      <c r="B88" s="14"/>
      <c r="C88" s="14"/>
      <c r="D88" s="92"/>
      <c r="E88" s="14"/>
      <c r="F88" s="14"/>
      <c r="G88" s="14"/>
      <c r="H88" s="14"/>
      <c r="I88" s="67"/>
      <c r="J88" s="14"/>
      <c r="K88" s="14"/>
      <c r="L88" s="14"/>
      <c r="M88" s="14"/>
      <c r="O88" s="99"/>
      <c r="P88" s="99"/>
      <c r="AU88" s="81"/>
      <c r="AV88" s="99"/>
      <c r="AW88" s="99"/>
      <c r="BC88" s="106"/>
      <c r="BD88" s="106"/>
      <c r="BE88" s="106"/>
      <c r="BF88" s="106"/>
      <c r="BG88" s="106"/>
      <c r="BH88" s="106"/>
    </row>
    <row r="89" spans="1:60" x14ac:dyDescent="0.25">
      <c r="A89" s="14"/>
      <c r="B89" s="14"/>
      <c r="C89" s="14"/>
      <c r="D89" s="92"/>
      <c r="E89" s="14"/>
      <c r="F89" s="14"/>
      <c r="G89" s="14"/>
      <c r="H89" s="14"/>
      <c r="I89" s="67"/>
      <c r="J89" s="14"/>
      <c r="K89" s="14"/>
      <c r="L89" s="14"/>
      <c r="M89" s="14"/>
      <c r="O89" s="99"/>
      <c r="P89" s="99"/>
      <c r="AU89" s="81"/>
      <c r="AV89" s="99"/>
      <c r="AW89" s="99"/>
      <c r="BC89" s="106"/>
      <c r="BD89" s="106"/>
      <c r="BE89" s="106"/>
      <c r="BF89" s="106"/>
      <c r="BG89" s="106"/>
      <c r="BH89" s="106"/>
    </row>
    <row r="90" spans="1:60" x14ac:dyDescent="0.25">
      <c r="A90" s="14"/>
      <c r="B90" s="14"/>
      <c r="C90" s="14"/>
      <c r="D90" s="92"/>
      <c r="E90" s="14"/>
      <c r="F90" s="14"/>
      <c r="G90" s="14"/>
      <c r="H90" s="14"/>
      <c r="I90" s="67"/>
      <c r="J90" s="14"/>
      <c r="K90" s="14"/>
      <c r="L90" s="14"/>
      <c r="M90" s="14"/>
      <c r="O90" s="99"/>
      <c r="P90" s="99"/>
      <c r="AU90" s="81"/>
      <c r="AV90" s="99"/>
      <c r="AW90" s="99"/>
      <c r="BC90" s="106"/>
      <c r="BD90" s="106"/>
      <c r="BE90" s="106"/>
      <c r="BF90" s="106"/>
      <c r="BG90" s="106"/>
      <c r="BH90" s="106"/>
    </row>
    <row r="91" spans="1:60" x14ac:dyDescent="0.25">
      <c r="A91" s="14"/>
      <c r="B91" s="14"/>
      <c r="C91" s="14"/>
      <c r="D91" s="92"/>
      <c r="E91" s="14"/>
      <c r="F91" s="14"/>
      <c r="G91" s="14"/>
      <c r="H91" s="14"/>
      <c r="I91" s="67"/>
      <c r="J91" s="14"/>
      <c r="K91" s="14"/>
      <c r="L91" s="14"/>
      <c r="M91" s="14"/>
      <c r="O91" s="99"/>
      <c r="P91" s="99"/>
      <c r="AU91" s="81"/>
      <c r="AV91" s="99"/>
      <c r="AW91" s="99"/>
      <c r="BC91" s="106"/>
      <c r="BD91" s="106"/>
      <c r="BE91" s="106"/>
      <c r="BF91" s="106"/>
      <c r="BG91" s="106"/>
      <c r="BH91" s="106"/>
    </row>
    <row r="92" spans="1:60" x14ac:dyDescent="0.25">
      <c r="A92" s="14"/>
      <c r="B92" s="14"/>
      <c r="C92" s="14"/>
      <c r="D92" s="92"/>
      <c r="E92" s="14"/>
      <c r="F92" s="14"/>
      <c r="G92" s="14"/>
      <c r="H92" s="14"/>
      <c r="I92" s="67"/>
      <c r="J92" s="14"/>
      <c r="K92" s="14"/>
      <c r="L92" s="14"/>
      <c r="M92" s="14"/>
      <c r="O92" s="99"/>
      <c r="P92" s="99"/>
      <c r="AU92" s="81"/>
      <c r="AV92" s="99"/>
      <c r="AW92" s="99"/>
      <c r="BC92" s="106"/>
      <c r="BD92" s="106"/>
      <c r="BE92" s="106"/>
      <c r="BF92" s="106"/>
      <c r="BG92" s="106"/>
      <c r="BH92" s="106"/>
    </row>
    <row r="93" spans="1:60" x14ac:dyDescent="0.25">
      <c r="A93" s="14"/>
      <c r="B93" s="14"/>
      <c r="C93" s="14"/>
      <c r="D93" s="92"/>
      <c r="E93" s="14"/>
      <c r="F93" s="14"/>
      <c r="G93" s="14"/>
      <c r="H93" s="14"/>
      <c r="I93" s="67"/>
      <c r="J93" s="14"/>
      <c r="K93" s="14"/>
      <c r="L93" s="14"/>
      <c r="M93" s="14"/>
      <c r="O93" s="99"/>
      <c r="P93" s="99"/>
      <c r="AU93" s="81"/>
      <c r="AV93" s="99"/>
      <c r="AW93" s="99"/>
      <c r="BC93" s="106"/>
      <c r="BD93" s="106"/>
      <c r="BE93" s="106"/>
      <c r="BF93" s="106"/>
      <c r="BG93" s="106"/>
      <c r="BH93" s="106"/>
    </row>
    <row r="94" spans="1:60" x14ac:dyDescent="0.25">
      <c r="A94" s="14"/>
      <c r="B94" s="14"/>
      <c r="C94" s="14"/>
      <c r="D94" s="92"/>
      <c r="E94" s="14"/>
      <c r="F94" s="14"/>
      <c r="G94" s="14"/>
      <c r="H94" s="14"/>
      <c r="I94" s="67"/>
      <c r="J94" s="14"/>
      <c r="K94" s="14"/>
      <c r="L94" s="14"/>
      <c r="M94" s="14"/>
      <c r="O94" s="99"/>
      <c r="P94" s="99"/>
      <c r="AU94" s="81"/>
      <c r="AV94" s="99"/>
      <c r="AW94" s="99"/>
      <c r="BC94" s="106"/>
      <c r="BD94" s="106"/>
      <c r="BE94" s="106"/>
      <c r="BF94" s="106"/>
      <c r="BG94" s="106"/>
      <c r="BH94" s="106"/>
    </row>
    <row r="95" spans="1:60" x14ac:dyDescent="0.25">
      <c r="A95" s="14"/>
      <c r="B95" s="14"/>
      <c r="C95" s="14"/>
      <c r="D95" s="92"/>
      <c r="E95" s="14"/>
      <c r="F95" s="14"/>
      <c r="G95" s="14"/>
      <c r="H95" s="14"/>
      <c r="I95" s="67"/>
      <c r="J95" s="14"/>
      <c r="K95" s="14"/>
      <c r="L95" s="14"/>
      <c r="M95" s="14"/>
      <c r="O95" s="99"/>
      <c r="P95" s="99"/>
      <c r="AU95" s="81"/>
      <c r="AV95" s="99"/>
      <c r="AW95" s="99"/>
      <c r="BC95" s="106"/>
      <c r="BD95" s="106"/>
      <c r="BE95" s="106"/>
      <c r="BF95" s="106"/>
      <c r="BG95" s="106"/>
      <c r="BH95" s="106"/>
    </row>
    <row r="96" spans="1:60" x14ac:dyDescent="0.25">
      <c r="A96" s="14"/>
      <c r="B96" s="14"/>
      <c r="C96" s="14"/>
      <c r="D96" s="92"/>
      <c r="E96" s="14"/>
      <c r="F96" s="14"/>
      <c r="G96" s="14"/>
      <c r="H96" s="14"/>
      <c r="I96" s="67"/>
      <c r="J96" s="14"/>
      <c r="K96" s="14"/>
      <c r="L96" s="14"/>
      <c r="M96" s="14"/>
      <c r="O96" s="99"/>
      <c r="P96" s="99"/>
      <c r="AU96" s="81"/>
      <c r="AV96" s="99"/>
      <c r="AW96" s="99"/>
      <c r="BC96" s="106"/>
      <c r="BD96" s="106"/>
      <c r="BE96" s="106"/>
      <c r="BF96" s="106"/>
      <c r="BG96" s="106"/>
      <c r="BH96" s="106"/>
    </row>
    <row r="97" spans="1:60" x14ac:dyDescent="0.25">
      <c r="A97" s="14"/>
      <c r="B97" s="14"/>
      <c r="C97" s="14"/>
      <c r="D97" s="92"/>
      <c r="E97" s="14"/>
      <c r="F97" s="14"/>
      <c r="G97" s="14"/>
      <c r="H97" s="14"/>
      <c r="I97" s="67"/>
      <c r="J97" s="14"/>
      <c r="K97" s="14"/>
      <c r="L97" s="14"/>
      <c r="M97" s="14"/>
      <c r="O97" s="99"/>
      <c r="P97" s="99"/>
      <c r="AU97" s="81"/>
      <c r="AV97" s="99"/>
      <c r="AW97" s="99"/>
      <c r="BC97" s="106"/>
      <c r="BD97" s="106"/>
      <c r="BE97" s="106"/>
      <c r="BF97" s="106"/>
      <c r="BG97" s="106"/>
      <c r="BH97" s="106"/>
    </row>
    <row r="98" spans="1:60" x14ac:dyDescent="0.25">
      <c r="A98" s="14"/>
      <c r="B98" s="14"/>
      <c r="C98" s="14"/>
      <c r="D98" s="92"/>
      <c r="E98" s="14"/>
      <c r="F98" s="14"/>
      <c r="G98" s="14"/>
      <c r="H98" s="14"/>
      <c r="I98" s="67"/>
      <c r="J98" s="14"/>
      <c r="K98" s="14"/>
      <c r="L98" s="14"/>
      <c r="M98" s="14"/>
      <c r="O98" s="99"/>
      <c r="P98" s="99"/>
      <c r="AU98" s="81"/>
      <c r="AV98" s="99"/>
      <c r="AW98" s="99"/>
      <c r="BC98" s="106"/>
      <c r="BD98" s="106"/>
      <c r="BE98" s="106"/>
      <c r="BF98" s="106"/>
      <c r="BG98" s="106"/>
      <c r="BH98" s="106"/>
    </row>
    <row r="99" spans="1:60" x14ac:dyDescent="0.25">
      <c r="A99" s="14"/>
      <c r="B99" s="14"/>
      <c r="C99" s="14"/>
      <c r="D99" s="92"/>
      <c r="E99" s="14"/>
      <c r="F99" s="14"/>
      <c r="G99" s="14"/>
      <c r="H99" s="14"/>
      <c r="I99" s="67"/>
      <c r="J99" s="14"/>
      <c r="K99" s="14"/>
      <c r="L99" s="14"/>
      <c r="M99" s="14"/>
      <c r="O99" s="99"/>
      <c r="P99" s="99"/>
      <c r="AU99" s="81"/>
      <c r="AV99" s="99"/>
      <c r="AW99" s="99"/>
      <c r="BC99" s="106"/>
      <c r="BD99" s="106"/>
      <c r="BE99" s="106"/>
      <c r="BF99" s="106"/>
      <c r="BG99" s="106"/>
      <c r="BH99" s="106"/>
    </row>
    <row r="100" spans="1:60" x14ac:dyDescent="0.25">
      <c r="A100" s="14"/>
      <c r="B100" s="14"/>
      <c r="C100" s="14"/>
      <c r="D100" s="92"/>
      <c r="E100" s="14"/>
      <c r="F100" s="14"/>
      <c r="G100" s="14"/>
      <c r="H100" s="14"/>
      <c r="I100" s="67"/>
      <c r="J100" s="14"/>
      <c r="K100" s="14"/>
      <c r="L100" s="14"/>
      <c r="M100" s="14"/>
      <c r="O100" s="99"/>
      <c r="P100" s="99"/>
      <c r="AU100" s="81"/>
      <c r="AV100" s="99"/>
      <c r="AW100" s="99"/>
      <c r="BC100" s="106"/>
      <c r="BD100" s="106"/>
      <c r="BE100" s="106"/>
      <c r="BF100" s="106"/>
      <c r="BG100" s="106"/>
      <c r="BH100" s="106"/>
    </row>
    <row r="101" spans="1:60" x14ac:dyDescent="0.25">
      <c r="A101" s="14"/>
      <c r="B101" s="14"/>
      <c r="C101" s="14"/>
      <c r="D101" s="92"/>
      <c r="E101" s="14"/>
      <c r="F101" s="14"/>
      <c r="G101" s="14"/>
      <c r="H101" s="14"/>
      <c r="I101" s="67"/>
      <c r="J101" s="14"/>
      <c r="K101" s="14"/>
      <c r="L101" s="14"/>
      <c r="M101" s="14"/>
      <c r="O101" s="99"/>
      <c r="P101" s="99"/>
      <c r="AU101" s="81"/>
      <c r="AV101" s="99"/>
      <c r="AW101" s="99"/>
      <c r="BC101" s="106"/>
      <c r="BD101" s="106"/>
      <c r="BE101" s="106"/>
      <c r="BF101" s="106"/>
      <c r="BG101" s="106"/>
      <c r="BH101" s="106"/>
    </row>
    <row r="102" spans="1:60" x14ac:dyDescent="0.25">
      <c r="A102" s="14"/>
      <c r="B102" s="14"/>
      <c r="C102" s="14"/>
      <c r="D102" s="92"/>
      <c r="E102" s="14"/>
      <c r="F102" s="14"/>
      <c r="G102" s="14"/>
      <c r="H102" s="14"/>
      <c r="I102" s="67"/>
      <c r="J102" s="14"/>
      <c r="K102" s="14"/>
      <c r="L102" s="14"/>
      <c r="M102" s="14"/>
      <c r="O102" s="99"/>
      <c r="P102" s="99"/>
      <c r="AU102" s="81"/>
      <c r="AV102" s="99"/>
      <c r="AW102" s="99"/>
      <c r="BC102" s="106"/>
      <c r="BD102" s="106"/>
      <c r="BE102" s="106"/>
      <c r="BF102" s="106"/>
      <c r="BG102" s="106"/>
      <c r="BH102" s="106"/>
    </row>
    <row r="103" spans="1:60" x14ac:dyDescent="0.25">
      <c r="A103" s="14"/>
      <c r="B103" s="14"/>
      <c r="C103" s="14"/>
      <c r="D103" s="92"/>
      <c r="E103" s="14"/>
      <c r="F103" s="14"/>
      <c r="G103" s="14"/>
      <c r="H103" s="14"/>
      <c r="I103" s="67"/>
      <c r="J103" s="14"/>
      <c r="K103" s="14"/>
      <c r="L103" s="14"/>
      <c r="M103" s="14"/>
      <c r="O103" s="99"/>
      <c r="P103" s="99"/>
      <c r="AU103" s="81"/>
      <c r="AV103" s="99"/>
      <c r="AW103" s="99"/>
      <c r="BC103" s="106"/>
      <c r="BD103" s="106"/>
      <c r="BE103" s="106"/>
      <c r="BF103" s="106"/>
      <c r="BG103" s="106"/>
      <c r="BH103" s="106"/>
    </row>
    <row r="104" spans="1:60" x14ac:dyDescent="0.25">
      <c r="A104" s="14"/>
      <c r="B104" s="14"/>
      <c r="C104" s="14"/>
      <c r="D104" s="92"/>
      <c r="E104" s="14"/>
      <c r="F104" s="14"/>
      <c r="G104" s="14"/>
      <c r="H104" s="14"/>
      <c r="I104" s="67"/>
      <c r="J104" s="14"/>
      <c r="K104" s="14"/>
      <c r="L104" s="14"/>
      <c r="M104" s="14"/>
      <c r="O104" s="99"/>
      <c r="P104" s="99"/>
      <c r="AU104" s="81"/>
      <c r="AV104" s="99"/>
      <c r="AW104" s="99"/>
      <c r="BC104" s="106"/>
      <c r="BD104" s="106"/>
      <c r="BE104" s="106"/>
      <c r="BF104" s="106"/>
      <c r="BG104" s="106"/>
      <c r="BH104" s="106"/>
    </row>
    <row r="105" spans="1:60" x14ac:dyDescent="0.25">
      <c r="A105" s="14"/>
      <c r="B105" s="14"/>
      <c r="C105" s="14"/>
      <c r="D105" s="92"/>
      <c r="E105" s="14"/>
      <c r="F105" s="14"/>
      <c r="G105" s="14"/>
      <c r="H105" s="14"/>
      <c r="I105" s="67"/>
      <c r="J105" s="14"/>
      <c r="K105" s="14"/>
      <c r="L105" s="14"/>
      <c r="M105" s="14"/>
      <c r="O105" s="99"/>
      <c r="P105" s="99"/>
      <c r="AU105" s="81"/>
      <c r="AV105" s="99"/>
      <c r="AW105" s="99"/>
      <c r="BC105" s="106"/>
      <c r="BD105" s="106"/>
      <c r="BE105" s="106"/>
      <c r="BF105" s="106"/>
      <c r="BG105" s="106"/>
      <c r="BH105" s="106"/>
    </row>
    <row r="106" spans="1:60" x14ac:dyDescent="0.25">
      <c r="A106" s="14"/>
      <c r="B106" s="14"/>
      <c r="C106" s="14"/>
      <c r="D106" s="92"/>
      <c r="E106" s="14"/>
      <c r="F106" s="14"/>
      <c r="G106" s="14"/>
      <c r="H106" s="14"/>
      <c r="I106" s="67"/>
      <c r="J106" s="14"/>
      <c r="K106" s="14"/>
      <c r="L106" s="14"/>
      <c r="M106" s="14"/>
      <c r="O106" s="99"/>
      <c r="P106" s="99"/>
      <c r="AU106" s="81"/>
      <c r="AV106" s="99"/>
      <c r="AW106" s="99"/>
      <c r="BC106" s="106"/>
      <c r="BD106" s="106"/>
      <c r="BE106" s="106"/>
      <c r="BF106" s="106"/>
      <c r="BG106" s="106"/>
      <c r="BH106" s="106"/>
    </row>
    <row r="107" spans="1:60" x14ac:dyDescent="0.25">
      <c r="A107" s="14"/>
      <c r="B107" s="14"/>
      <c r="C107" s="14"/>
      <c r="D107" s="92"/>
      <c r="E107" s="14"/>
      <c r="F107" s="14"/>
      <c r="G107" s="14"/>
      <c r="H107" s="14"/>
      <c r="I107" s="67"/>
      <c r="J107" s="14"/>
      <c r="K107" s="14"/>
      <c r="L107" s="14"/>
      <c r="M107" s="14"/>
      <c r="O107" s="99"/>
      <c r="P107" s="99"/>
      <c r="AU107" s="81"/>
      <c r="AV107" s="99"/>
      <c r="AW107" s="99"/>
      <c r="BC107" s="106"/>
      <c r="BD107" s="106"/>
      <c r="BE107" s="106"/>
      <c r="BF107" s="106"/>
      <c r="BG107" s="106"/>
      <c r="BH107" s="106"/>
    </row>
    <row r="108" spans="1:60" x14ac:dyDescent="0.25">
      <c r="A108" s="14"/>
      <c r="B108" s="14"/>
      <c r="C108" s="14"/>
      <c r="D108" s="92"/>
      <c r="E108" s="14"/>
      <c r="F108" s="14"/>
      <c r="G108" s="14"/>
      <c r="H108" s="14"/>
      <c r="I108" s="67"/>
      <c r="J108" s="14"/>
      <c r="K108" s="14"/>
      <c r="L108" s="14"/>
      <c r="M108" s="14"/>
      <c r="O108" s="99"/>
      <c r="P108" s="99"/>
      <c r="AU108" s="81"/>
      <c r="AV108" s="99"/>
      <c r="AW108" s="99"/>
      <c r="BC108" s="106"/>
      <c r="BD108" s="106"/>
      <c r="BE108" s="106"/>
      <c r="BF108" s="106"/>
      <c r="BG108" s="106"/>
      <c r="BH108" s="106"/>
    </row>
    <row r="109" spans="1:60" x14ac:dyDescent="0.25">
      <c r="A109" s="14"/>
      <c r="B109" s="14"/>
      <c r="C109" s="14"/>
      <c r="D109" s="92"/>
      <c r="E109" s="14"/>
      <c r="F109" s="14"/>
      <c r="G109" s="14"/>
      <c r="H109" s="14"/>
      <c r="I109" s="67"/>
      <c r="J109" s="14"/>
      <c r="K109" s="14"/>
      <c r="L109" s="14"/>
      <c r="M109" s="14"/>
      <c r="O109" s="99"/>
      <c r="P109" s="99"/>
      <c r="AU109" s="81"/>
      <c r="AV109" s="99"/>
      <c r="AW109" s="99"/>
      <c r="BC109" s="106"/>
      <c r="BD109" s="106"/>
      <c r="BE109" s="106"/>
      <c r="BF109" s="106"/>
      <c r="BG109" s="106"/>
      <c r="BH109" s="106"/>
    </row>
    <row r="110" spans="1:60" x14ac:dyDescent="0.25">
      <c r="A110" s="14"/>
      <c r="B110" s="14"/>
      <c r="C110" s="14"/>
      <c r="D110" s="92"/>
      <c r="E110" s="14"/>
      <c r="F110" s="14"/>
      <c r="G110" s="14"/>
      <c r="H110" s="14"/>
      <c r="I110" s="67"/>
      <c r="J110" s="14"/>
      <c r="K110" s="14"/>
      <c r="L110" s="14"/>
      <c r="M110" s="14"/>
      <c r="O110" s="99"/>
      <c r="P110" s="99"/>
      <c r="AU110" s="81"/>
      <c r="AV110" s="99"/>
      <c r="AW110" s="99"/>
      <c r="BC110" s="106"/>
      <c r="BD110" s="106"/>
      <c r="BE110" s="106"/>
      <c r="BF110" s="106"/>
      <c r="BG110" s="106"/>
      <c r="BH110" s="106"/>
    </row>
    <row r="111" spans="1:60" x14ac:dyDescent="0.25">
      <c r="A111" s="14"/>
      <c r="B111" s="14"/>
      <c r="C111" s="14"/>
      <c r="D111" s="92"/>
      <c r="E111" s="14"/>
      <c r="F111" s="14"/>
      <c r="G111" s="14"/>
      <c r="H111" s="14"/>
      <c r="I111" s="67"/>
      <c r="J111" s="14"/>
      <c r="K111" s="14"/>
      <c r="L111" s="14"/>
      <c r="M111" s="14"/>
      <c r="O111" s="99"/>
      <c r="P111" s="99"/>
      <c r="AU111" s="81"/>
      <c r="AV111" s="99"/>
      <c r="AW111" s="99"/>
      <c r="BC111" s="106"/>
      <c r="BD111" s="106"/>
      <c r="BE111" s="106"/>
      <c r="BF111" s="106"/>
      <c r="BG111" s="106"/>
      <c r="BH111" s="106"/>
    </row>
    <row r="112" spans="1:60" x14ac:dyDescent="0.25">
      <c r="A112" s="14"/>
      <c r="B112" s="14"/>
      <c r="C112" s="14"/>
      <c r="D112" s="92"/>
      <c r="E112" s="14"/>
      <c r="F112" s="14"/>
      <c r="G112" s="14"/>
      <c r="H112" s="14"/>
      <c r="I112" s="67"/>
      <c r="J112" s="14"/>
      <c r="K112" s="14"/>
      <c r="L112" s="14"/>
      <c r="M112" s="14"/>
      <c r="O112" s="99"/>
      <c r="P112" s="99"/>
      <c r="AU112" s="81"/>
      <c r="AV112" s="99"/>
      <c r="AW112" s="99"/>
      <c r="BC112" s="106"/>
      <c r="BD112" s="106"/>
      <c r="BE112" s="106"/>
      <c r="BF112" s="106"/>
      <c r="BG112" s="106"/>
      <c r="BH112" s="106"/>
    </row>
    <row r="113" spans="1:60" x14ac:dyDescent="0.25">
      <c r="A113" s="14"/>
      <c r="B113" s="14"/>
      <c r="C113" s="14"/>
      <c r="D113" s="92"/>
      <c r="E113" s="14"/>
      <c r="F113" s="14"/>
      <c r="G113" s="14"/>
      <c r="H113" s="14"/>
      <c r="I113" s="67"/>
      <c r="J113" s="14"/>
      <c r="K113" s="14"/>
      <c r="L113" s="14"/>
      <c r="M113" s="14"/>
      <c r="O113" s="99"/>
      <c r="P113" s="99"/>
      <c r="AU113" s="81"/>
      <c r="AV113" s="99"/>
      <c r="AW113" s="99"/>
      <c r="BC113" s="106"/>
      <c r="BD113" s="106"/>
      <c r="BE113" s="106"/>
      <c r="BF113" s="106"/>
      <c r="BG113" s="106"/>
      <c r="BH113" s="106"/>
    </row>
    <row r="114" spans="1:60" x14ac:dyDescent="0.25">
      <c r="A114" s="14"/>
      <c r="B114" s="14"/>
      <c r="C114" s="14"/>
      <c r="D114" s="92"/>
      <c r="E114" s="14"/>
      <c r="F114" s="14"/>
      <c r="G114" s="14"/>
      <c r="H114" s="14"/>
      <c r="I114" s="67"/>
      <c r="J114" s="14"/>
      <c r="K114" s="14"/>
      <c r="L114" s="14"/>
      <c r="M114" s="14"/>
      <c r="O114" s="99"/>
      <c r="P114" s="99"/>
      <c r="AU114" s="81"/>
      <c r="AV114" s="99"/>
      <c r="AW114" s="99"/>
      <c r="BC114" s="106"/>
      <c r="BD114" s="106"/>
      <c r="BE114" s="106"/>
      <c r="BF114" s="106"/>
      <c r="BG114" s="106"/>
      <c r="BH114" s="106"/>
    </row>
    <row r="115" spans="1:60" x14ac:dyDescent="0.25">
      <c r="A115" s="14"/>
      <c r="B115" s="14"/>
      <c r="C115" s="14"/>
      <c r="D115" s="92"/>
      <c r="E115" s="14"/>
      <c r="F115" s="14"/>
      <c r="G115" s="14"/>
      <c r="H115" s="14"/>
      <c r="I115" s="67"/>
      <c r="J115" s="14"/>
      <c r="K115" s="14"/>
      <c r="L115" s="14"/>
      <c r="M115" s="14"/>
      <c r="O115" s="99"/>
      <c r="P115" s="99"/>
      <c r="AU115" s="81"/>
      <c r="AV115" s="99"/>
      <c r="AW115" s="99"/>
      <c r="BC115" s="106"/>
      <c r="BD115" s="106"/>
      <c r="BE115" s="106"/>
      <c r="BF115" s="106"/>
      <c r="BG115" s="106"/>
      <c r="BH115" s="106"/>
    </row>
    <row r="116" spans="1:60" x14ac:dyDescent="0.25">
      <c r="A116" s="14"/>
      <c r="B116" s="14"/>
      <c r="C116" s="14"/>
      <c r="D116" s="92"/>
      <c r="E116" s="14"/>
      <c r="F116" s="14"/>
      <c r="G116" s="14"/>
      <c r="H116" s="14"/>
      <c r="I116" s="67"/>
      <c r="J116" s="14"/>
      <c r="K116" s="14"/>
      <c r="L116" s="14"/>
      <c r="M116" s="14"/>
      <c r="O116" s="99"/>
      <c r="P116" s="99"/>
      <c r="AU116" s="81"/>
      <c r="AV116" s="99"/>
      <c r="AW116" s="99"/>
      <c r="BC116" s="106"/>
      <c r="BD116" s="106"/>
      <c r="BE116" s="106"/>
      <c r="BF116" s="106"/>
      <c r="BG116" s="106"/>
      <c r="BH116" s="106"/>
    </row>
    <row r="117" spans="1:60" x14ac:dyDescent="0.25">
      <c r="A117" s="14"/>
      <c r="B117" s="14"/>
      <c r="C117" s="14"/>
      <c r="D117" s="92"/>
      <c r="E117" s="14"/>
      <c r="F117" s="14"/>
      <c r="G117" s="14"/>
      <c r="H117" s="14"/>
      <c r="I117" s="67"/>
      <c r="J117" s="14"/>
      <c r="K117" s="14"/>
      <c r="L117" s="14"/>
      <c r="M117" s="14"/>
      <c r="O117" s="99"/>
      <c r="P117" s="99"/>
      <c r="AU117" s="81"/>
      <c r="AV117" s="99"/>
      <c r="AW117" s="99"/>
      <c r="BC117" s="106"/>
      <c r="BD117" s="106"/>
      <c r="BE117" s="106"/>
      <c r="BF117" s="106"/>
      <c r="BG117" s="106"/>
      <c r="BH117" s="106"/>
    </row>
    <row r="118" spans="1:60" x14ac:dyDescent="0.25">
      <c r="A118" s="14"/>
      <c r="B118" s="14"/>
      <c r="C118" s="14"/>
      <c r="D118" s="92"/>
      <c r="E118" s="14"/>
      <c r="F118" s="14"/>
      <c r="G118" s="14"/>
      <c r="H118" s="14"/>
      <c r="I118" s="67"/>
      <c r="J118" s="14"/>
      <c r="K118" s="14"/>
      <c r="L118" s="14"/>
      <c r="M118" s="14"/>
      <c r="O118" s="99"/>
      <c r="P118" s="99"/>
      <c r="AU118" s="81"/>
      <c r="AV118" s="99"/>
      <c r="AW118" s="99"/>
      <c r="BC118" s="106"/>
      <c r="BD118" s="106"/>
      <c r="BE118" s="106"/>
      <c r="BF118" s="106"/>
      <c r="BG118" s="106"/>
      <c r="BH118" s="106"/>
    </row>
    <row r="119" spans="1:60" x14ac:dyDescent="0.25">
      <c r="A119" s="14"/>
      <c r="B119" s="14"/>
      <c r="C119" s="14"/>
      <c r="D119" s="92"/>
      <c r="E119" s="14"/>
      <c r="F119" s="14"/>
      <c r="G119" s="14"/>
      <c r="H119" s="14"/>
      <c r="I119" s="67"/>
      <c r="J119" s="14"/>
      <c r="K119" s="14"/>
      <c r="L119" s="14"/>
      <c r="M119" s="14"/>
      <c r="O119" s="99"/>
      <c r="P119" s="99"/>
      <c r="AU119" s="81"/>
      <c r="AV119" s="99"/>
      <c r="AW119" s="99"/>
      <c r="BC119" s="106"/>
      <c r="BD119" s="106"/>
      <c r="BE119" s="106"/>
      <c r="BF119" s="106"/>
      <c r="BG119" s="106"/>
      <c r="BH119" s="106"/>
    </row>
    <row r="120" spans="1:60" x14ac:dyDescent="0.25">
      <c r="A120" s="14"/>
      <c r="B120" s="14"/>
      <c r="C120" s="14"/>
      <c r="D120" s="92"/>
      <c r="E120" s="14"/>
      <c r="F120" s="14"/>
      <c r="G120" s="14"/>
      <c r="H120" s="14"/>
      <c r="I120" s="67"/>
      <c r="J120" s="14"/>
      <c r="K120" s="14"/>
      <c r="L120" s="14"/>
      <c r="M120" s="14"/>
      <c r="O120" s="99"/>
      <c r="P120" s="99"/>
      <c r="AU120" s="81"/>
      <c r="AV120" s="99"/>
      <c r="AW120" s="99"/>
      <c r="BC120" s="106"/>
      <c r="BD120" s="106"/>
      <c r="BE120" s="106"/>
      <c r="BF120" s="106"/>
      <c r="BG120" s="106"/>
      <c r="BH120" s="106"/>
    </row>
    <row r="121" spans="1:60" x14ac:dyDescent="0.25">
      <c r="A121" s="14"/>
      <c r="B121" s="14"/>
      <c r="C121" s="14"/>
      <c r="D121" s="92"/>
      <c r="E121" s="14"/>
      <c r="F121" s="14"/>
      <c r="G121" s="14"/>
      <c r="H121" s="14"/>
      <c r="I121" s="67"/>
      <c r="J121" s="14"/>
      <c r="K121" s="14"/>
      <c r="L121" s="14"/>
      <c r="M121" s="14"/>
      <c r="O121" s="99"/>
      <c r="P121" s="99"/>
      <c r="AU121" s="81"/>
      <c r="AV121" s="99"/>
      <c r="AW121" s="99"/>
      <c r="BC121" s="106"/>
      <c r="BD121" s="106"/>
      <c r="BE121" s="106"/>
      <c r="BF121" s="106"/>
      <c r="BG121" s="106"/>
      <c r="BH121" s="106"/>
    </row>
    <row r="122" spans="1:60" x14ac:dyDescent="0.25">
      <c r="A122" s="14"/>
      <c r="B122" s="14"/>
      <c r="C122" s="14"/>
      <c r="D122" s="92"/>
      <c r="E122" s="14"/>
      <c r="F122" s="14"/>
      <c r="G122" s="14"/>
      <c r="H122" s="14"/>
      <c r="I122" s="67"/>
      <c r="J122" s="14"/>
      <c r="K122" s="14"/>
      <c r="L122" s="14"/>
      <c r="M122" s="14"/>
      <c r="O122" s="99"/>
      <c r="P122" s="99"/>
      <c r="AU122" s="81"/>
      <c r="AV122" s="99"/>
      <c r="AW122" s="99"/>
      <c r="BC122" s="106"/>
      <c r="BD122" s="106"/>
      <c r="BE122" s="106"/>
      <c r="BF122" s="106"/>
      <c r="BG122" s="106"/>
      <c r="BH122" s="106"/>
    </row>
    <row r="123" spans="1:60" x14ac:dyDescent="0.25">
      <c r="A123" s="14"/>
      <c r="B123" s="14"/>
      <c r="C123" s="14"/>
      <c r="D123" s="92"/>
      <c r="E123" s="14"/>
      <c r="F123" s="14"/>
      <c r="G123" s="14"/>
      <c r="H123" s="14"/>
      <c r="I123" s="67"/>
      <c r="J123" s="14"/>
      <c r="K123" s="14"/>
      <c r="L123" s="14"/>
      <c r="M123" s="14"/>
      <c r="O123" s="99"/>
      <c r="P123" s="99"/>
      <c r="AU123" s="81"/>
      <c r="AV123" s="99"/>
      <c r="AW123" s="99"/>
      <c r="BC123" s="106"/>
      <c r="BD123" s="106"/>
      <c r="BE123" s="106"/>
      <c r="BF123" s="106"/>
      <c r="BG123" s="106"/>
      <c r="BH123" s="106"/>
    </row>
    <row r="124" spans="1:60" x14ac:dyDescent="0.25">
      <c r="A124" s="14"/>
      <c r="B124" s="14"/>
      <c r="C124" s="14"/>
      <c r="D124" s="92"/>
      <c r="E124" s="14"/>
      <c r="F124" s="14"/>
      <c r="G124" s="14"/>
      <c r="H124" s="14"/>
      <c r="I124" s="67"/>
      <c r="J124" s="14"/>
      <c r="K124" s="14"/>
      <c r="L124" s="14"/>
      <c r="M124" s="14"/>
      <c r="O124" s="99"/>
      <c r="P124" s="99"/>
      <c r="AU124" s="81"/>
      <c r="AV124" s="99"/>
      <c r="AW124" s="99"/>
      <c r="BC124" s="106"/>
      <c r="BD124" s="106"/>
      <c r="BE124" s="106"/>
      <c r="BF124" s="106"/>
      <c r="BG124" s="106"/>
      <c r="BH124" s="106"/>
    </row>
    <row r="125" spans="1:60" x14ac:dyDescent="0.25">
      <c r="A125" s="14"/>
      <c r="B125" s="14"/>
      <c r="C125" s="14"/>
      <c r="D125" s="92"/>
      <c r="E125" s="14"/>
      <c r="F125" s="14"/>
      <c r="G125" s="14"/>
      <c r="H125" s="14"/>
      <c r="I125" s="67"/>
      <c r="J125" s="14"/>
      <c r="K125" s="14"/>
      <c r="L125" s="14"/>
      <c r="M125" s="14"/>
      <c r="O125" s="99"/>
      <c r="P125" s="99"/>
      <c r="AU125" s="81"/>
      <c r="AV125" s="99"/>
      <c r="AW125" s="99"/>
      <c r="BC125" s="106"/>
      <c r="BD125" s="106"/>
      <c r="BE125" s="106"/>
      <c r="BF125" s="106"/>
      <c r="BG125" s="106"/>
      <c r="BH125" s="106"/>
    </row>
    <row r="126" spans="1:60" x14ac:dyDescent="0.25">
      <c r="A126" s="14"/>
      <c r="B126" s="14"/>
      <c r="C126" s="14"/>
      <c r="D126" s="92"/>
      <c r="E126" s="14"/>
      <c r="F126" s="14"/>
      <c r="G126" s="14"/>
      <c r="H126" s="14"/>
      <c r="I126" s="67"/>
      <c r="J126" s="14"/>
      <c r="K126" s="14"/>
      <c r="L126" s="14"/>
      <c r="M126" s="14"/>
      <c r="O126" s="99"/>
      <c r="P126" s="99"/>
      <c r="AU126" s="81"/>
      <c r="AV126" s="99"/>
      <c r="AW126" s="99"/>
      <c r="BC126" s="106"/>
      <c r="BD126" s="106"/>
      <c r="BE126" s="106"/>
      <c r="BF126" s="106"/>
      <c r="BG126" s="106"/>
      <c r="BH126" s="106"/>
    </row>
    <row r="127" spans="1:60" x14ac:dyDescent="0.25">
      <c r="A127" s="14"/>
      <c r="B127" s="14"/>
      <c r="C127" s="14"/>
      <c r="D127" s="92"/>
      <c r="E127" s="14"/>
      <c r="F127" s="14"/>
      <c r="G127" s="14"/>
      <c r="H127" s="14"/>
      <c r="I127" s="67"/>
      <c r="J127" s="14"/>
      <c r="K127" s="14"/>
      <c r="L127" s="14"/>
      <c r="M127" s="14"/>
      <c r="O127" s="99"/>
      <c r="P127" s="99"/>
      <c r="AU127" s="81"/>
      <c r="AV127" s="99"/>
      <c r="AW127" s="99"/>
      <c r="BC127" s="106"/>
      <c r="BD127" s="106"/>
      <c r="BE127" s="106"/>
      <c r="BF127" s="106"/>
      <c r="BG127" s="106"/>
      <c r="BH127" s="106"/>
    </row>
    <row r="128" spans="1:60" x14ac:dyDescent="0.25">
      <c r="A128" s="14"/>
      <c r="B128" s="14"/>
      <c r="C128" s="14"/>
      <c r="D128" s="92"/>
      <c r="E128" s="14"/>
      <c r="F128" s="14"/>
      <c r="G128" s="14"/>
      <c r="H128" s="14"/>
      <c r="I128" s="67"/>
      <c r="J128" s="14"/>
      <c r="K128" s="14"/>
      <c r="L128" s="14"/>
      <c r="M128" s="14"/>
      <c r="O128" s="99"/>
      <c r="P128" s="99"/>
      <c r="AU128" s="81"/>
      <c r="AV128" s="99"/>
      <c r="AW128" s="99"/>
      <c r="BC128" s="106"/>
      <c r="BD128" s="106"/>
      <c r="BE128" s="106"/>
      <c r="BF128" s="106"/>
      <c r="BG128" s="106"/>
      <c r="BH128" s="106"/>
    </row>
    <row r="129" spans="1:60" x14ac:dyDescent="0.25">
      <c r="A129" s="14"/>
      <c r="B129" s="14"/>
      <c r="C129" s="14"/>
      <c r="D129" s="92"/>
      <c r="E129" s="14"/>
      <c r="F129" s="14"/>
      <c r="G129" s="14"/>
      <c r="H129" s="14"/>
      <c r="I129" s="67"/>
      <c r="J129" s="14"/>
      <c r="K129" s="14"/>
      <c r="L129" s="14"/>
      <c r="M129" s="14"/>
      <c r="O129" s="99"/>
      <c r="P129" s="99"/>
      <c r="AU129" s="81"/>
      <c r="AV129" s="99"/>
      <c r="AW129" s="99"/>
      <c r="BC129" s="106"/>
      <c r="BD129" s="106"/>
      <c r="BE129" s="106"/>
      <c r="BF129" s="106"/>
      <c r="BG129" s="106"/>
      <c r="BH129" s="106"/>
    </row>
    <row r="130" spans="1:60" x14ac:dyDescent="0.25">
      <c r="A130" s="14"/>
      <c r="B130" s="14"/>
      <c r="C130" s="14"/>
      <c r="D130" s="92"/>
      <c r="E130" s="14"/>
      <c r="F130" s="14"/>
      <c r="G130" s="14"/>
      <c r="H130" s="14"/>
      <c r="I130" s="67"/>
      <c r="J130" s="14"/>
      <c r="K130" s="14"/>
      <c r="L130" s="14"/>
      <c r="M130" s="14"/>
      <c r="O130" s="99"/>
      <c r="P130" s="99"/>
      <c r="AU130" s="81"/>
      <c r="AV130" s="99"/>
      <c r="AW130" s="99"/>
      <c r="BC130" s="106"/>
      <c r="BD130" s="106"/>
      <c r="BE130" s="106"/>
      <c r="BF130" s="106"/>
      <c r="BG130" s="106"/>
      <c r="BH130" s="106"/>
    </row>
    <row r="131" spans="1:60" x14ac:dyDescent="0.25">
      <c r="A131" s="14"/>
      <c r="B131" s="14"/>
      <c r="C131" s="14"/>
      <c r="D131" s="92"/>
      <c r="E131" s="14"/>
      <c r="F131" s="14"/>
      <c r="G131" s="14"/>
      <c r="H131" s="14"/>
      <c r="I131" s="67"/>
      <c r="J131" s="14"/>
      <c r="K131" s="14"/>
      <c r="L131" s="14"/>
      <c r="M131" s="14"/>
      <c r="O131" s="99"/>
      <c r="P131" s="99"/>
      <c r="AU131" s="81"/>
      <c r="AV131" s="99"/>
      <c r="AW131" s="99"/>
      <c r="BC131" s="106"/>
      <c r="BD131" s="106"/>
      <c r="BE131" s="106"/>
      <c r="BF131" s="106"/>
      <c r="BG131" s="106"/>
      <c r="BH131" s="106"/>
    </row>
    <row r="132" spans="1:60" x14ac:dyDescent="0.25">
      <c r="A132" s="14"/>
      <c r="B132" s="14"/>
      <c r="C132" s="14"/>
      <c r="D132" s="92"/>
      <c r="E132" s="14"/>
      <c r="F132" s="14"/>
      <c r="G132" s="14"/>
      <c r="H132" s="14"/>
      <c r="I132" s="67"/>
      <c r="J132" s="14"/>
      <c r="K132" s="14"/>
      <c r="L132" s="14"/>
      <c r="M132" s="14"/>
      <c r="O132" s="99"/>
      <c r="P132" s="99"/>
      <c r="AU132" s="81"/>
      <c r="AV132" s="99"/>
      <c r="AW132" s="99"/>
      <c r="BC132" s="106"/>
      <c r="BD132" s="106"/>
      <c r="BE132" s="106"/>
      <c r="BF132" s="106"/>
      <c r="BG132" s="106"/>
      <c r="BH132" s="106"/>
    </row>
    <row r="133" spans="1:60" x14ac:dyDescent="0.25">
      <c r="A133" s="14"/>
      <c r="B133" s="14"/>
      <c r="C133" s="14"/>
      <c r="D133" s="92"/>
      <c r="E133" s="14"/>
      <c r="F133" s="14"/>
      <c r="G133" s="14"/>
      <c r="H133" s="14"/>
      <c r="I133" s="67"/>
      <c r="J133" s="14"/>
      <c r="K133" s="14"/>
      <c r="L133" s="14"/>
      <c r="M133" s="14"/>
      <c r="O133" s="99"/>
      <c r="P133" s="99"/>
      <c r="AU133" s="81"/>
      <c r="AV133" s="99"/>
      <c r="AW133" s="99"/>
      <c r="BC133" s="106"/>
      <c r="BD133" s="106"/>
      <c r="BE133" s="106"/>
      <c r="BF133" s="106"/>
      <c r="BG133" s="106"/>
      <c r="BH133" s="106"/>
    </row>
    <row r="134" spans="1:60" x14ac:dyDescent="0.25">
      <c r="A134" s="14"/>
      <c r="B134" s="14"/>
      <c r="C134" s="14"/>
      <c r="D134" s="92"/>
      <c r="E134" s="14"/>
      <c r="F134" s="14"/>
      <c r="G134" s="14"/>
      <c r="H134" s="14"/>
      <c r="I134" s="67"/>
      <c r="J134" s="14"/>
      <c r="K134" s="14"/>
      <c r="L134" s="14"/>
      <c r="M134" s="14"/>
      <c r="O134" s="99"/>
      <c r="P134" s="99"/>
      <c r="AU134" s="81"/>
      <c r="AV134" s="99"/>
      <c r="AW134" s="99"/>
      <c r="BC134" s="106"/>
      <c r="BD134" s="106"/>
      <c r="BE134" s="106"/>
      <c r="BF134" s="106"/>
      <c r="BG134" s="106"/>
      <c r="BH134" s="106"/>
    </row>
    <row r="135" spans="1:60" x14ac:dyDescent="0.25">
      <c r="A135" s="14"/>
      <c r="B135" s="14"/>
      <c r="C135" s="14"/>
      <c r="D135" s="92"/>
      <c r="E135" s="14"/>
      <c r="F135" s="14"/>
      <c r="G135" s="14"/>
      <c r="H135" s="14"/>
      <c r="I135" s="67"/>
      <c r="J135" s="14"/>
      <c r="K135" s="14"/>
      <c r="L135" s="14"/>
      <c r="M135" s="14"/>
      <c r="O135" s="99"/>
      <c r="P135" s="99"/>
      <c r="AU135" s="81"/>
      <c r="AV135" s="99"/>
      <c r="AW135" s="99"/>
      <c r="BC135" s="106"/>
      <c r="BD135" s="106"/>
      <c r="BE135" s="106"/>
      <c r="BF135" s="106"/>
      <c r="BG135" s="106"/>
      <c r="BH135" s="106"/>
    </row>
    <row r="136" spans="1:60" x14ac:dyDescent="0.25">
      <c r="A136" s="14"/>
      <c r="B136" s="14"/>
      <c r="C136" s="14"/>
      <c r="D136" s="92"/>
      <c r="E136" s="14"/>
      <c r="F136" s="14"/>
      <c r="G136" s="14"/>
      <c r="H136" s="14"/>
      <c r="I136" s="67"/>
      <c r="J136" s="14"/>
      <c r="K136" s="14"/>
      <c r="L136" s="14"/>
      <c r="M136" s="14"/>
      <c r="O136" s="99"/>
      <c r="P136" s="99"/>
      <c r="AU136" s="81"/>
      <c r="AV136" s="99"/>
      <c r="AW136" s="99"/>
      <c r="BC136" s="106"/>
      <c r="BD136" s="106"/>
      <c r="BE136" s="106"/>
      <c r="BF136" s="106"/>
      <c r="BG136" s="106"/>
      <c r="BH136" s="106"/>
    </row>
    <row r="137" spans="1:60" x14ac:dyDescent="0.25">
      <c r="A137" s="14"/>
      <c r="B137" s="14"/>
      <c r="C137" s="14"/>
      <c r="D137" s="92"/>
      <c r="E137" s="14"/>
      <c r="F137" s="14"/>
      <c r="G137" s="14"/>
      <c r="H137" s="14"/>
      <c r="I137" s="67"/>
      <c r="J137" s="14"/>
      <c r="K137" s="14"/>
      <c r="L137" s="14"/>
      <c r="M137" s="14"/>
      <c r="O137" s="99"/>
      <c r="P137" s="99"/>
      <c r="AU137" s="81"/>
      <c r="AV137" s="99"/>
      <c r="AW137" s="99"/>
      <c r="BC137" s="106"/>
      <c r="BD137" s="106"/>
      <c r="BE137" s="106"/>
      <c r="BF137" s="106"/>
      <c r="BG137" s="106"/>
      <c r="BH137" s="106"/>
    </row>
    <row r="138" spans="1:60" x14ac:dyDescent="0.25">
      <c r="A138" s="14"/>
      <c r="B138" s="14"/>
      <c r="C138" s="14"/>
      <c r="D138" s="92"/>
      <c r="E138" s="14"/>
      <c r="F138" s="14"/>
      <c r="G138" s="14"/>
      <c r="H138" s="14"/>
      <c r="I138" s="67"/>
      <c r="J138" s="14"/>
      <c r="K138" s="14"/>
      <c r="L138" s="14"/>
      <c r="M138" s="14"/>
      <c r="O138" s="99"/>
      <c r="P138" s="99"/>
      <c r="AU138" s="81"/>
      <c r="AV138" s="99"/>
      <c r="AW138" s="99"/>
      <c r="BC138" s="106"/>
      <c r="BD138" s="106"/>
      <c r="BE138" s="106"/>
      <c r="BF138" s="106"/>
      <c r="BG138" s="106"/>
      <c r="BH138" s="106"/>
    </row>
    <row r="139" spans="1:60" x14ac:dyDescent="0.25">
      <c r="A139" s="14"/>
      <c r="B139" s="14"/>
      <c r="C139" s="14"/>
      <c r="D139" s="92"/>
      <c r="E139" s="14"/>
      <c r="F139" s="14"/>
      <c r="G139" s="14"/>
      <c r="H139" s="14"/>
      <c r="I139" s="67"/>
      <c r="J139" s="14"/>
      <c r="K139" s="14"/>
      <c r="L139" s="14"/>
      <c r="M139" s="14"/>
      <c r="O139" s="99"/>
      <c r="P139" s="99"/>
      <c r="AU139" s="81"/>
      <c r="AV139" s="99"/>
      <c r="AW139" s="99"/>
      <c r="BC139" s="106"/>
      <c r="BD139" s="106"/>
      <c r="BE139" s="106"/>
      <c r="BF139" s="106"/>
      <c r="BG139" s="106"/>
      <c r="BH139" s="106"/>
    </row>
    <row r="140" spans="1:60" x14ac:dyDescent="0.25">
      <c r="A140" s="14"/>
      <c r="B140" s="14"/>
      <c r="C140" s="14"/>
      <c r="D140" s="92"/>
      <c r="E140" s="14"/>
      <c r="F140" s="14"/>
      <c r="G140" s="14"/>
      <c r="H140" s="14"/>
      <c r="I140" s="67"/>
      <c r="J140" s="14"/>
      <c r="K140" s="14"/>
      <c r="L140" s="14"/>
      <c r="M140" s="14"/>
      <c r="O140" s="99"/>
      <c r="P140" s="99"/>
      <c r="AU140" s="81"/>
      <c r="AV140" s="99"/>
      <c r="AW140" s="99"/>
      <c r="BC140" s="106"/>
      <c r="BD140" s="106"/>
      <c r="BE140" s="106"/>
      <c r="BF140" s="106"/>
      <c r="BG140" s="106"/>
      <c r="BH140" s="106"/>
    </row>
    <row r="141" spans="1:60" x14ac:dyDescent="0.25">
      <c r="A141" s="14"/>
      <c r="B141" s="14"/>
      <c r="C141" s="14"/>
      <c r="D141" s="92"/>
      <c r="E141" s="14"/>
      <c r="F141" s="14"/>
      <c r="G141" s="14"/>
      <c r="H141" s="14"/>
      <c r="I141" s="67"/>
      <c r="J141" s="14"/>
      <c r="K141" s="14"/>
      <c r="L141" s="14"/>
      <c r="M141" s="14"/>
      <c r="O141" s="99"/>
      <c r="P141" s="99"/>
      <c r="AU141" s="81"/>
      <c r="AV141" s="99"/>
      <c r="AW141" s="99"/>
      <c r="BC141" s="106"/>
      <c r="BD141" s="106"/>
      <c r="BE141" s="106"/>
      <c r="BF141" s="106"/>
      <c r="BG141" s="106"/>
      <c r="BH141" s="106"/>
    </row>
    <row r="142" spans="1:60" x14ac:dyDescent="0.25">
      <c r="A142" s="14"/>
      <c r="B142" s="14"/>
      <c r="C142" s="14"/>
      <c r="D142" s="92"/>
      <c r="E142" s="14"/>
      <c r="F142" s="14"/>
      <c r="G142" s="14"/>
      <c r="H142" s="14"/>
      <c r="I142" s="67"/>
      <c r="J142" s="14"/>
      <c r="K142" s="14"/>
      <c r="L142" s="14"/>
      <c r="M142" s="14"/>
      <c r="O142" s="99"/>
      <c r="P142" s="99"/>
      <c r="AU142" s="81"/>
      <c r="AV142" s="99"/>
      <c r="AW142" s="99"/>
      <c r="BC142" s="106"/>
      <c r="BD142" s="106"/>
      <c r="BE142" s="106"/>
      <c r="BF142" s="106"/>
      <c r="BG142" s="106"/>
      <c r="BH142" s="106"/>
    </row>
    <row r="143" spans="1:60" x14ac:dyDescent="0.25">
      <c r="A143" s="14"/>
      <c r="B143" s="14"/>
      <c r="C143" s="14"/>
      <c r="D143" s="92"/>
      <c r="E143" s="14"/>
      <c r="F143" s="14"/>
      <c r="G143" s="14"/>
      <c r="H143" s="14"/>
      <c r="I143" s="67"/>
      <c r="J143" s="14"/>
      <c r="K143" s="14"/>
      <c r="L143" s="14"/>
      <c r="M143" s="14"/>
      <c r="O143" s="99"/>
      <c r="P143" s="99"/>
      <c r="AU143" s="81"/>
      <c r="AV143" s="99"/>
      <c r="AW143" s="99"/>
      <c r="BC143" s="106"/>
      <c r="BD143" s="106"/>
      <c r="BE143" s="106"/>
      <c r="BF143" s="106"/>
      <c r="BG143" s="106"/>
      <c r="BH143" s="106"/>
    </row>
    <row r="144" spans="1:60" x14ac:dyDescent="0.25">
      <c r="A144" s="14"/>
      <c r="B144" s="14"/>
      <c r="C144" s="14"/>
      <c r="D144" s="92"/>
      <c r="E144" s="14"/>
      <c r="F144" s="14"/>
      <c r="G144" s="14"/>
      <c r="H144" s="14"/>
      <c r="I144" s="67"/>
      <c r="J144" s="14"/>
      <c r="K144" s="14"/>
      <c r="L144" s="14"/>
      <c r="M144" s="14"/>
      <c r="O144" s="99"/>
      <c r="P144" s="99"/>
      <c r="AU144" s="81"/>
      <c r="AV144" s="99"/>
      <c r="AW144" s="99"/>
      <c r="BC144" s="106"/>
      <c r="BD144" s="106"/>
      <c r="BE144" s="106"/>
      <c r="BF144" s="106"/>
      <c r="BG144" s="106"/>
      <c r="BH144" s="106"/>
    </row>
    <row r="145" spans="1:60" x14ac:dyDescent="0.25">
      <c r="A145" s="14"/>
      <c r="B145" s="14"/>
      <c r="C145" s="14"/>
      <c r="D145" s="92"/>
      <c r="E145" s="14"/>
      <c r="F145" s="14"/>
      <c r="G145" s="14"/>
      <c r="H145" s="14"/>
      <c r="I145" s="67"/>
      <c r="J145" s="14"/>
      <c r="K145" s="14"/>
      <c r="L145" s="14"/>
      <c r="M145" s="14"/>
      <c r="O145" s="99"/>
      <c r="P145" s="99"/>
      <c r="AU145" s="81"/>
      <c r="AV145" s="99"/>
      <c r="AW145" s="99"/>
      <c r="BC145" s="106"/>
      <c r="BD145" s="106"/>
      <c r="BE145" s="106"/>
      <c r="BF145" s="106"/>
      <c r="BG145" s="106"/>
      <c r="BH145" s="106"/>
    </row>
    <row r="146" spans="1:60" x14ac:dyDescent="0.25">
      <c r="A146" s="14"/>
      <c r="B146" s="14"/>
      <c r="C146" s="14"/>
      <c r="D146" s="92"/>
      <c r="E146" s="14"/>
      <c r="F146" s="14"/>
      <c r="G146" s="14"/>
      <c r="H146" s="14"/>
      <c r="I146" s="67"/>
      <c r="J146" s="14"/>
      <c r="K146" s="14"/>
      <c r="L146" s="14"/>
      <c r="M146" s="14"/>
      <c r="O146" s="99"/>
      <c r="P146" s="99"/>
      <c r="AU146" s="81"/>
      <c r="AV146" s="99"/>
      <c r="AW146" s="99"/>
      <c r="BC146" s="106"/>
      <c r="BD146" s="106"/>
      <c r="BE146" s="106"/>
      <c r="BF146" s="106"/>
      <c r="BG146" s="106"/>
      <c r="BH146" s="106"/>
    </row>
    <row r="147" spans="1:60" x14ac:dyDescent="0.25">
      <c r="A147" s="14"/>
      <c r="B147" s="14"/>
      <c r="C147" s="14"/>
      <c r="D147" s="92"/>
      <c r="E147" s="14"/>
      <c r="F147" s="14"/>
      <c r="G147" s="14"/>
      <c r="H147" s="14"/>
      <c r="I147" s="67"/>
      <c r="J147" s="14"/>
      <c r="K147" s="14"/>
      <c r="L147" s="14"/>
      <c r="M147" s="14"/>
      <c r="O147" s="99"/>
      <c r="P147" s="99"/>
      <c r="AU147" s="81"/>
      <c r="AV147" s="99"/>
      <c r="AW147" s="99"/>
      <c r="BC147" s="106"/>
      <c r="BD147" s="106"/>
      <c r="BE147" s="106"/>
      <c r="BF147" s="106"/>
      <c r="BG147" s="106"/>
      <c r="BH147" s="106"/>
    </row>
    <row r="148" spans="1:60" x14ac:dyDescent="0.25">
      <c r="A148" s="14"/>
      <c r="B148" s="14"/>
      <c r="C148" s="14"/>
      <c r="D148" s="92"/>
      <c r="E148" s="14"/>
      <c r="F148" s="14"/>
      <c r="G148" s="14"/>
      <c r="H148" s="14"/>
      <c r="I148" s="67"/>
      <c r="J148" s="14"/>
      <c r="K148" s="14"/>
      <c r="L148" s="14"/>
      <c r="M148" s="14"/>
      <c r="O148" s="99"/>
      <c r="P148" s="99"/>
      <c r="AU148" s="81"/>
      <c r="AV148" s="99"/>
      <c r="AW148" s="99"/>
      <c r="BC148" s="106"/>
      <c r="BD148" s="106"/>
      <c r="BE148" s="106"/>
      <c r="BF148" s="106"/>
      <c r="BG148" s="106"/>
      <c r="BH148" s="106"/>
    </row>
    <row r="149" spans="1:60" x14ac:dyDescent="0.25">
      <c r="A149" s="14"/>
      <c r="B149" s="14"/>
      <c r="C149" s="14"/>
      <c r="D149" s="92"/>
      <c r="E149" s="14"/>
      <c r="F149" s="14"/>
      <c r="G149" s="14"/>
      <c r="H149" s="14"/>
      <c r="I149" s="67"/>
      <c r="J149" s="14"/>
      <c r="K149" s="14"/>
      <c r="L149" s="14"/>
      <c r="M149" s="14"/>
      <c r="O149" s="99"/>
      <c r="P149" s="99"/>
      <c r="AU149" s="81"/>
      <c r="AV149" s="99"/>
      <c r="AW149" s="99"/>
      <c r="BC149" s="106"/>
      <c r="BD149" s="106"/>
      <c r="BE149" s="106"/>
      <c r="BF149" s="106"/>
      <c r="BG149" s="106"/>
      <c r="BH149" s="106"/>
    </row>
    <row r="150" spans="1:60" x14ac:dyDescent="0.25">
      <c r="A150" s="14"/>
      <c r="B150" s="14"/>
      <c r="C150" s="14"/>
      <c r="D150" s="92"/>
      <c r="E150" s="14"/>
      <c r="F150" s="14"/>
      <c r="G150" s="14"/>
      <c r="H150" s="14"/>
      <c r="I150" s="67"/>
      <c r="J150" s="14"/>
      <c r="K150" s="14"/>
      <c r="L150" s="14"/>
      <c r="M150" s="14"/>
      <c r="O150" s="99"/>
      <c r="P150" s="99"/>
      <c r="AU150" s="81"/>
      <c r="AV150" s="99"/>
      <c r="AW150" s="99"/>
      <c r="BC150" s="106"/>
      <c r="BD150" s="106"/>
      <c r="BE150" s="106"/>
      <c r="BF150" s="106"/>
      <c r="BG150" s="106"/>
      <c r="BH150" s="106"/>
    </row>
    <row r="151" spans="1:60" x14ac:dyDescent="0.25">
      <c r="A151" s="14"/>
      <c r="B151" s="14"/>
      <c r="C151" s="14"/>
      <c r="D151" s="92"/>
      <c r="E151" s="14"/>
      <c r="F151" s="14"/>
      <c r="G151" s="14"/>
      <c r="H151" s="14"/>
      <c r="I151" s="67"/>
      <c r="J151" s="14"/>
      <c r="K151" s="14"/>
      <c r="L151" s="14"/>
      <c r="M151" s="14"/>
      <c r="O151" s="99"/>
      <c r="P151" s="99"/>
      <c r="AU151" s="81"/>
      <c r="AV151" s="99"/>
      <c r="AW151" s="99"/>
      <c r="BC151" s="106"/>
      <c r="BD151" s="106"/>
      <c r="BE151" s="106"/>
      <c r="BF151" s="106"/>
      <c r="BG151" s="106"/>
      <c r="BH151" s="106"/>
    </row>
    <row r="152" spans="1:60" x14ac:dyDescent="0.25">
      <c r="A152" s="14"/>
      <c r="B152" s="14"/>
      <c r="C152" s="14"/>
      <c r="D152" s="92"/>
      <c r="E152" s="14"/>
      <c r="F152" s="14"/>
      <c r="G152" s="14"/>
      <c r="H152" s="14"/>
      <c r="I152" s="67"/>
      <c r="J152" s="14"/>
      <c r="K152" s="14"/>
      <c r="L152" s="14"/>
      <c r="M152" s="14"/>
      <c r="O152" s="99"/>
      <c r="P152" s="99"/>
      <c r="AU152" s="81"/>
      <c r="AV152" s="99"/>
      <c r="AW152" s="99"/>
      <c r="BC152" s="106"/>
      <c r="BD152" s="106"/>
      <c r="BE152" s="106"/>
      <c r="BF152" s="106"/>
      <c r="BG152" s="106"/>
      <c r="BH152" s="106"/>
    </row>
    <row r="153" spans="1:60" x14ac:dyDescent="0.25">
      <c r="A153" s="14"/>
      <c r="B153" s="14"/>
      <c r="C153" s="14"/>
      <c r="D153" s="92"/>
      <c r="E153" s="14"/>
      <c r="F153" s="14"/>
      <c r="G153" s="14"/>
      <c r="H153" s="14"/>
      <c r="I153" s="67"/>
      <c r="J153" s="14"/>
      <c r="K153" s="14"/>
      <c r="L153" s="14"/>
      <c r="M153" s="14"/>
      <c r="O153" s="99"/>
      <c r="P153" s="99"/>
      <c r="AU153" s="81"/>
      <c r="AV153" s="99"/>
      <c r="AW153" s="99"/>
      <c r="BC153" s="106"/>
      <c r="BD153" s="106"/>
      <c r="BE153" s="106"/>
      <c r="BF153" s="106"/>
      <c r="BG153" s="106"/>
      <c r="BH153" s="106"/>
    </row>
    <row r="154" spans="1:60" x14ac:dyDescent="0.25">
      <c r="A154" s="14"/>
      <c r="B154" s="14"/>
      <c r="C154" s="14"/>
      <c r="D154" s="92"/>
      <c r="E154" s="14"/>
      <c r="F154" s="14"/>
      <c r="G154" s="14"/>
      <c r="H154" s="14"/>
      <c r="I154" s="67"/>
      <c r="J154" s="14"/>
      <c r="K154" s="14"/>
      <c r="L154" s="14"/>
      <c r="M154" s="14"/>
      <c r="O154" s="99"/>
      <c r="P154" s="99"/>
      <c r="AU154" s="81"/>
      <c r="AV154" s="99"/>
      <c r="AW154" s="99"/>
    </row>
    <row r="155" spans="1:60" x14ac:dyDescent="0.25">
      <c r="A155" s="14"/>
      <c r="B155" s="14"/>
      <c r="C155" s="14"/>
      <c r="D155" s="92"/>
      <c r="E155" s="14"/>
      <c r="F155" s="14"/>
      <c r="G155" s="14"/>
      <c r="H155" s="14"/>
      <c r="I155" s="67"/>
      <c r="J155" s="14"/>
      <c r="K155" s="14"/>
      <c r="L155" s="14"/>
      <c r="M155" s="14"/>
      <c r="O155" s="99"/>
      <c r="P155" s="99"/>
      <c r="AU155" s="81"/>
      <c r="AV155" s="99"/>
      <c r="AW155" s="99"/>
    </row>
    <row r="156" spans="1:60" x14ac:dyDescent="0.25">
      <c r="A156" s="14"/>
      <c r="B156" s="14"/>
      <c r="C156" s="14"/>
      <c r="D156" s="92"/>
      <c r="E156" s="14"/>
      <c r="F156" s="14"/>
      <c r="G156" s="14"/>
      <c r="H156" s="14"/>
      <c r="I156" s="67"/>
      <c r="J156" s="14"/>
      <c r="K156" s="14"/>
      <c r="L156" s="14"/>
      <c r="M156" s="14"/>
      <c r="O156" s="99"/>
      <c r="P156" s="99"/>
      <c r="AU156" s="81"/>
      <c r="AV156" s="99"/>
      <c r="AW156" s="99"/>
    </row>
    <row r="157" spans="1:60" x14ac:dyDescent="0.25">
      <c r="A157" s="14"/>
      <c r="B157" s="14"/>
      <c r="C157" s="14"/>
      <c r="D157" s="92"/>
      <c r="E157" s="14"/>
      <c r="F157" s="14"/>
      <c r="G157" s="14"/>
      <c r="H157" s="14"/>
      <c r="I157" s="67"/>
      <c r="J157" s="14"/>
      <c r="K157" s="14"/>
      <c r="L157" s="14"/>
      <c r="M157" s="14"/>
      <c r="O157" s="99"/>
      <c r="P157" s="99"/>
      <c r="AU157" s="81"/>
      <c r="AV157" s="99"/>
      <c r="AW157" s="99"/>
    </row>
    <row r="158" spans="1:60" x14ac:dyDescent="0.25">
      <c r="A158" s="14"/>
      <c r="B158" s="14"/>
      <c r="C158" s="14"/>
      <c r="D158" s="92"/>
      <c r="E158" s="14"/>
      <c r="F158" s="14"/>
      <c r="G158" s="14"/>
      <c r="H158" s="14"/>
      <c r="I158" s="67"/>
      <c r="J158" s="14"/>
      <c r="K158" s="14"/>
      <c r="L158" s="14"/>
      <c r="M158" s="14"/>
      <c r="O158" s="99"/>
      <c r="P158" s="99"/>
      <c r="AU158" s="81"/>
      <c r="AV158" s="99"/>
      <c r="AW158" s="99"/>
    </row>
    <row r="159" spans="1:60" x14ac:dyDescent="0.25">
      <c r="A159" s="14"/>
      <c r="B159" s="14"/>
      <c r="C159" s="14"/>
      <c r="D159" s="92"/>
      <c r="E159" s="14"/>
      <c r="F159" s="14"/>
      <c r="G159" s="14"/>
      <c r="H159" s="14"/>
      <c r="I159" s="67"/>
      <c r="J159" s="14"/>
      <c r="K159" s="14"/>
      <c r="L159" s="14"/>
      <c r="M159" s="14"/>
      <c r="O159" s="99"/>
      <c r="P159" s="99"/>
      <c r="AU159" s="81"/>
      <c r="AV159" s="99"/>
      <c r="AW159" s="99"/>
    </row>
    <row r="160" spans="1:60" x14ac:dyDescent="0.25">
      <c r="A160" s="14"/>
      <c r="B160" s="14"/>
      <c r="C160" s="14"/>
      <c r="D160" s="92"/>
      <c r="E160" s="14"/>
      <c r="F160" s="14"/>
      <c r="G160" s="14"/>
      <c r="H160" s="14"/>
      <c r="I160" s="67"/>
      <c r="J160" s="14"/>
      <c r="K160" s="14"/>
      <c r="L160" s="14"/>
      <c r="M160" s="14"/>
      <c r="O160" s="99"/>
      <c r="P160" s="99"/>
      <c r="AU160" s="81"/>
      <c r="AV160" s="99"/>
      <c r="AW160" s="99"/>
    </row>
    <row r="161" spans="1:49" x14ac:dyDescent="0.25">
      <c r="A161" s="14"/>
      <c r="B161" s="14"/>
      <c r="C161" s="14"/>
      <c r="D161" s="92"/>
      <c r="E161" s="14"/>
      <c r="F161" s="14"/>
      <c r="G161" s="14"/>
      <c r="H161" s="14"/>
      <c r="I161" s="67"/>
      <c r="J161" s="14"/>
      <c r="K161" s="14"/>
      <c r="L161" s="14"/>
      <c r="M161" s="14"/>
      <c r="O161" s="99"/>
      <c r="P161" s="99"/>
      <c r="AU161" s="81"/>
      <c r="AV161" s="99"/>
      <c r="AW161" s="99"/>
    </row>
    <row r="162" spans="1:49" x14ac:dyDescent="0.25">
      <c r="A162" s="14"/>
      <c r="B162" s="14"/>
      <c r="C162" s="14"/>
      <c r="D162" s="92"/>
      <c r="E162" s="14"/>
      <c r="F162" s="14"/>
      <c r="G162" s="14"/>
      <c r="H162" s="14"/>
      <c r="I162" s="67"/>
      <c r="J162" s="14"/>
      <c r="K162" s="14"/>
      <c r="L162" s="14"/>
      <c r="M162" s="14"/>
      <c r="O162" s="99"/>
      <c r="P162" s="99"/>
      <c r="AU162" s="81"/>
      <c r="AV162" s="99"/>
      <c r="AW162" s="99"/>
    </row>
    <row r="163" spans="1:49" x14ac:dyDescent="0.25">
      <c r="A163" s="14"/>
      <c r="B163" s="14"/>
      <c r="C163" s="14"/>
      <c r="D163" s="92"/>
      <c r="E163" s="14"/>
      <c r="F163" s="14"/>
      <c r="G163" s="14"/>
      <c r="H163" s="14"/>
      <c r="I163" s="67"/>
      <c r="J163" s="14"/>
      <c r="K163" s="14"/>
      <c r="L163" s="14"/>
      <c r="M163" s="14"/>
      <c r="O163" s="99"/>
      <c r="P163" s="99"/>
      <c r="AU163" s="81"/>
      <c r="AV163" s="99"/>
      <c r="AW163" s="99"/>
    </row>
    <row r="164" spans="1:49" x14ac:dyDescent="0.25">
      <c r="A164" s="14"/>
      <c r="B164" s="14"/>
      <c r="C164" s="14"/>
      <c r="D164" s="92"/>
      <c r="E164" s="14"/>
      <c r="F164" s="14"/>
      <c r="G164" s="14"/>
      <c r="H164" s="14"/>
      <c r="I164" s="67"/>
      <c r="J164" s="14"/>
      <c r="K164" s="14"/>
      <c r="L164" s="14"/>
      <c r="M164" s="14"/>
      <c r="O164" s="99"/>
      <c r="P164" s="99"/>
      <c r="AU164" s="81"/>
      <c r="AV164" s="99"/>
      <c r="AW164" s="99"/>
    </row>
    <row r="165" spans="1:49" x14ac:dyDescent="0.25">
      <c r="A165" s="14"/>
      <c r="B165" s="14"/>
      <c r="C165" s="14"/>
      <c r="D165" s="92"/>
      <c r="E165" s="14"/>
      <c r="F165" s="14"/>
      <c r="G165" s="14"/>
      <c r="H165" s="14"/>
      <c r="I165" s="67"/>
      <c r="J165" s="14"/>
      <c r="K165" s="14"/>
      <c r="L165" s="14"/>
      <c r="M165" s="14"/>
      <c r="O165" s="99"/>
      <c r="P165" s="99"/>
      <c r="AU165" s="81"/>
      <c r="AV165" s="99"/>
      <c r="AW165" s="99"/>
    </row>
    <row r="166" spans="1:49" x14ac:dyDescent="0.25">
      <c r="A166" s="14"/>
      <c r="B166" s="14"/>
      <c r="C166" s="14"/>
      <c r="D166" s="92"/>
      <c r="E166" s="14"/>
      <c r="F166" s="14"/>
      <c r="G166" s="14"/>
      <c r="H166" s="14"/>
      <c r="I166" s="67"/>
      <c r="J166" s="14"/>
      <c r="K166" s="14"/>
      <c r="L166" s="14"/>
      <c r="M166" s="14"/>
      <c r="O166" s="99"/>
      <c r="P166" s="99"/>
      <c r="AU166" s="81"/>
      <c r="AV166" s="99"/>
      <c r="AW166" s="99"/>
    </row>
    <row r="167" spans="1:49" x14ac:dyDescent="0.25">
      <c r="A167" s="14"/>
      <c r="B167" s="14"/>
      <c r="C167" s="14"/>
      <c r="D167" s="92"/>
      <c r="E167" s="14"/>
      <c r="F167" s="14"/>
      <c r="G167" s="14"/>
      <c r="H167" s="14"/>
      <c r="I167" s="67"/>
      <c r="J167" s="14"/>
      <c r="K167" s="14"/>
      <c r="L167" s="14"/>
      <c r="M167" s="14"/>
      <c r="O167" s="99"/>
      <c r="P167" s="99"/>
      <c r="AU167" s="81"/>
      <c r="AV167" s="99"/>
      <c r="AW167" s="99"/>
    </row>
    <row r="168" spans="1:49" x14ac:dyDescent="0.25">
      <c r="A168" s="14"/>
      <c r="B168" s="14"/>
      <c r="C168" s="14"/>
      <c r="D168" s="92"/>
      <c r="E168" s="14"/>
      <c r="F168" s="14"/>
      <c r="G168" s="14"/>
      <c r="H168" s="14"/>
      <c r="I168" s="67"/>
      <c r="J168" s="14"/>
      <c r="K168" s="14"/>
      <c r="L168" s="14"/>
      <c r="M168" s="14"/>
      <c r="O168" s="99"/>
      <c r="P168" s="99"/>
      <c r="AU168" s="81"/>
      <c r="AV168" s="99"/>
      <c r="AW168" s="99"/>
    </row>
    <row r="169" spans="1:49" x14ac:dyDescent="0.25">
      <c r="A169" s="14"/>
      <c r="B169" s="14"/>
      <c r="C169" s="14"/>
      <c r="D169" s="92"/>
      <c r="E169" s="14"/>
      <c r="F169" s="14"/>
      <c r="G169" s="14"/>
      <c r="H169" s="14"/>
      <c r="I169" s="67"/>
      <c r="J169" s="14"/>
      <c r="K169" s="14"/>
      <c r="L169" s="14"/>
      <c r="M169" s="14"/>
      <c r="O169" s="99"/>
      <c r="P169" s="99"/>
      <c r="AU169" s="81"/>
      <c r="AV169" s="99"/>
      <c r="AW169" s="99"/>
    </row>
    <row r="170" spans="1:49" x14ac:dyDescent="0.25">
      <c r="A170" s="14"/>
      <c r="B170" s="14"/>
      <c r="C170" s="14"/>
      <c r="D170" s="92"/>
      <c r="E170" s="14"/>
      <c r="F170" s="14"/>
      <c r="G170" s="14"/>
      <c r="H170" s="14"/>
      <c r="I170" s="67"/>
      <c r="J170" s="14"/>
      <c r="K170" s="14"/>
      <c r="L170" s="14"/>
      <c r="M170" s="14"/>
      <c r="O170" s="99"/>
      <c r="P170" s="99"/>
      <c r="AU170" s="81"/>
      <c r="AV170" s="99"/>
      <c r="AW170" s="99"/>
    </row>
    <row r="171" spans="1:49" x14ac:dyDescent="0.25">
      <c r="A171" s="14"/>
      <c r="B171" s="14"/>
      <c r="C171" s="14"/>
      <c r="D171" s="92"/>
      <c r="E171" s="14"/>
      <c r="F171" s="14"/>
      <c r="G171" s="14"/>
      <c r="H171" s="14"/>
      <c r="I171" s="67"/>
      <c r="J171" s="14"/>
      <c r="K171" s="14"/>
      <c r="L171" s="14"/>
      <c r="M171" s="14"/>
      <c r="O171" s="99"/>
      <c r="P171" s="99"/>
      <c r="AU171" s="81"/>
      <c r="AV171" s="99"/>
      <c r="AW171" s="99"/>
    </row>
    <row r="172" spans="1:49" x14ac:dyDescent="0.25">
      <c r="A172" s="14"/>
      <c r="B172" s="14"/>
      <c r="C172" s="14"/>
      <c r="D172" s="92"/>
      <c r="E172" s="14"/>
      <c r="F172" s="14"/>
      <c r="G172" s="14"/>
      <c r="H172" s="14"/>
      <c r="I172" s="67"/>
      <c r="J172" s="14"/>
      <c r="K172" s="14"/>
      <c r="L172" s="14"/>
      <c r="M172" s="14"/>
      <c r="O172" s="99"/>
      <c r="P172" s="99"/>
      <c r="AU172" s="81"/>
      <c r="AV172" s="99"/>
      <c r="AW172" s="99"/>
    </row>
    <row r="173" spans="1:49" x14ac:dyDescent="0.25">
      <c r="A173" s="14"/>
      <c r="B173" s="14"/>
      <c r="C173" s="14"/>
      <c r="D173" s="92"/>
      <c r="E173" s="14"/>
      <c r="F173" s="14"/>
      <c r="G173" s="14"/>
      <c r="H173" s="14"/>
      <c r="I173" s="67"/>
      <c r="J173" s="14"/>
      <c r="K173" s="14"/>
      <c r="L173" s="14"/>
      <c r="M173" s="14"/>
      <c r="O173" s="99"/>
      <c r="P173" s="99"/>
      <c r="AU173" s="81"/>
      <c r="AV173" s="99"/>
      <c r="AW173" s="99"/>
    </row>
    <row r="174" spans="1:49" x14ac:dyDescent="0.25">
      <c r="A174" s="14"/>
      <c r="B174" s="14"/>
      <c r="C174" s="14"/>
      <c r="D174" s="92"/>
      <c r="E174" s="14"/>
      <c r="F174" s="14"/>
      <c r="G174" s="14"/>
      <c r="H174" s="14"/>
      <c r="I174" s="67"/>
      <c r="J174" s="14"/>
      <c r="K174" s="14"/>
      <c r="L174" s="14"/>
      <c r="M174" s="14"/>
      <c r="O174" s="99"/>
      <c r="P174" s="99"/>
      <c r="AU174" s="81"/>
      <c r="AV174" s="99"/>
      <c r="AW174" s="99"/>
    </row>
    <row r="175" spans="1:49" x14ac:dyDescent="0.25">
      <c r="A175" s="14"/>
      <c r="B175" s="14"/>
      <c r="C175" s="14"/>
      <c r="D175" s="92"/>
      <c r="E175" s="14"/>
      <c r="F175" s="14"/>
      <c r="G175" s="14"/>
      <c r="H175" s="14"/>
      <c r="I175" s="67"/>
      <c r="J175" s="14"/>
      <c r="K175" s="14"/>
      <c r="L175" s="14"/>
      <c r="M175" s="14"/>
      <c r="O175" s="99"/>
      <c r="P175" s="99"/>
      <c r="AU175" s="81"/>
      <c r="AV175" s="99"/>
      <c r="AW175" s="99"/>
    </row>
    <row r="176" spans="1:49" x14ac:dyDescent="0.25">
      <c r="A176" s="14"/>
      <c r="B176" s="14"/>
      <c r="C176" s="14"/>
      <c r="D176" s="92"/>
      <c r="E176" s="14"/>
      <c r="F176" s="14"/>
      <c r="G176" s="14"/>
      <c r="H176" s="14"/>
      <c r="I176" s="67"/>
      <c r="J176" s="14"/>
      <c r="K176" s="14"/>
      <c r="L176" s="14"/>
      <c r="M176" s="14"/>
      <c r="O176" s="99"/>
      <c r="P176" s="99"/>
      <c r="AU176" s="81"/>
      <c r="AV176" s="99"/>
      <c r="AW176" s="99"/>
    </row>
    <row r="177" spans="1:49" x14ac:dyDescent="0.25">
      <c r="A177" s="14"/>
      <c r="B177" s="14"/>
      <c r="C177" s="14"/>
      <c r="D177" s="92"/>
      <c r="E177" s="14"/>
      <c r="F177" s="14"/>
      <c r="G177" s="14"/>
      <c r="H177" s="14"/>
      <c r="I177" s="67"/>
      <c r="J177" s="14"/>
      <c r="K177" s="14"/>
      <c r="L177" s="14"/>
      <c r="M177" s="14"/>
      <c r="O177" s="99"/>
      <c r="P177" s="99"/>
      <c r="AU177" s="81"/>
      <c r="AV177" s="99"/>
      <c r="AW177" s="99"/>
    </row>
    <row r="178" spans="1:49" x14ac:dyDescent="0.25">
      <c r="A178" s="14"/>
      <c r="B178" s="14"/>
      <c r="C178" s="14"/>
      <c r="D178" s="92"/>
      <c r="E178" s="14"/>
      <c r="F178" s="14"/>
      <c r="G178" s="14"/>
      <c r="H178" s="14"/>
      <c r="I178" s="67"/>
      <c r="J178" s="14"/>
      <c r="K178" s="14"/>
      <c r="L178" s="14"/>
      <c r="M178" s="14"/>
      <c r="O178" s="99"/>
      <c r="P178" s="99"/>
      <c r="AU178" s="81"/>
      <c r="AV178" s="99"/>
      <c r="AW178" s="99"/>
    </row>
    <row r="179" spans="1:49" x14ac:dyDescent="0.25">
      <c r="A179" s="14"/>
      <c r="B179" s="14"/>
      <c r="C179" s="14"/>
      <c r="D179" s="92"/>
      <c r="E179" s="14"/>
      <c r="F179" s="14"/>
      <c r="G179" s="14"/>
      <c r="H179" s="14"/>
      <c r="I179" s="67"/>
      <c r="J179" s="14"/>
      <c r="K179" s="14"/>
      <c r="L179" s="14"/>
      <c r="M179" s="14"/>
      <c r="O179" s="99"/>
      <c r="P179" s="99"/>
      <c r="AU179" s="81"/>
      <c r="AV179" s="99"/>
      <c r="AW179" s="99"/>
    </row>
    <row r="180" spans="1:49" x14ac:dyDescent="0.25">
      <c r="A180" s="14"/>
      <c r="B180" s="14"/>
      <c r="C180" s="14"/>
      <c r="D180" s="92"/>
      <c r="E180" s="14"/>
      <c r="F180" s="14"/>
      <c r="G180" s="14"/>
      <c r="H180" s="14"/>
      <c r="I180" s="67"/>
      <c r="J180" s="14"/>
      <c r="K180" s="14"/>
      <c r="L180" s="14"/>
      <c r="M180" s="14"/>
      <c r="O180" s="99"/>
      <c r="P180" s="99"/>
      <c r="AU180" s="81"/>
      <c r="AV180" s="99"/>
      <c r="AW180" s="99"/>
    </row>
    <row r="181" spans="1:49" x14ac:dyDescent="0.25">
      <c r="A181" s="14"/>
      <c r="B181" s="14"/>
      <c r="C181" s="14"/>
      <c r="D181" s="92"/>
      <c r="E181" s="14"/>
      <c r="F181" s="14"/>
      <c r="G181" s="14"/>
      <c r="H181" s="14"/>
      <c r="I181" s="67"/>
      <c r="J181" s="14"/>
      <c r="K181" s="14"/>
      <c r="L181" s="14"/>
      <c r="M181" s="14"/>
      <c r="O181" s="99"/>
      <c r="P181" s="99"/>
      <c r="AU181" s="81"/>
      <c r="AV181" s="99"/>
      <c r="AW181" s="99"/>
    </row>
    <row r="182" spans="1:49" x14ac:dyDescent="0.25">
      <c r="A182" s="14"/>
      <c r="B182" s="14"/>
      <c r="C182" s="14"/>
      <c r="D182" s="92"/>
      <c r="E182" s="14"/>
      <c r="F182" s="14"/>
      <c r="G182" s="14"/>
      <c r="H182" s="14"/>
      <c r="I182" s="67"/>
      <c r="J182" s="14"/>
      <c r="K182" s="14"/>
      <c r="L182" s="14"/>
      <c r="M182" s="14"/>
      <c r="O182" s="99"/>
      <c r="P182" s="99"/>
      <c r="AU182" s="81"/>
      <c r="AV182" s="99"/>
      <c r="AW182" s="99"/>
    </row>
    <row r="183" spans="1:49" x14ac:dyDescent="0.25">
      <c r="A183" s="14"/>
      <c r="B183" s="14"/>
      <c r="C183" s="14"/>
      <c r="D183" s="92"/>
      <c r="E183" s="14"/>
      <c r="F183" s="14"/>
      <c r="G183" s="14"/>
      <c r="H183" s="14"/>
      <c r="I183" s="67"/>
      <c r="J183" s="14"/>
      <c r="K183" s="14"/>
      <c r="L183" s="14"/>
      <c r="M183" s="14"/>
      <c r="O183" s="99"/>
      <c r="P183" s="99"/>
      <c r="AU183" s="81"/>
      <c r="AV183" s="99"/>
      <c r="AW183" s="99"/>
    </row>
    <row r="184" spans="1:49" x14ac:dyDescent="0.25">
      <c r="A184" s="14"/>
      <c r="B184" s="14"/>
      <c r="C184" s="14"/>
      <c r="D184" s="92"/>
      <c r="E184" s="14"/>
      <c r="F184" s="14"/>
      <c r="G184" s="14"/>
      <c r="H184" s="14"/>
      <c r="I184" s="67"/>
      <c r="J184" s="14"/>
      <c r="K184" s="14"/>
      <c r="L184" s="14"/>
      <c r="M184" s="14"/>
      <c r="O184" s="99"/>
      <c r="P184" s="99"/>
      <c r="AU184" s="81"/>
      <c r="AV184" s="99"/>
      <c r="AW184" s="99"/>
    </row>
    <row r="185" spans="1:49" x14ac:dyDescent="0.25">
      <c r="A185" s="14"/>
      <c r="B185" s="14"/>
      <c r="C185" s="14"/>
      <c r="D185" s="92"/>
      <c r="E185" s="14"/>
      <c r="F185" s="14"/>
      <c r="G185" s="14"/>
      <c r="H185" s="14"/>
      <c r="I185" s="67"/>
      <c r="J185" s="14"/>
      <c r="K185" s="14"/>
      <c r="L185" s="14"/>
      <c r="M185" s="14"/>
      <c r="O185" s="99"/>
      <c r="P185" s="99"/>
      <c r="AU185" s="81"/>
      <c r="AV185" s="99"/>
      <c r="AW185" s="99"/>
    </row>
    <row r="186" spans="1:49" x14ac:dyDescent="0.25">
      <c r="A186" s="14"/>
      <c r="B186" s="14"/>
      <c r="C186" s="14"/>
      <c r="D186" s="92"/>
      <c r="E186" s="14"/>
      <c r="F186" s="14"/>
      <c r="G186" s="14"/>
      <c r="H186" s="14"/>
      <c r="I186" s="67"/>
      <c r="J186" s="14"/>
      <c r="K186" s="14"/>
      <c r="L186" s="14"/>
      <c r="M186" s="14"/>
      <c r="O186" s="99"/>
      <c r="P186" s="99"/>
      <c r="AU186" s="81"/>
      <c r="AV186" s="99"/>
      <c r="AW186" s="99"/>
    </row>
    <row r="187" spans="1:49" x14ac:dyDescent="0.25">
      <c r="A187" s="14"/>
      <c r="B187" s="14"/>
      <c r="C187" s="14"/>
      <c r="D187" s="92"/>
      <c r="E187" s="14"/>
      <c r="F187" s="14"/>
      <c r="G187" s="14"/>
      <c r="H187" s="14"/>
      <c r="I187" s="67"/>
      <c r="J187" s="14"/>
      <c r="K187" s="14"/>
      <c r="L187" s="14"/>
      <c r="M187" s="14"/>
      <c r="O187" s="99"/>
      <c r="P187" s="99"/>
      <c r="AU187" s="81"/>
      <c r="AV187" s="99"/>
      <c r="AW187" s="99"/>
    </row>
    <row r="188" spans="1:49" x14ac:dyDescent="0.25">
      <c r="A188" s="14"/>
      <c r="B188" s="14"/>
      <c r="C188" s="14"/>
      <c r="D188" s="92"/>
      <c r="E188" s="14"/>
      <c r="F188" s="14"/>
      <c r="G188" s="14"/>
      <c r="H188" s="14"/>
      <c r="I188" s="67"/>
      <c r="J188" s="14"/>
      <c r="K188" s="14"/>
      <c r="L188" s="14"/>
      <c r="M188" s="14"/>
      <c r="O188" s="99"/>
      <c r="P188" s="99"/>
      <c r="AU188" s="81"/>
      <c r="AV188" s="99"/>
      <c r="AW188" s="99"/>
    </row>
    <row r="189" spans="1:49" x14ac:dyDescent="0.25">
      <c r="A189" s="14"/>
      <c r="B189" s="14"/>
      <c r="C189" s="14"/>
      <c r="D189" s="92"/>
      <c r="E189" s="14"/>
      <c r="F189" s="14"/>
      <c r="G189" s="14"/>
      <c r="H189" s="14"/>
      <c r="I189" s="67"/>
      <c r="J189" s="14"/>
      <c r="K189" s="14"/>
      <c r="L189" s="14"/>
      <c r="M189" s="14"/>
      <c r="O189" s="99"/>
      <c r="P189" s="99"/>
      <c r="AU189" s="81"/>
      <c r="AV189" s="99"/>
      <c r="AW189" s="99"/>
    </row>
    <row r="190" spans="1:49" x14ac:dyDescent="0.25">
      <c r="A190" s="14"/>
      <c r="B190" s="14"/>
      <c r="C190" s="14"/>
      <c r="D190" s="92"/>
      <c r="E190" s="14"/>
      <c r="F190" s="14"/>
      <c r="G190" s="14"/>
      <c r="H190" s="14"/>
      <c r="I190" s="67"/>
      <c r="J190" s="14"/>
      <c r="K190" s="14"/>
      <c r="L190" s="14"/>
      <c r="M190" s="14"/>
      <c r="O190" s="99"/>
      <c r="P190" s="99"/>
      <c r="AU190" s="81"/>
      <c r="AV190" s="99"/>
      <c r="AW190" s="99"/>
    </row>
    <row r="191" spans="1:49" x14ac:dyDescent="0.25">
      <c r="A191" s="14"/>
      <c r="B191" s="14"/>
      <c r="C191" s="14"/>
      <c r="D191" s="92"/>
      <c r="E191" s="14"/>
      <c r="F191" s="14"/>
      <c r="G191" s="14"/>
      <c r="H191" s="14"/>
      <c r="I191" s="67"/>
      <c r="J191" s="14"/>
      <c r="K191" s="14"/>
      <c r="L191" s="14"/>
      <c r="M191" s="14"/>
      <c r="O191" s="99"/>
      <c r="P191" s="99"/>
      <c r="AU191" s="81"/>
      <c r="AV191" s="99"/>
      <c r="AW191" s="99"/>
    </row>
    <row r="192" spans="1:49" x14ac:dyDescent="0.25">
      <c r="A192" s="14"/>
      <c r="B192" s="14"/>
      <c r="C192" s="14"/>
      <c r="D192" s="92"/>
      <c r="E192" s="14"/>
      <c r="F192" s="14"/>
      <c r="G192" s="14"/>
      <c r="H192" s="14"/>
      <c r="I192" s="67"/>
      <c r="J192" s="14"/>
      <c r="K192" s="14"/>
      <c r="L192" s="14"/>
      <c r="M192" s="14"/>
      <c r="O192" s="99"/>
      <c r="P192" s="99"/>
      <c r="AU192" s="81"/>
      <c r="AV192" s="99"/>
      <c r="AW192" s="99"/>
    </row>
    <row r="193" spans="1:49" x14ac:dyDescent="0.25">
      <c r="A193" s="14"/>
      <c r="B193" s="14"/>
      <c r="C193" s="14"/>
      <c r="D193" s="92"/>
      <c r="E193" s="14"/>
      <c r="F193" s="14"/>
      <c r="G193" s="14"/>
      <c r="H193" s="14"/>
      <c r="I193" s="67"/>
      <c r="J193" s="14"/>
      <c r="K193" s="14"/>
      <c r="L193" s="14"/>
      <c r="M193" s="14"/>
      <c r="O193" s="99"/>
      <c r="P193" s="99"/>
      <c r="AU193" s="81"/>
      <c r="AV193" s="99"/>
      <c r="AW193" s="99"/>
    </row>
    <row r="194" spans="1:49" x14ac:dyDescent="0.25">
      <c r="A194" s="14"/>
      <c r="B194" s="14"/>
      <c r="C194" s="14"/>
      <c r="D194" s="92"/>
      <c r="E194" s="14"/>
      <c r="F194" s="14"/>
      <c r="G194" s="14"/>
      <c r="H194" s="14"/>
      <c r="I194" s="67"/>
      <c r="J194" s="14"/>
      <c r="K194" s="14"/>
      <c r="L194" s="14"/>
      <c r="M194" s="14"/>
      <c r="O194" s="99"/>
      <c r="P194" s="99"/>
      <c r="AU194" s="81"/>
      <c r="AV194" s="99"/>
      <c r="AW194" s="99"/>
    </row>
    <row r="195" spans="1:49" x14ac:dyDescent="0.25">
      <c r="A195" s="14"/>
      <c r="B195" s="14"/>
      <c r="C195" s="14"/>
      <c r="D195" s="92"/>
      <c r="E195" s="14"/>
      <c r="F195" s="14"/>
      <c r="G195" s="14"/>
      <c r="H195" s="14"/>
      <c r="I195" s="67"/>
      <c r="J195" s="14"/>
      <c r="K195" s="14"/>
      <c r="L195" s="14"/>
      <c r="M195" s="14"/>
      <c r="O195" s="99"/>
      <c r="P195" s="99"/>
      <c r="AU195" s="81"/>
      <c r="AV195" s="99"/>
      <c r="AW195" s="99"/>
    </row>
    <row r="196" spans="1:49" x14ac:dyDescent="0.25">
      <c r="A196" s="14"/>
      <c r="B196" s="14"/>
      <c r="C196" s="14"/>
      <c r="D196" s="92"/>
      <c r="E196" s="14"/>
      <c r="F196" s="14"/>
      <c r="G196" s="14"/>
      <c r="H196" s="14"/>
      <c r="I196" s="67"/>
      <c r="J196" s="14"/>
      <c r="K196" s="14"/>
      <c r="L196" s="14"/>
      <c r="M196" s="14"/>
      <c r="O196" s="99"/>
      <c r="P196" s="99"/>
      <c r="AU196" s="81"/>
      <c r="AV196" s="99"/>
      <c r="AW196" s="99"/>
    </row>
    <row r="197" spans="1:49" x14ac:dyDescent="0.25">
      <c r="A197" s="14"/>
      <c r="B197" s="14"/>
      <c r="C197" s="14"/>
      <c r="D197" s="92"/>
      <c r="E197" s="14"/>
      <c r="F197" s="14"/>
      <c r="G197" s="14"/>
      <c r="H197" s="14"/>
      <c r="I197" s="67"/>
      <c r="J197" s="14"/>
      <c r="K197" s="14"/>
      <c r="L197" s="14"/>
      <c r="M197" s="14"/>
      <c r="O197" s="99"/>
      <c r="P197" s="99"/>
      <c r="AU197" s="81"/>
      <c r="AV197" s="99"/>
      <c r="AW197" s="99"/>
    </row>
    <row r="198" spans="1:49" x14ac:dyDescent="0.25">
      <c r="A198" s="14"/>
      <c r="B198" s="14"/>
      <c r="C198" s="14"/>
      <c r="D198" s="92"/>
      <c r="E198" s="14"/>
      <c r="F198" s="14"/>
      <c r="G198" s="14"/>
      <c r="H198" s="14"/>
      <c r="I198" s="67"/>
      <c r="J198" s="14"/>
      <c r="K198" s="14"/>
      <c r="L198" s="14"/>
      <c r="M198" s="14"/>
      <c r="O198" s="99"/>
      <c r="P198" s="99"/>
      <c r="AU198" s="81"/>
      <c r="AV198" s="99"/>
      <c r="AW198" s="99"/>
    </row>
    <row r="199" spans="1:49" x14ac:dyDescent="0.25">
      <c r="A199" s="14"/>
      <c r="B199" s="14"/>
      <c r="C199" s="14"/>
      <c r="D199" s="92"/>
      <c r="E199" s="14"/>
      <c r="F199" s="14"/>
      <c r="G199" s="14"/>
      <c r="H199" s="14"/>
      <c r="I199" s="67"/>
      <c r="J199" s="14"/>
      <c r="K199" s="14"/>
      <c r="L199" s="14"/>
      <c r="M199" s="14"/>
      <c r="O199" s="99"/>
      <c r="P199" s="99"/>
      <c r="AU199" s="81"/>
      <c r="AV199" s="99"/>
      <c r="AW199" s="99"/>
    </row>
    <row r="200" spans="1:49" x14ac:dyDescent="0.25">
      <c r="A200" s="14"/>
      <c r="B200" s="14"/>
      <c r="C200" s="14"/>
      <c r="D200" s="92"/>
      <c r="E200" s="14"/>
      <c r="F200" s="14"/>
      <c r="G200" s="14"/>
      <c r="H200" s="14"/>
      <c r="I200" s="67"/>
      <c r="J200" s="14"/>
      <c r="K200" s="14"/>
      <c r="L200" s="14"/>
      <c r="M200" s="14"/>
      <c r="O200" s="99"/>
      <c r="P200" s="99"/>
      <c r="AU200" s="81"/>
      <c r="AV200" s="99"/>
      <c r="AW200" s="99"/>
    </row>
    <row r="201" spans="1:49" x14ac:dyDescent="0.25">
      <c r="A201" s="14"/>
      <c r="B201" s="14"/>
      <c r="C201" s="14"/>
      <c r="D201" s="92"/>
      <c r="E201" s="14"/>
      <c r="F201" s="14"/>
      <c r="G201" s="14"/>
      <c r="H201" s="14"/>
      <c r="I201" s="67"/>
      <c r="J201" s="14"/>
      <c r="K201" s="14"/>
      <c r="L201" s="14"/>
      <c r="M201" s="14"/>
      <c r="O201" s="99"/>
      <c r="P201" s="99"/>
      <c r="AU201" s="81"/>
      <c r="AV201" s="99"/>
      <c r="AW201" s="99"/>
    </row>
    <row r="202" spans="1:49" x14ac:dyDescent="0.25">
      <c r="A202" s="14"/>
      <c r="B202" s="14"/>
      <c r="C202" s="14"/>
      <c r="D202" s="92"/>
      <c r="E202" s="14"/>
      <c r="F202" s="14"/>
      <c r="G202" s="14"/>
      <c r="H202" s="14"/>
      <c r="I202" s="67"/>
      <c r="J202" s="14"/>
      <c r="K202" s="14"/>
      <c r="L202" s="14"/>
      <c r="M202" s="14"/>
      <c r="O202" s="99"/>
      <c r="P202" s="99"/>
      <c r="AU202" s="81"/>
      <c r="AV202" s="99"/>
      <c r="AW202" s="99"/>
    </row>
    <row r="203" spans="1:49" x14ac:dyDescent="0.25">
      <c r="A203" s="14"/>
      <c r="B203" s="14"/>
      <c r="C203" s="14"/>
      <c r="D203" s="92"/>
      <c r="E203" s="14"/>
      <c r="F203" s="14"/>
      <c r="G203" s="14"/>
      <c r="H203" s="14"/>
      <c r="I203" s="67"/>
      <c r="J203" s="14"/>
      <c r="K203" s="14"/>
      <c r="L203" s="14"/>
      <c r="M203" s="14"/>
      <c r="O203" s="99"/>
      <c r="P203" s="99"/>
      <c r="AU203" s="81"/>
      <c r="AV203" s="99"/>
      <c r="AW203" s="99"/>
    </row>
    <row r="204" spans="1:49" x14ac:dyDescent="0.25">
      <c r="A204" s="14"/>
      <c r="B204" s="14"/>
      <c r="C204" s="14"/>
      <c r="D204" s="92"/>
      <c r="E204" s="14"/>
      <c r="F204" s="14"/>
      <c r="G204" s="14"/>
      <c r="H204" s="14"/>
      <c r="I204" s="67"/>
      <c r="J204" s="14"/>
      <c r="K204" s="14"/>
      <c r="L204" s="14"/>
      <c r="M204" s="14"/>
      <c r="O204" s="99"/>
      <c r="P204" s="99"/>
      <c r="AU204" s="81"/>
      <c r="AV204" s="99"/>
      <c r="AW204" s="99"/>
    </row>
    <row r="205" spans="1:49" x14ac:dyDescent="0.25">
      <c r="A205" s="14"/>
      <c r="B205" s="14"/>
      <c r="C205" s="14"/>
      <c r="D205" s="92"/>
      <c r="E205" s="14"/>
      <c r="F205" s="14"/>
      <c r="G205" s="14"/>
      <c r="H205" s="14"/>
      <c r="I205" s="67"/>
      <c r="J205" s="14"/>
      <c r="K205" s="14"/>
      <c r="L205" s="14"/>
      <c r="M205" s="14"/>
      <c r="O205" s="99"/>
      <c r="P205" s="99"/>
      <c r="AU205" s="81"/>
      <c r="AV205" s="99"/>
      <c r="AW205" s="99"/>
    </row>
    <row r="206" spans="1:49" x14ac:dyDescent="0.25">
      <c r="A206" s="14"/>
      <c r="B206" s="14"/>
      <c r="C206" s="14"/>
      <c r="D206" s="92"/>
      <c r="E206" s="14"/>
      <c r="F206" s="14"/>
      <c r="G206" s="14"/>
      <c r="H206" s="14"/>
      <c r="I206" s="67"/>
      <c r="J206" s="14"/>
      <c r="K206" s="14"/>
      <c r="L206" s="14"/>
      <c r="M206" s="14"/>
      <c r="O206" s="99"/>
      <c r="P206" s="99"/>
      <c r="AU206" s="81"/>
      <c r="AV206" s="99"/>
      <c r="AW206" s="99"/>
    </row>
    <row r="207" spans="1:49" x14ac:dyDescent="0.25">
      <c r="A207" s="14"/>
      <c r="B207" s="14"/>
      <c r="C207" s="14"/>
      <c r="D207" s="92"/>
      <c r="E207" s="14"/>
      <c r="F207" s="14"/>
      <c r="G207" s="14"/>
      <c r="H207" s="14"/>
      <c r="I207" s="67"/>
      <c r="J207" s="14"/>
      <c r="K207" s="14"/>
      <c r="L207" s="14"/>
      <c r="M207" s="14"/>
      <c r="O207" s="99"/>
      <c r="P207" s="99"/>
      <c r="AU207" s="81"/>
      <c r="AV207" s="99"/>
      <c r="AW207" s="99"/>
    </row>
    <row r="208" spans="1:49" x14ac:dyDescent="0.25">
      <c r="A208" s="14"/>
      <c r="B208" s="14"/>
      <c r="C208" s="14"/>
      <c r="D208" s="92"/>
      <c r="E208" s="14"/>
      <c r="F208" s="14"/>
      <c r="G208" s="14"/>
      <c r="H208" s="14"/>
      <c r="I208" s="67"/>
      <c r="J208" s="14"/>
      <c r="K208" s="14"/>
      <c r="L208" s="14"/>
      <c r="M208" s="14"/>
      <c r="O208" s="99"/>
      <c r="P208" s="99"/>
      <c r="AU208" s="81"/>
      <c r="AV208" s="99"/>
      <c r="AW208" s="99"/>
    </row>
    <row r="209" spans="1:49" x14ac:dyDescent="0.25">
      <c r="A209" s="14"/>
      <c r="B209" s="14"/>
      <c r="C209" s="14"/>
      <c r="D209" s="92"/>
      <c r="E209" s="14"/>
      <c r="F209" s="14"/>
      <c r="G209" s="14"/>
      <c r="H209" s="14"/>
      <c r="I209" s="67"/>
      <c r="J209" s="14"/>
      <c r="K209" s="14"/>
      <c r="L209" s="14"/>
      <c r="M209" s="14"/>
      <c r="O209" s="99"/>
      <c r="P209" s="99"/>
      <c r="AU209" s="81"/>
      <c r="AV209" s="99"/>
      <c r="AW209" s="99"/>
    </row>
    <row r="210" spans="1:49" x14ac:dyDescent="0.25">
      <c r="A210" s="14"/>
      <c r="B210" s="14"/>
      <c r="C210" s="14"/>
      <c r="D210" s="92"/>
      <c r="E210" s="14"/>
      <c r="F210" s="14"/>
      <c r="G210" s="14"/>
      <c r="H210" s="14"/>
      <c r="I210" s="67"/>
      <c r="J210" s="14"/>
      <c r="K210" s="14"/>
      <c r="L210" s="14"/>
      <c r="M210" s="14"/>
      <c r="O210" s="99"/>
      <c r="P210" s="99"/>
      <c r="AU210" s="81"/>
      <c r="AV210" s="99"/>
      <c r="AW210" s="99"/>
    </row>
    <row r="211" spans="1:49" x14ac:dyDescent="0.25">
      <c r="A211" s="14"/>
      <c r="B211" s="14"/>
      <c r="C211" s="14"/>
      <c r="D211" s="92"/>
      <c r="E211" s="14"/>
      <c r="F211" s="14"/>
      <c r="G211" s="14"/>
      <c r="H211" s="14"/>
      <c r="I211" s="67"/>
      <c r="J211" s="14"/>
      <c r="K211" s="14"/>
      <c r="L211" s="14"/>
      <c r="M211" s="14"/>
      <c r="O211" s="99"/>
      <c r="P211" s="99"/>
      <c r="AU211" s="81"/>
      <c r="AV211" s="99"/>
      <c r="AW211" s="99"/>
    </row>
    <row r="212" spans="1:49" x14ac:dyDescent="0.25">
      <c r="A212" s="14"/>
      <c r="B212" s="14"/>
      <c r="C212" s="14"/>
      <c r="D212" s="92"/>
      <c r="E212" s="14"/>
      <c r="F212" s="14"/>
      <c r="G212" s="14"/>
      <c r="H212" s="14"/>
      <c r="I212" s="67"/>
      <c r="J212" s="14"/>
      <c r="K212" s="14"/>
      <c r="L212" s="14"/>
      <c r="M212" s="14"/>
      <c r="O212" s="99"/>
      <c r="P212" s="99"/>
      <c r="AU212" s="81"/>
      <c r="AV212" s="99"/>
      <c r="AW212" s="99"/>
    </row>
    <row r="213" spans="1:49" x14ac:dyDescent="0.25">
      <c r="A213" s="14"/>
      <c r="B213" s="14"/>
      <c r="C213" s="14"/>
      <c r="D213" s="92"/>
      <c r="E213" s="14"/>
      <c r="F213" s="14"/>
      <c r="G213" s="14"/>
      <c r="H213" s="14"/>
      <c r="I213" s="67"/>
      <c r="J213" s="14"/>
      <c r="K213" s="14"/>
      <c r="L213" s="14"/>
      <c r="M213" s="14"/>
      <c r="O213" s="99"/>
      <c r="P213" s="99"/>
      <c r="AU213" s="81"/>
      <c r="AV213" s="99"/>
      <c r="AW213" s="99"/>
    </row>
    <row r="214" spans="1:49" x14ac:dyDescent="0.25">
      <c r="A214" s="14"/>
      <c r="B214" s="14"/>
      <c r="C214" s="14"/>
      <c r="D214" s="92"/>
      <c r="E214" s="14"/>
      <c r="F214" s="14"/>
      <c r="G214" s="14"/>
      <c r="H214" s="14"/>
      <c r="I214" s="67"/>
      <c r="J214" s="14"/>
      <c r="K214" s="14"/>
      <c r="L214" s="14"/>
      <c r="M214" s="14"/>
      <c r="O214" s="99"/>
      <c r="P214" s="99"/>
      <c r="AU214" s="81"/>
      <c r="AV214" s="99"/>
      <c r="AW214" s="99"/>
    </row>
    <row r="215" spans="1:49" x14ac:dyDescent="0.25">
      <c r="A215" s="14"/>
      <c r="B215" s="14"/>
      <c r="C215" s="14"/>
      <c r="D215" s="92"/>
      <c r="E215" s="14"/>
      <c r="F215" s="14"/>
      <c r="G215" s="14"/>
      <c r="H215" s="14"/>
      <c r="I215" s="67"/>
      <c r="J215" s="14"/>
      <c r="K215" s="14"/>
      <c r="L215" s="14"/>
      <c r="M215" s="14"/>
      <c r="O215" s="99"/>
      <c r="P215" s="99"/>
      <c r="AU215" s="81"/>
      <c r="AV215" s="99"/>
      <c r="AW215" s="99"/>
    </row>
    <row r="216" spans="1:49" x14ac:dyDescent="0.25">
      <c r="A216" s="14"/>
      <c r="B216" s="14"/>
      <c r="C216" s="14"/>
      <c r="D216" s="92"/>
      <c r="E216" s="14"/>
      <c r="F216" s="14"/>
      <c r="G216" s="14"/>
      <c r="H216" s="14"/>
      <c r="I216" s="67"/>
      <c r="J216" s="14"/>
      <c r="K216" s="14"/>
      <c r="L216" s="14"/>
      <c r="M216" s="14"/>
      <c r="O216" s="99"/>
      <c r="P216" s="99"/>
      <c r="AU216" s="81"/>
      <c r="AV216" s="99"/>
      <c r="AW216" s="99"/>
    </row>
    <row r="217" spans="1:49" x14ac:dyDescent="0.25">
      <c r="A217" s="14"/>
      <c r="B217" s="14"/>
      <c r="C217" s="14"/>
      <c r="D217" s="92"/>
      <c r="E217" s="14"/>
      <c r="F217" s="14"/>
      <c r="G217" s="14"/>
      <c r="H217" s="14"/>
      <c r="I217" s="67"/>
      <c r="J217" s="14"/>
      <c r="K217" s="14"/>
      <c r="L217" s="14"/>
      <c r="M217" s="14"/>
      <c r="O217" s="99"/>
      <c r="P217" s="99"/>
      <c r="AU217" s="81"/>
      <c r="AV217" s="99"/>
      <c r="AW217" s="99"/>
    </row>
    <row r="218" spans="1:49" x14ac:dyDescent="0.25">
      <c r="A218" s="14"/>
      <c r="B218" s="14"/>
      <c r="C218" s="14"/>
      <c r="D218" s="92"/>
      <c r="E218" s="14"/>
      <c r="F218" s="14"/>
      <c r="G218" s="14"/>
      <c r="H218" s="14"/>
      <c r="I218" s="67"/>
      <c r="J218" s="14"/>
      <c r="K218" s="14"/>
      <c r="L218" s="14"/>
      <c r="M218" s="14"/>
      <c r="O218" s="99"/>
      <c r="P218" s="99"/>
      <c r="AU218" s="81"/>
      <c r="AV218" s="99"/>
      <c r="AW218" s="99"/>
    </row>
    <row r="219" spans="1:49" x14ac:dyDescent="0.25">
      <c r="A219" s="14"/>
      <c r="B219" s="14"/>
      <c r="C219" s="14"/>
      <c r="D219" s="92"/>
      <c r="E219" s="14"/>
      <c r="F219" s="14"/>
      <c r="G219" s="14"/>
      <c r="H219" s="14"/>
      <c r="I219" s="67"/>
      <c r="J219" s="14"/>
      <c r="K219" s="14"/>
      <c r="L219" s="14"/>
      <c r="M219" s="14"/>
      <c r="O219" s="99"/>
      <c r="P219" s="99"/>
      <c r="AU219" s="81"/>
      <c r="AV219" s="99"/>
      <c r="AW219" s="99"/>
    </row>
    <row r="220" spans="1:49" x14ac:dyDescent="0.25">
      <c r="A220" s="14"/>
      <c r="B220" s="14"/>
      <c r="C220" s="14"/>
      <c r="D220" s="92"/>
      <c r="E220" s="14"/>
      <c r="F220" s="14"/>
      <c r="G220" s="14"/>
      <c r="H220" s="14"/>
      <c r="I220" s="67"/>
      <c r="J220" s="14"/>
      <c r="K220" s="14"/>
      <c r="L220" s="14"/>
      <c r="M220" s="14"/>
      <c r="O220" s="99"/>
      <c r="P220" s="99"/>
      <c r="AU220" s="81"/>
      <c r="AV220" s="99"/>
      <c r="AW220" s="99"/>
    </row>
    <row r="221" spans="1:49" x14ac:dyDescent="0.25">
      <c r="A221" s="14"/>
      <c r="B221" s="14"/>
      <c r="C221" s="14"/>
      <c r="D221" s="92"/>
      <c r="E221" s="14"/>
      <c r="F221" s="14"/>
      <c r="G221" s="14"/>
      <c r="H221" s="14"/>
      <c r="I221" s="67"/>
      <c r="J221" s="14"/>
      <c r="K221" s="14"/>
      <c r="L221" s="14"/>
      <c r="M221" s="14"/>
      <c r="O221" s="99"/>
      <c r="P221" s="99"/>
      <c r="AU221" s="81"/>
      <c r="AV221" s="99"/>
      <c r="AW221" s="99"/>
    </row>
    <row r="222" spans="1:49" x14ac:dyDescent="0.25">
      <c r="A222" s="14"/>
      <c r="B222" s="14"/>
      <c r="C222" s="14"/>
      <c r="D222" s="92"/>
      <c r="E222" s="14"/>
      <c r="F222" s="14"/>
      <c r="G222" s="14"/>
      <c r="H222" s="14"/>
      <c r="I222" s="67"/>
      <c r="J222" s="14"/>
      <c r="K222" s="14"/>
      <c r="L222" s="14"/>
      <c r="M222" s="14"/>
      <c r="O222" s="99"/>
      <c r="P222" s="99"/>
      <c r="AU222" s="81"/>
      <c r="AV222" s="99"/>
      <c r="AW222" s="99"/>
    </row>
    <row r="223" spans="1:49" x14ac:dyDescent="0.25">
      <c r="A223" s="14"/>
      <c r="B223" s="14"/>
      <c r="C223" s="14"/>
      <c r="D223" s="92"/>
      <c r="E223" s="14"/>
      <c r="F223" s="14"/>
      <c r="G223" s="14"/>
      <c r="H223" s="14"/>
      <c r="I223" s="67"/>
      <c r="J223" s="14"/>
      <c r="K223" s="14"/>
      <c r="L223" s="14"/>
      <c r="M223" s="14"/>
      <c r="O223" s="99"/>
      <c r="P223" s="99"/>
      <c r="AU223" s="81"/>
      <c r="AV223" s="99"/>
      <c r="AW223" s="99"/>
    </row>
    <row r="224" spans="1:49" x14ac:dyDescent="0.25">
      <c r="A224" s="14"/>
      <c r="B224" s="14"/>
      <c r="C224" s="14"/>
      <c r="D224" s="92"/>
      <c r="E224" s="14"/>
      <c r="F224" s="14"/>
      <c r="G224" s="14"/>
      <c r="H224" s="14"/>
      <c r="I224" s="67"/>
      <c r="J224" s="14"/>
      <c r="K224" s="14"/>
      <c r="L224" s="14"/>
      <c r="M224" s="14"/>
      <c r="O224" s="99"/>
      <c r="P224" s="99"/>
      <c r="AU224" s="81"/>
      <c r="AV224" s="99"/>
      <c r="AW224" s="99"/>
    </row>
    <row r="225" spans="1:49" x14ac:dyDescent="0.25">
      <c r="A225" s="14"/>
      <c r="B225" s="14"/>
      <c r="C225" s="14"/>
      <c r="D225" s="92"/>
      <c r="E225" s="14"/>
      <c r="F225" s="14"/>
      <c r="G225" s="14"/>
      <c r="H225" s="14"/>
      <c r="I225" s="67"/>
      <c r="J225" s="14"/>
      <c r="K225" s="14"/>
      <c r="L225" s="14"/>
      <c r="M225" s="14"/>
      <c r="O225" s="99"/>
      <c r="P225" s="99"/>
      <c r="AU225" s="81"/>
      <c r="AV225" s="99"/>
      <c r="AW225" s="99"/>
    </row>
    <row r="226" spans="1:49" x14ac:dyDescent="0.25">
      <c r="A226" s="14"/>
      <c r="B226" s="14"/>
      <c r="C226" s="14"/>
      <c r="D226" s="92"/>
      <c r="E226" s="14"/>
      <c r="F226" s="14"/>
      <c r="G226" s="14"/>
      <c r="H226" s="14"/>
      <c r="I226" s="67"/>
      <c r="J226" s="14"/>
      <c r="K226" s="14"/>
      <c r="L226" s="14"/>
      <c r="M226" s="14"/>
      <c r="O226" s="99"/>
      <c r="P226" s="99"/>
      <c r="AU226" s="81"/>
      <c r="AV226" s="99"/>
      <c r="AW226" s="99"/>
    </row>
    <row r="227" spans="1:49" x14ac:dyDescent="0.25">
      <c r="A227" s="14"/>
      <c r="B227" s="14"/>
      <c r="C227" s="14"/>
      <c r="D227" s="92"/>
      <c r="E227" s="14"/>
      <c r="F227" s="14"/>
      <c r="G227" s="14"/>
      <c r="H227" s="14"/>
      <c r="I227" s="67"/>
      <c r="J227" s="14"/>
      <c r="K227" s="14"/>
      <c r="L227" s="14"/>
      <c r="M227" s="14"/>
      <c r="O227" s="99"/>
      <c r="P227" s="99"/>
      <c r="AU227" s="81"/>
      <c r="AV227" s="99"/>
      <c r="AW227" s="99"/>
    </row>
    <row r="228" spans="1:49" x14ac:dyDescent="0.25">
      <c r="A228" s="14"/>
      <c r="B228" s="14"/>
      <c r="C228" s="14"/>
      <c r="D228" s="92"/>
      <c r="E228" s="14"/>
      <c r="F228" s="14"/>
      <c r="G228" s="14"/>
      <c r="H228" s="14"/>
      <c r="I228" s="67"/>
      <c r="J228" s="14"/>
      <c r="K228" s="14"/>
      <c r="L228" s="14"/>
      <c r="M228" s="14"/>
      <c r="O228" s="99"/>
      <c r="P228" s="99"/>
      <c r="AU228" s="81"/>
      <c r="AV228" s="99"/>
      <c r="AW228" s="99"/>
    </row>
    <row r="229" spans="1:49" x14ac:dyDescent="0.25">
      <c r="A229" s="14"/>
      <c r="B229" s="14"/>
      <c r="C229" s="14"/>
      <c r="D229" s="92"/>
      <c r="E229" s="14"/>
      <c r="F229" s="14"/>
      <c r="G229" s="14"/>
      <c r="H229" s="14"/>
      <c r="I229" s="67"/>
      <c r="J229" s="14"/>
      <c r="K229" s="14"/>
      <c r="L229" s="14"/>
      <c r="M229" s="14"/>
      <c r="O229" s="99"/>
      <c r="P229" s="99"/>
      <c r="AU229" s="81"/>
      <c r="AV229" s="99"/>
      <c r="AW229" s="99"/>
    </row>
    <row r="230" spans="1:49" x14ac:dyDescent="0.25">
      <c r="A230" s="14"/>
      <c r="B230" s="14"/>
      <c r="C230" s="14"/>
      <c r="D230" s="92"/>
      <c r="E230" s="14"/>
      <c r="F230" s="14"/>
      <c r="G230" s="14"/>
      <c r="H230" s="14"/>
      <c r="I230" s="67"/>
      <c r="J230" s="14"/>
      <c r="K230" s="14"/>
      <c r="L230" s="14"/>
      <c r="M230" s="14"/>
      <c r="O230" s="99"/>
      <c r="P230" s="99"/>
      <c r="AU230" s="81"/>
      <c r="AV230" s="99"/>
      <c r="AW230" s="99"/>
    </row>
    <row r="231" spans="1:49" x14ac:dyDescent="0.25">
      <c r="A231" s="14"/>
      <c r="B231" s="14"/>
      <c r="C231" s="14"/>
      <c r="D231" s="92"/>
      <c r="E231" s="14"/>
      <c r="F231" s="14"/>
      <c r="G231" s="14"/>
      <c r="H231" s="14"/>
      <c r="I231" s="67"/>
      <c r="J231" s="14"/>
      <c r="K231" s="14"/>
      <c r="L231" s="14"/>
      <c r="M231" s="14"/>
      <c r="O231" s="99"/>
      <c r="P231" s="99"/>
      <c r="AU231" s="81"/>
      <c r="AV231" s="99"/>
      <c r="AW231" s="99"/>
    </row>
    <row r="232" spans="1:49" x14ac:dyDescent="0.25">
      <c r="A232" s="14"/>
      <c r="B232" s="14"/>
      <c r="C232" s="14"/>
      <c r="D232" s="92"/>
      <c r="E232" s="14"/>
      <c r="F232" s="14"/>
      <c r="G232" s="14"/>
      <c r="H232" s="14"/>
      <c r="I232" s="67"/>
      <c r="J232" s="14"/>
      <c r="K232" s="14"/>
      <c r="L232" s="14"/>
      <c r="M232" s="14"/>
      <c r="O232" s="99"/>
      <c r="P232" s="99"/>
      <c r="AU232" s="81"/>
      <c r="AV232" s="99"/>
      <c r="AW232" s="99"/>
    </row>
    <row r="233" spans="1:49" x14ac:dyDescent="0.25">
      <c r="A233" s="14"/>
      <c r="B233" s="14"/>
      <c r="C233" s="14"/>
      <c r="D233" s="92"/>
      <c r="E233" s="14"/>
      <c r="F233" s="14"/>
      <c r="G233" s="14"/>
      <c r="H233" s="14"/>
      <c r="I233" s="67"/>
      <c r="J233" s="14"/>
      <c r="K233" s="14"/>
      <c r="L233" s="14"/>
      <c r="M233" s="14"/>
      <c r="O233" s="99"/>
      <c r="P233" s="99"/>
      <c r="AU233" s="81"/>
      <c r="AV233" s="99"/>
      <c r="AW233" s="99"/>
    </row>
    <row r="234" spans="1:49" x14ac:dyDescent="0.25">
      <c r="A234" s="14"/>
      <c r="B234" s="14"/>
      <c r="C234" s="14"/>
      <c r="D234" s="92"/>
      <c r="E234" s="14"/>
      <c r="F234" s="14"/>
      <c r="G234" s="14"/>
      <c r="H234" s="14"/>
      <c r="I234" s="67"/>
      <c r="J234" s="14"/>
      <c r="K234" s="14"/>
      <c r="L234" s="14"/>
      <c r="M234" s="14"/>
      <c r="O234" s="99"/>
      <c r="P234" s="99"/>
      <c r="AU234" s="81"/>
      <c r="AV234" s="99"/>
      <c r="AW234" s="99"/>
    </row>
    <row r="235" spans="1:49" x14ac:dyDescent="0.25">
      <c r="A235" s="14"/>
      <c r="B235" s="14"/>
      <c r="C235" s="14"/>
      <c r="D235" s="92"/>
      <c r="E235" s="14"/>
      <c r="F235" s="14"/>
      <c r="G235" s="14"/>
      <c r="H235" s="14"/>
      <c r="I235" s="67"/>
      <c r="J235" s="14"/>
      <c r="K235" s="14"/>
      <c r="L235" s="14"/>
      <c r="M235" s="14"/>
      <c r="O235" s="99"/>
      <c r="P235" s="99"/>
      <c r="AU235" s="81"/>
      <c r="AV235" s="99"/>
      <c r="AW235" s="99"/>
    </row>
    <row r="236" spans="1:49" x14ac:dyDescent="0.25">
      <c r="A236" s="14"/>
      <c r="B236" s="14"/>
      <c r="C236" s="14"/>
      <c r="D236" s="92"/>
      <c r="E236" s="14"/>
      <c r="F236" s="14"/>
      <c r="G236" s="14"/>
      <c r="H236" s="14"/>
      <c r="I236" s="67"/>
      <c r="J236" s="14"/>
      <c r="K236" s="14"/>
      <c r="L236" s="14"/>
      <c r="M236" s="14"/>
      <c r="O236" s="99"/>
      <c r="P236" s="99"/>
      <c r="AU236" s="81"/>
      <c r="AV236" s="99"/>
      <c r="AW236" s="99"/>
    </row>
    <row r="237" spans="1:49" x14ac:dyDescent="0.25">
      <c r="A237" s="14"/>
      <c r="B237" s="14"/>
      <c r="C237" s="14"/>
      <c r="D237" s="92"/>
      <c r="E237" s="14"/>
      <c r="F237" s="14"/>
      <c r="G237" s="14"/>
      <c r="H237" s="14"/>
      <c r="I237" s="67"/>
      <c r="J237" s="14"/>
      <c r="K237" s="14"/>
      <c r="L237" s="14"/>
      <c r="M237" s="14"/>
      <c r="O237" s="99"/>
      <c r="P237" s="99"/>
      <c r="AU237" s="81"/>
      <c r="AV237" s="99"/>
      <c r="AW237" s="99"/>
    </row>
    <row r="238" spans="1:49" x14ac:dyDescent="0.25">
      <c r="A238" s="14"/>
      <c r="B238" s="14"/>
      <c r="C238" s="14"/>
      <c r="D238" s="92"/>
      <c r="E238" s="14"/>
      <c r="F238" s="14"/>
      <c r="G238" s="14"/>
      <c r="H238" s="14"/>
      <c r="I238" s="67"/>
      <c r="J238" s="14"/>
      <c r="K238" s="14"/>
      <c r="L238" s="14"/>
      <c r="M238" s="14"/>
      <c r="O238" s="99"/>
      <c r="P238" s="99"/>
      <c r="AU238" s="81"/>
      <c r="AV238" s="99"/>
      <c r="AW238" s="99"/>
    </row>
    <row r="239" spans="1:49" x14ac:dyDescent="0.25">
      <c r="A239" s="14"/>
      <c r="B239" s="14"/>
      <c r="C239" s="14"/>
      <c r="D239" s="92"/>
      <c r="E239" s="14"/>
      <c r="F239" s="14"/>
      <c r="G239" s="14"/>
      <c r="H239" s="14"/>
      <c r="I239" s="67"/>
      <c r="J239" s="14"/>
      <c r="K239" s="14"/>
      <c r="L239" s="14"/>
      <c r="M239" s="14"/>
      <c r="O239" s="99"/>
      <c r="P239" s="99"/>
      <c r="AU239" s="81"/>
      <c r="AV239" s="99"/>
      <c r="AW239" s="99"/>
    </row>
    <row r="240" spans="1:49" x14ac:dyDescent="0.25">
      <c r="A240" s="14"/>
      <c r="B240" s="14"/>
      <c r="C240" s="14"/>
      <c r="D240" s="92"/>
      <c r="E240" s="14"/>
      <c r="F240" s="14"/>
      <c r="G240" s="14"/>
      <c r="H240" s="14"/>
      <c r="I240" s="67"/>
      <c r="J240" s="14"/>
      <c r="K240" s="14"/>
      <c r="L240" s="14"/>
      <c r="M240" s="14"/>
      <c r="O240" s="99"/>
      <c r="P240" s="99"/>
      <c r="AU240" s="81"/>
      <c r="AV240" s="99"/>
      <c r="AW240" s="99"/>
    </row>
    <row r="241" spans="1:49" x14ac:dyDescent="0.25">
      <c r="A241" s="14"/>
      <c r="B241" s="14"/>
      <c r="C241" s="14"/>
      <c r="D241" s="92"/>
      <c r="E241" s="14"/>
      <c r="F241" s="14"/>
      <c r="G241" s="14"/>
      <c r="H241" s="14"/>
      <c r="I241" s="67"/>
      <c r="J241" s="14"/>
      <c r="K241" s="14"/>
      <c r="L241" s="14"/>
      <c r="M241" s="14"/>
      <c r="O241" s="99"/>
      <c r="P241" s="99"/>
      <c r="AU241" s="81"/>
      <c r="AV241" s="99"/>
      <c r="AW241" s="99"/>
    </row>
    <row r="242" spans="1:49" x14ac:dyDescent="0.25">
      <c r="A242" s="14"/>
      <c r="B242" s="14"/>
      <c r="C242" s="14"/>
      <c r="D242" s="92"/>
      <c r="E242" s="14"/>
      <c r="F242" s="14"/>
      <c r="G242" s="14"/>
      <c r="H242" s="14"/>
      <c r="I242" s="67"/>
      <c r="J242" s="14"/>
      <c r="K242" s="14"/>
      <c r="L242" s="14"/>
      <c r="M242" s="14"/>
      <c r="O242" s="99"/>
      <c r="P242" s="99"/>
      <c r="AU242" s="81"/>
      <c r="AV242" s="99"/>
      <c r="AW242" s="99"/>
    </row>
    <row r="243" spans="1:49" x14ac:dyDescent="0.25">
      <c r="A243" s="14"/>
      <c r="B243" s="14"/>
      <c r="C243" s="14"/>
      <c r="D243" s="92"/>
      <c r="E243" s="14"/>
      <c r="F243" s="14"/>
      <c r="G243" s="14"/>
      <c r="H243" s="14"/>
      <c r="I243" s="67"/>
      <c r="J243" s="14"/>
      <c r="K243" s="14"/>
      <c r="L243" s="14"/>
      <c r="M243" s="14"/>
      <c r="O243" s="99"/>
      <c r="P243" s="99"/>
      <c r="AU243" s="81"/>
      <c r="AV243" s="99"/>
      <c r="AW243" s="99"/>
    </row>
    <row r="244" spans="1:49" x14ac:dyDescent="0.25">
      <c r="A244" s="14"/>
      <c r="B244" s="14"/>
      <c r="C244" s="14"/>
      <c r="D244" s="92"/>
      <c r="E244" s="14"/>
      <c r="F244" s="14"/>
      <c r="G244" s="14"/>
      <c r="H244" s="14"/>
      <c r="I244" s="67"/>
      <c r="J244" s="14"/>
      <c r="K244" s="14"/>
      <c r="L244" s="14"/>
      <c r="M244" s="14"/>
      <c r="O244" s="99"/>
      <c r="P244" s="99"/>
      <c r="AU244" s="81"/>
      <c r="AV244" s="99"/>
      <c r="AW244" s="99"/>
    </row>
    <row r="245" spans="1:49" x14ac:dyDescent="0.25">
      <c r="A245" s="14"/>
      <c r="B245" s="14"/>
      <c r="C245" s="14"/>
      <c r="D245" s="92"/>
      <c r="E245" s="14"/>
      <c r="F245" s="14"/>
      <c r="G245" s="14"/>
      <c r="H245" s="14"/>
      <c r="I245" s="67"/>
      <c r="J245" s="14"/>
      <c r="K245" s="14"/>
      <c r="L245" s="14"/>
      <c r="M245" s="14"/>
      <c r="O245" s="99"/>
      <c r="P245" s="99"/>
      <c r="AU245" s="81"/>
      <c r="AV245" s="99"/>
      <c r="AW245" s="99"/>
    </row>
    <row r="246" spans="1:49" x14ac:dyDescent="0.25">
      <c r="A246" s="14"/>
      <c r="B246" s="14"/>
      <c r="C246" s="14"/>
      <c r="D246" s="92"/>
      <c r="E246" s="14"/>
      <c r="F246" s="14"/>
      <c r="G246" s="14"/>
      <c r="H246" s="14"/>
      <c r="I246" s="67"/>
      <c r="J246" s="14"/>
      <c r="K246" s="14"/>
      <c r="L246" s="14"/>
      <c r="M246" s="14"/>
      <c r="O246" s="99"/>
      <c r="P246" s="99"/>
      <c r="AU246" s="81"/>
      <c r="AV246" s="99"/>
      <c r="AW246" s="99"/>
    </row>
    <row r="247" spans="1:49" x14ac:dyDescent="0.25">
      <c r="A247" s="14"/>
      <c r="B247" s="14"/>
      <c r="C247" s="14"/>
      <c r="D247" s="92"/>
      <c r="E247" s="14"/>
      <c r="F247" s="14"/>
      <c r="G247" s="14"/>
      <c r="H247" s="14"/>
      <c r="I247" s="67"/>
      <c r="J247" s="14"/>
      <c r="K247" s="14"/>
      <c r="L247" s="14"/>
      <c r="M247" s="14"/>
      <c r="O247" s="99"/>
      <c r="P247" s="99"/>
      <c r="AU247" s="81"/>
      <c r="AV247" s="99"/>
      <c r="AW247" s="99"/>
    </row>
    <row r="248" spans="1:49" x14ac:dyDescent="0.25">
      <c r="A248" s="14"/>
      <c r="B248" s="14"/>
      <c r="C248" s="14"/>
      <c r="D248" s="92"/>
      <c r="E248" s="14"/>
      <c r="F248" s="14"/>
      <c r="G248" s="14"/>
      <c r="H248" s="14"/>
      <c r="I248" s="67"/>
      <c r="J248" s="14"/>
      <c r="K248" s="14"/>
      <c r="L248" s="14"/>
      <c r="M248" s="14"/>
      <c r="O248" s="99"/>
      <c r="P248" s="99"/>
      <c r="AU248" s="81"/>
      <c r="AV248" s="99"/>
      <c r="AW248" s="99"/>
    </row>
    <row r="249" spans="1:49" x14ac:dyDescent="0.25">
      <c r="A249" s="14"/>
      <c r="B249" s="14"/>
      <c r="C249" s="14"/>
      <c r="D249" s="92"/>
      <c r="E249" s="14"/>
      <c r="F249" s="14"/>
      <c r="G249" s="14"/>
      <c r="H249" s="14"/>
      <c r="I249" s="67"/>
      <c r="J249" s="14"/>
      <c r="K249" s="14"/>
      <c r="L249" s="14"/>
      <c r="M249" s="14"/>
      <c r="O249" s="99"/>
      <c r="P249" s="99"/>
      <c r="AU249" s="81"/>
      <c r="AV249" s="99"/>
      <c r="AW249" s="99"/>
    </row>
    <row r="250" spans="1:49" x14ac:dyDescent="0.25">
      <c r="A250" s="14"/>
      <c r="B250" s="14"/>
      <c r="C250" s="14"/>
      <c r="D250" s="92"/>
      <c r="E250" s="14"/>
      <c r="F250" s="14"/>
      <c r="G250" s="14"/>
      <c r="H250" s="14"/>
      <c r="I250" s="67"/>
      <c r="J250" s="14"/>
      <c r="K250" s="14"/>
      <c r="L250" s="14"/>
      <c r="M250" s="14"/>
      <c r="O250" s="99"/>
      <c r="P250" s="99"/>
      <c r="AU250" s="81"/>
      <c r="AV250" s="99"/>
      <c r="AW250" s="99"/>
    </row>
    <row r="251" spans="1:49" x14ac:dyDescent="0.25">
      <c r="A251" s="14"/>
      <c r="B251" s="14"/>
      <c r="C251" s="14"/>
      <c r="D251" s="92"/>
      <c r="E251" s="14"/>
      <c r="F251" s="14"/>
      <c r="G251" s="14"/>
      <c r="H251" s="14"/>
      <c r="I251" s="67"/>
      <c r="J251" s="14"/>
      <c r="K251" s="14"/>
      <c r="L251" s="14"/>
      <c r="M251" s="14"/>
      <c r="O251" s="99"/>
      <c r="P251" s="99"/>
      <c r="AU251" s="81"/>
      <c r="AV251" s="99"/>
      <c r="AW251" s="99"/>
    </row>
    <row r="252" spans="1:49" x14ac:dyDescent="0.25">
      <c r="A252" s="14"/>
      <c r="B252" s="14"/>
      <c r="C252" s="14"/>
      <c r="D252" s="92"/>
      <c r="E252" s="14"/>
      <c r="F252" s="14"/>
      <c r="G252" s="14"/>
      <c r="H252" s="14"/>
      <c r="I252" s="67"/>
      <c r="J252" s="14"/>
      <c r="K252" s="14"/>
      <c r="L252" s="14"/>
      <c r="M252" s="14"/>
      <c r="O252" s="99"/>
      <c r="P252" s="99"/>
      <c r="AU252" s="81"/>
      <c r="AV252" s="99"/>
      <c r="AW252" s="99"/>
    </row>
    <row r="253" spans="1:49" x14ac:dyDescent="0.25">
      <c r="A253" s="14"/>
      <c r="B253" s="14"/>
      <c r="C253" s="14"/>
      <c r="D253" s="92"/>
      <c r="E253" s="14"/>
      <c r="F253" s="14"/>
      <c r="G253" s="14"/>
      <c r="H253" s="14"/>
      <c r="I253" s="67"/>
      <c r="J253" s="14"/>
      <c r="K253" s="14"/>
      <c r="L253" s="14"/>
      <c r="M253" s="14"/>
      <c r="O253" s="99"/>
      <c r="P253" s="99"/>
      <c r="AU253" s="81"/>
      <c r="AV253" s="99"/>
      <c r="AW253" s="99"/>
    </row>
    <row r="254" spans="1:49" x14ac:dyDescent="0.25">
      <c r="A254" s="14"/>
      <c r="B254" s="14"/>
      <c r="C254" s="14"/>
      <c r="D254" s="92"/>
      <c r="E254" s="14"/>
      <c r="F254" s="14"/>
      <c r="G254" s="14"/>
      <c r="H254" s="14"/>
      <c r="I254" s="67"/>
      <c r="J254" s="14"/>
      <c r="K254" s="14"/>
      <c r="L254" s="14"/>
      <c r="M254" s="14"/>
      <c r="O254" s="99"/>
      <c r="P254" s="99"/>
      <c r="AU254" s="81"/>
      <c r="AV254" s="99"/>
      <c r="AW254" s="99"/>
    </row>
    <row r="255" spans="1:49" x14ac:dyDescent="0.25">
      <c r="A255" s="14"/>
      <c r="B255" s="14"/>
      <c r="C255" s="14"/>
      <c r="D255" s="92"/>
      <c r="E255" s="14"/>
      <c r="F255" s="14"/>
      <c r="G255" s="14"/>
      <c r="H255" s="14"/>
      <c r="I255" s="67"/>
      <c r="J255" s="14"/>
      <c r="K255" s="14"/>
      <c r="L255" s="14"/>
      <c r="M255" s="14"/>
      <c r="O255" s="99"/>
      <c r="P255" s="99"/>
      <c r="AU255" s="81"/>
      <c r="AV255" s="99"/>
      <c r="AW255" s="99"/>
    </row>
    <row r="256" spans="1:49" x14ac:dyDescent="0.25">
      <c r="A256" s="14"/>
      <c r="B256" s="14"/>
      <c r="C256" s="14"/>
      <c r="D256" s="92"/>
      <c r="E256" s="14"/>
      <c r="F256" s="14"/>
      <c r="G256" s="14"/>
      <c r="H256" s="14"/>
      <c r="I256" s="67"/>
      <c r="J256" s="14"/>
      <c r="K256" s="14"/>
      <c r="L256" s="14"/>
      <c r="M256" s="14"/>
      <c r="O256" s="99"/>
      <c r="P256" s="99"/>
      <c r="AU256" s="81"/>
      <c r="AV256" s="99"/>
      <c r="AW256" s="99"/>
    </row>
    <row r="257" spans="1:49" x14ac:dyDescent="0.25">
      <c r="A257" s="14"/>
      <c r="B257" s="14"/>
      <c r="C257" s="14"/>
      <c r="D257" s="92"/>
      <c r="E257" s="14"/>
      <c r="F257" s="14"/>
      <c r="G257" s="14"/>
      <c r="H257" s="14"/>
      <c r="I257" s="67"/>
      <c r="J257" s="14"/>
      <c r="K257" s="14"/>
      <c r="L257" s="14"/>
      <c r="M257" s="14"/>
      <c r="O257" s="99"/>
      <c r="P257" s="99"/>
      <c r="AU257" s="81"/>
      <c r="AV257" s="99"/>
      <c r="AW257" s="99"/>
    </row>
    <row r="258" spans="1:49" x14ac:dyDescent="0.25">
      <c r="A258" s="14"/>
      <c r="B258" s="14"/>
      <c r="C258" s="14"/>
      <c r="D258" s="92"/>
      <c r="E258" s="14"/>
      <c r="F258" s="14"/>
      <c r="G258" s="14"/>
      <c r="H258" s="14"/>
      <c r="I258" s="67"/>
      <c r="J258" s="14"/>
      <c r="K258" s="14"/>
      <c r="L258" s="14"/>
      <c r="M258" s="14"/>
      <c r="O258" s="99"/>
      <c r="P258" s="99"/>
      <c r="AU258" s="81"/>
      <c r="AV258" s="99"/>
      <c r="AW258" s="99"/>
    </row>
    <row r="259" spans="1:49" x14ac:dyDescent="0.25">
      <c r="A259" s="14"/>
      <c r="B259" s="14"/>
      <c r="C259" s="14"/>
      <c r="D259" s="92"/>
      <c r="E259" s="14"/>
      <c r="F259" s="14"/>
      <c r="G259" s="14"/>
      <c r="H259" s="14"/>
      <c r="I259" s="67"/>
      <c r="J259" s="14"/>
      <c r="K259" s="14"/>
      <c r="L259" s="14"/>
      <c r="M259" s="14"/>
      <c r="O259" s="99"/>
      <c r="P259" s="99"/>
      <c r="AU259" s="81"/>
      <c r="AV259" s="99"/>
      <c r="AW259" s="99"/>
    </row>
    <row r="260" spans="1:49" x14ac:dyDescent="0.25">
      <c r="A260" s="14"/>
      <c r="B260" s="14"/>
      <c r="C260" s="14"/>
      <c r="D260" s="92"/>
      <c r="E260" s="14"/>
      <c r="F260" s="14"/>
      <c r="G260" s="14"/>
      <c r="H260" s="14"/>
      <c r="I260" s="67"/>
      <c r="J260" s="14"/>
      <c r="K260" s="14"/>
      <c r="L260" s="14"/>
      <c r="M260" s="14"/>
      <c r="O260" s="99"/>
      <c r="P260" s="99"/>
      <c r="AU260" s="81"/>
      <c r="AV260" s="99"/>
      <c r="AW260" s="99"/>
    </row>
    <row r="261" spans="1:49" x14ac:dyDescent="0.25">
      <c r="A261" s="14"/>
      <c r="B261" s="14"/>
      <c r="C261" s="14"/>
      <c r="D261" s="92"/>
      <c r="E261" s="14"/>
      <c r="F261" s="14"/>
      <c r="G261" s="14"/>
      <c r="H261" s="14"/>
      <c r="I261" s="67"/>
      <c r="J261" s="14"/>
      <c r="K261" s="14"/>
      <c r="L261" s="14"/>
      <c r="M261" s="14"/>
      <c r="O261" s="99"/>
      <c r="P261" s="99"/>
      <c r="AU261" s="81"/>
      <c r="AV261" s="99"/>
      <c r="AW261" s="99"/>
    </row>
    <row r="262" spans="1:49" x14ac:dyDescent="0.25">
      <c r="A262" s="14"/>
      <c r="B262" s="14"/>
      <c r="C262" s="14"/>
      <c r="D262" s="92"/>
      <c r="E262" s="14"/>
      <c r="F262" s="14"/>
      <c r="G262" s="14"/>
      <c r="H262" s="14"/>
      <c r="I262" s="67"/>
      <c r="J262" s="14"/>
      <c r="K262" s="14"/>
      <c r="L262" s="14"/>
      <c r="M262" s="14"/>
      <c r="O262" s="99"/>
      <c r="P262" s="99"/>
      <c r="AU262" s="81"/>
      <c r="AV262" s="99"/>
      <c r="AW262" s="99"/>
    </row>
    <row r="263" spans="1:49" x14ac:dyDescent="0.25">
      <c r="A263" s="14"/>
      <c r="B263" s="14"/>
      <c r="C263" s="14"/>
      <c r="D263" s="92"/>
      <c r="E263" s="14"/>
      <c r="F263" s="14"/>
      <c r="G263" s="14"/>
      <c r="H263" s="14"/>
      <c r="I263" s="67"/>
      <c r="J263" s="14"/>
      <c r="K263" s="14"/>
      <c r="L263" s="14"/>
      <c r="M263" s="14"/>
      <c r="O263" s="99"/>
      <c r="P263" s="99"/>
      <c r="AU263" s="81"/>
      <c r="AV263" s="99"/>
      <c r="AW263" s="99"/>
    </row>
    <row r="264" spans="1:49" x14ac:dyDescent="0.25">
      <c r="A264" s="14"/>
      <c r="B264" s="14"/>
      <c r="C264" s="14"/>
      <c r="D264" s="92"/>
      <c r="E264" s="14"/>
      <c r="F264" s="14"/>
      <c r="G264" s="14"/>
      <c r="H264" s="14"/>
      <c r="I264" s="67"/>
      <c r="J264" s="14"/>
      <c r="K264" s="14"/>
      <c r="L264" s="14"/>
      <c r="M264" s="14"/>
      <c r="O264" s="99"/>
      <c r="P264" s="99"/>
      <c r="AU264" s="81"/>
      <c r="AV264" s="99"/>
      <c r="AW264" s="99"/>
    </row>
    <row r="265" spans="1:49" x14ac:dyDescent="0.25">
      <c r="A265" s="14"/>
      <c r="B265" s="14"/>
      <c r="C265" s="14"/>
      <c r="D265" s="92"/>
      <c r="E265" s="14"/>
      <c r="F265" s="14"/>
      <c r="G265" s="14"/>
      <c r="H265" s="14"/>
      <c r="I265" s="67"/>
      <c r="J265" s="14"/>
      <c r="K265" s="14"/>
      <c r="L265" s="14"/>
      <c r="M265" s="14"/>
      <c r="O265" s="99"/>
      <c r="P265" s="99"/>
      <c r="AU265" s="81"/>
      <c r="AV265" s="99"/>
      <c r="AW265" s="99"/>
    </row>
    <row r="266" spans="1:49" x14ac:dyDescent="0.25">
      <c r="A266" s="14"/>
      <c r="B266" s="14"/>
      <c r="C266" s="14"/>
      <c r="D266" s="92"/>
      <c r="E266" s="14"/>
      <c r="F266" s="14"/>
      <c r="G266" s="14"/>
      <c r="H266" s="14"/>
      <c r="I266" s="67"/>
      <c r="J266" s="14"/>
      <c r="K266" s="14"/>
      <c r="L266" s="14"/>
      <c r="M266" s="14"/>
      <c r="O266" s="99"/>
      <c r="P266" s="99"/>
      <c r="AU266" s="81"/>
      <c r="AV266" s="99"/>
      <c r="AW266" s="99"/>
    </row>
    <row r="267" spans="1:49" x14ac:dyDescent="0.25">
      <c r="A267" s="14"/>
      <c r="B267" s="14"/>
      <c r="C267" s="14"/>
      <c r="D267" s="92"/>
      <c r="E267" s="14"/>
      <c r="F267" s="14"/>
      <c r="G267" s="14"/>
      <c r="H267" s="14"/>
      <c r="I267" s="67"/>
      <c r="J267" s="14"/>
      <c r="K267" s="14"/>
      <c r="L267" s="14"/>
      <c r="M267" s="14"/>
      <c r="O267" s="99"/>
      <c r="P267" s="99"/>
      <c r="AU267" s="81"/>
      <c r="AV267" s="99"/>
      <c r="AW267" s="99"/>
    </row>
    <row r="268" spans="1:49" x14ac:dyDescent="0.25">
      <c r="A268" s="14"/>
      <c r="B268" s="14"/>
      <c r="C268" s="14"/>
      <c r="D268" s="92"/>
      <c r="E268" s="14"/>
      <c r="F268" s="14"/>
      <c r="G268" s="14"/>
      <c r="H268" s="14"/>
      <c r="I268" s="67"/>
      <c r="J268" s="14"/>
      <c r="K268" s="14"/>
      <c r="L268" s="14"/>
      <c r="M268" s="14"/>
      <c r="O268" s="99"/>
      <c r="P268" s="99"/>
      <c r="AU268" s="81"/>
      <c r="AV268" s="99"/>
      <c r="AW268" s="99"/>
    </row>
    <row r="269" spans="1:49" x14ac:dyDescent="0.25">
      <c r="A269" s="14"/>
      <c r="B269" s="14"/>
      <c r="C269" s="14"/>
      <c r="D269" s="92"/>
      <c r="E269" s="14"/>
      <c r="F269" s="14"/>
      <c r="G269" s="14"/>
      <c r="H269" s="14"/>
      <c r="I269" s="67"/>
      <c r="J269" s="14"/>
      <c r="K269" s="14"/>
      <c r="L269" s="14"/>
      <c r="M269" s="14"/>
      <c r="O269" s="99"/>
      <c r="P269" s="99"/>
      <c r="AU269" s="81"/>
      <c r="AV269" s="99"/>
      <c r="AW269" s="99"/>
    </row>
    <row r="270" spans="1:49" x14ac:dyDescent="0.25">
      <c r="A270" s="14"/>
      <c r="B270" s="14"/>
      <c r="C270" s="14"/>
      <c r="D270" s="92"/>
      <c r="E270" s="14"/>
      <c r="F270" s="14"/>
      <c r="G270" s="14"/>
      <c r="H270" s="14"/>
      <c r="I270" s="67"/>
      <c r="J270" s="14"/>
      <c r="K270" s="14"/>
      <c r="L270" s="14"/>
      <c r="M270" s="14"/>
      <c r="O270" s="99"/>
      <c r="P270" s="99"/>
      <c r="AU270" s="81"/>
      <c r="AV270" s="99"/>
      <c r="AW270" s="99"/>
    </row>
    <row r="271" spans="1:49" x14ac:dyDescent="0.25">
      <c r="A271" s="14"/>
      <c r="B271" s="14"/>
      <c r="C271" s="14"/>
      <c r="D271" s="92"/>
      <c r="E271" s="14"/>
      <c r="F271" s="14"/>
      <c r="G271" s="14"/>
      <c r="H271" s="14"/>
      <c r="I271" s="67"/>
      <c r="J271" s="14"/>
      <c r="K271" s="14"/>
      <c r="L271" s="14"/>
      <c r="M271" s="14"/>
      <c r="O271" s="99"/>
      <c r="P271" s="99"/>
      <c r="AU271" s="81"/>
      <c r="AV271" s="99"/>
      <c r="AW271" s="99"/>
    </row>
    <row r="272" spans="1:49" x14ac:dyDescent="0.25">
      <c r="A272" s="14"/>
      <c r="B272" s="14"/>
      <c r="C272" s="14"/>
      <c r="D272" s="92"/>
      <c r="E272" s="14"/>
      <c r="F272" s="14"/>
      <c r="G272" s="14"/>
      <c r="H272" s="14"/>
      <c r="I272" s="67"/>
      <c r="J272" s="14"/>
      <c r="K272" s="14"/>
      <c r="L272" s="14"/>
      <c r="M272" s="14"/>
      <c r="O272" s="99"/>
      <c r="P272" s="99"/>
      <c r="AU272" s="81"/>
      <c r="AV272" s="99"/>
      <c r="AW272" s="99"/>
    </row>
    <row r="273" spans="1:49" x14ac:dyDescent="0.25">
      <c r="A273" s="14"/>
      <c r="B273" s="14"/>
      <c r="C273" s="14"/>
      <c r="D273" s="92"/>
      <c r="E273" s="14"/>
      <c r="F273" s="14"/>
      <c r="G273" s="14"/>
      <c r="H273" s="14"/>
      <c r="I273" s="67"/>
      <c r="J273" s="14"/>
      <c r="K273" s="14"/>
      <c r="L273" s="14"/>
      <c r="M273" s="14"/>
      <c r="O273" s="99"/>
      <c r="P273" s="99"/>
      <c r="AU273" s="81"/>
      <c r="AV273" s="99"/>
      <c r="AW273" s="99"/>
    </row>
    <row r="274" spans="1:49" x14ac:dyDescent="0.25">
      <c r="A274" s="14"/>
      <c r="B274" s="14"/>
      <c r="C274" s="14"/>
      <c r="D274" s="92"/>
      <c r="E274" s="14"/>
      <c r="F274" s="14"/>
      <c r="G274" s="14"/>
      <c r="H274" s="14"/>
      <c r="I274" s="67"/>
      <c r="J274" s="14"/>
      <c r="K274" s="14"/>
      <c r="L274" s="14"/>
      <c r="M274" s="14"/>
      <c r="O274" s="99"/>
      <c r="P274" s="99"/>
      <c r="AU274" s="81"/>
      <c r="AV274" s="99"/>
      <c r="AW274" s="99"/>
    </row>
    <row r="275" spans="1:49" x14ac:dyDescent="0.25">
      <c r="A275" s="14"/>
      <c r="B275" s="14"/>
      <c r="C275" s="14"/>
      <c r="D275" s="92"/>
      <c r="E275" s="14"/>
      <c r="F275" s="14"/>
      <c r="G275" s="14"/>
      <c r="H275" s="14"/>
      <c r="I275" s="67"/>
      <c r="J275" s="14"/>
      <c r="K275" s="14"/>
      <c r="L275" s="14"/>
      <c r="M275" s="14"/>
      <c r="O275" s="99"/>
      <c r="P275" s="99"/>
      <c r="AU275" s="81"/>
      <c r="AV275" s="99"/>
      <c r="AW275" s="99"/>
    </row>
    <row r="276" spans="1:49" x14ac:dyDescent="0.25">
      <c r="A276" s="14"/>
      <c r="B276" s="14"/>
      <c r="C276" s="14"/>
      <c r="D276" s="92"/>
      <c r="E276" s="14"/>
      <c r="F276" s="14"/>
      <c r="G276" s="14"/>
      <c r="H276" s="14"/>
      <c r="I276" s="67"/>
      <c r="J276" s="14"/>
      <c r="K276" s="14"/>
      <c r="L276" s="14"/>
      <c r="M276" s="14"/>
      <c r="O276" s="99"/>
      <c r="P276" s="99"/>
      <c r="AU276" s="81"/>
      <c r="AV276" s="99"/>
      <c r="AW276" s="99"/>
    </row>
    <row r="277" spans="1:49" x14ac:dyDescent="0.25">
      <c r="A277" s="14"/>
      <c r="B277" s="14"/>
      <c r="C277" s="14"/>
      <c r="D277" s="92"/>
      <c r="E277" s="14"/>
      <c r="F277" s="14"/>
      <c r="G277" s="14"/>
      <c r="H277" s="14"/>
      <c r="I277" s="67"/>
      <c r="J277" s="14"/>
      <c r="K277" s="14"/>
      <c r="L277" s="14"/>
      <c r="M277" s="14"/>
      <c r="O277" s="99"/>
      <c r="P277" s="99"/>
      <c r="AU277" s="81"/>
      <c r="AV277" s="99"/>
      <c r="AW277" s="99"/>
    </row>
    <row r="278" spans="1:49" x14ac:dyDescent="0.25">
      <c r="A278" s="14"/>
      <c r="B278" s="14"/>
      <c r="C278" s="14"/>
      <c r="D278" s="92"/>
      <c r="E278" s="14"/>
      <c r="F278" s="14"/>
      <c r="G278" s="14"/>
      <c r="H278" s="14"/>
      <c r="I278" s="67"/>
      <c r="J278" s="14"/>
      <c r="K278" s="14"/>
      <c r="L278" s="14"/>
      <c r="M278" s="14"/>
      <c r="O278" s="99"/>
      <c r="P278" s="99"/>
      <c r="AU278" s="81"/>
      <c r="AV278" s="99"/>
      <c r="AW278" s="99"/>
    </row>
    <row r="279" spans="1:49" x14ac:dyDescent="0.25">
      <c r="A279" s="14"/>
      <c r="B279" s="14"/>
      <c r="C279" s="14"/>
      <c r="D279" s="92"/>
      <c r="E279" s="14"/>
      <c r="F279" s="14"/>
      <c r="G279" s="14"/>
      <c r="H279" s="14"/>
      <c r="I279" s="67"/>
      <c r="J279" s="14"/>
      <c r="K279" s="14"/>
      <c r="L279" s="14"/>
      <c r="M279" s="14"/>
      <c r="O279" s="99"/>
      <c r="P279" s="99"/>
      <c r="AU279" s="81"/>
      <c r="AV279" s="99"/>
      <c r="AW279" s="99"/>
    </row>
    <row r="280" spans="1:49" x14ac:dyDescent="0.25">
      <c r="A280" s="14"/>
      <c r="B280" s="14"/>
      <c r="C280" s="14"/>
      <c r="D280" s="92"/>
      <c r="E280" s="14"/>
      <c r="F280" s="14"/>
      <c r="G280" s="14"/>
      <c r="H280" s="14"/>
      <c r="I280" s="67"/>
      <c r="J280" s="14"/>
      <c r="K280" s="14"/>
      <c r="L280" s="14"/>
      <c r="M280" s="14"/>
      <c r="O280" s="99"/>
      <c r="P280" s="99"/>
      <c r="AU280" s="81"/>
      <c r="AV280" s="99"/>
      <c r="AW280" s="99"/>
    </row>
    <row r="281" spans="1:49" x14ac:dyDescent="0.25">
      <c r="A281" s="14"/>
      <c r="B281" s="14"/>
      <c r="C281" s="14"/>
      <c r="D281" s="92"/>
      <c r="E281" s="14"/>
      <c r="F281" s="14"/>
      <c r="G281" s="14"/>
      <c r="H281" s="14"/>
      <c r="I281" s="67"/>
      <c r="J281" s="14"/>
      <c r="K281" s="14"/>
      <c r="L281" s="14"/>
      <c r="M281" s="14"/>
      <c r="O281" s="99"/>
      <c r="P281" s="99"/>
      <c r="AU281" s="81"/>
      <c r="AV281" s="99"/>
      <c r="AW281" s="99"/>
    </row>
    <row r="282" spans="1:49" x14ac:dyDescent="0.25">
      <c r="A282" s="14"/>
      <c r="B282" s="14"/>
      <c r="C282" s="14"/>
      <c r="D282" s="92"/>
      <c r="E282" s="14"/>
      <c r="F282" s="14"/>
      <c r="G282" s="14"/>
      <c r="H282" s="14"/>
      <c r="I282" s="67"/>
      <c r="J282" s="14"/>
      <c r="K282" s="14"/>
      <c r="L282" s="14"/>
      <c r="M282" s="14"/>
      <c r="O282" s="99"/>
      <c r="P282" s="99"/>
      <c r="AU282" s="81"/>
      <c r="AV282" s="99"/>
      <c r="AW282" s="99"/>
    </row>
    <row r="283" spans="1:49" x14ac:dyDescent="0.25">
      <c r="A283" s="14"/>
      <c r="B283" s="14"/>
      <c r="C283" s="14"/>
      <c r="D283" s="92"/>
      <c r="E283" s="14"/>
      <c r="F283" s="14"/>
      <c r="G283" s="14"/>
      <c r="H283" s="14"/>
      <c r="I283" s="67"/>
      <c r="J283" s="14"/>
      <c r="K283" s="14"/>
      <c r="L283" s="14"/>
      <c r="M283" s="14"/>
      <c r="O283" s="99"/>
      <c r="P283" s="99"/>
      <c r="AU283" s="81"/>
      <c r="AV283" s="99"/>
      <c r="AW283" s="99"/>
    </row>
    <row r="284" spans="1:49" x14ac:dyDescent="0.25">
      <c r="A284" s="14"/>
      <c r="B284" s="14"/>
      <c r="C284" s="14"/>
      <c r="D284" s="92"/>
      <c r="E284" s="14"/>
      <c r="F284" s="14"/>
      <c r="G284" s="14"/>
      <c r="H284" s="14"/>
      <c r="I284" s="67"/>
      <c r="J284" s="14"/>
      <c r="K284" s="14"/>
      <c r="L284" s="14"/>
      <c r="M284" s="14"/>
      <c r="O284" s="99"/>
      <c r="P284" s="99"/>
      <c r="AU284" s="81"/>
      <c r="AV284" s="99"/>
      <c r="AW284" s="99"/>
    </row>
    <row r="285" spans="1:49" x14ac:dyDescent="0.25">
      <c r="A285" s="14"/>
      <c r="B285" s="14"/>
      <c r="C285" s="14"/>
      <c r="D285" s="92"/>
      <c r="E285" s="14"/>
      <c r="F285" s="14"/>
      <c r="G285" s="14"/>
      <c r="H285" s="14"/>
      <c r="I285" s="67"/>
      <c r="J285" s="14"/>
      <c r="K285" s="14"/>
      <c r="L285" s="14"/>
      <c r="M285" s="14"/>
      <c r="O285" s="99"/>
      <c r="P285" s="99"/>
      <c r="AU285" s="81"/>
      <c r="AV285" s="99"/>
      <c r="AW285" s="99"/>
    </row>
    <row r="286" spans="1:49" x14ac:dyDescent="0.25">
      <c r="A286" s="14"/>
      <c r="B286" s="14"/>
      <c r="C286" s="14"/>
      <c r="D286" s="92"/>
      <c r="E286" s="14"/>
      <c r="F286" s="14"/>
      <c r="G286" s="14"/>
      <c r="H286" s="14"/>
      <c r="I286" s="67"/>
      <c r="J286" s="14"/>
      <c r="K286" s="14"/>
      <c r="L286" s="14"/>
      <c r="M286" s="14"/>
      <c r="O286" s="99"/>
      <c r="P286" s="99"/>
      <c r="AU286" s="81"/>
      <c r="AV286" s="99"/>
      <c r="AW286" s="99"/>
    </row>
    <row r="287" spans="1:49" x14ac:dyDescent="0.25">
      <c r="A287" s="14"/>
      <c r="B287" s="14"/>
      <c r="C287" s="14"/>
      <c r="D287" s="92"/>
      <c r="E287" s="14"/>
      <c r="F287" s="14"/>
      <c r="G287" s="14"/>
      <c r="H287" s="14"/>
      <c r="I287" s="67"/>
      <c r="J287" s="14"/>
      <c r="K287" s="14"/>
      <c r="L287" s="14"/>
      <c r="M287" s="14"/>
      <c r="O287" s="99"/>
      <c r="P287" s="99"/>
      <c r="AU287" s="81"/>
      <c r="AV287" s="99"/>
      <c r="AW287" s="99"/>
    </row>
    <row r="288" spans="1:49" x14ac:dyDescent="0.25">
      <c r="A288" s="14"/>
      <c r="B288" s="14"/>
      <c r="C288" s="14"/>
      <c r="D288" s="92"/>
      <c r="E288" s="14"/>
      <c r="F288" s="14"/>
      <c r="G288" s="14"/>
      <c r="H288" s="14"/>
      <c r="I288" s="67"/>
      <c r="J288" s="14"/>
      <c r="K288" s="14"/>
      <c r="L288" s="14"/>
      <c r="M288" s="14"/>
      <c r="O288" s="99"/>
      <c r="P288" s="99"/>
      <c r="AU288" s="81"/>
      <c r="AV288" s="99"/>
      <c r="AW288" s="99"/>
    </row>
    <row r="289" spans="1:49" x14ac:dyDescent="0.25">
      <c r="A289" s="14"/>
      <c r="B289" s="14"/>
      <c r="C289" s="14"/>
      <c r="D289" s="92"/>
      <c r="E289" s="14"/>
      <c r="F289" s="14"/>
      <c r="G289" s="14"/>
      <c r="H289" s="14"/>
      <c r="I289" s="67"/>
      <c r="J289" s="14"/>
      <c r="K289" s="14"/>
      <c r="L289" s="14"/>
      <c r="M289" s="14"/>
      <c r="O289" s="99"/>
      <c r="P289" s="99"/>
      <c r="AU289" s="81"/>
      <c r="AV289" s="99"/>
      <c r="AW289" s="99"/>
    </row>
    <row r="290" spans="1:49" x14ac:dyDescent="0.25">
      <c r="A290" s="14"/>
      <c r="B290" s="14"/>
      <c r="C290" s="14"/>
      <c r="D290" s="92"/>
      <c r="E290" s="14"/>
      <c r="F290" s="14"/>
      <c r="G290" s="14"/>
      <c r="H290" s="14"/>
      <c r="I290" s="67"/>
      <c r="J290" s="14"/>
      <c r="K290" s="14"/>
      <c r="L290" s="14"/>
      <c r="M290" s="14"/>
      <c r="O290" s="99"/>
      <c r="P290" s="99"/>
      <c r="AU290" s="81"/>
      <c r="AV290" s="99"/>
      <c r="AW290" s="99"/>
    </row>
    <row r="291" spans="1:49" x14ac:dyDescent="0.25">
      <c r="A291" s="14"/>
      <c r="B291" s="14"/>
      <c r="C291" s="14"/>
      <c r="D291" s="92"/>
      <c r="E291" s="14"/>
      <c r="F291" s="14"/>
      <c r="G291" s="14"/>
      <c r="H291" s="14"/>
      <c r="I291" s="67"/>
      <c r="J291" s="14"/>
      <c r="K291" s="14"/>
      <c r="L291" s="14"/>
      <c r="M291" s="14"/>
      <c r="O291" s="99"/>
      <c r="P291" s="99"/>
      <c r="AU291" s="81"/>
      <c r="AV291" s="99"/>
      <c r="AW291" s="99"/>
    </row>
    <row r="292" spans="1:49" x14ac:dyDescent="0.25">
      <c r="A292" s="14"/>
      <c r="B292" s="14"/>
      <c r="C292" s="14"/>
      <c r="D292" s="92"/>
      <c r="E292" s="14"/>
      <c r="F292" s="14"/>
      <c r="G292" s="14"/>
      <c r="H292" s="14"/>
      <c r="I292" s="67"/>
      <c r="J292" s="14"/>
      <c r="K292" s="14"/>
      <c r="L292" s="14"/>
      <c r="M292" s="14"/>
      <c r="O292" s="99"/>
      <c r="P292" s="99"/>
      <c r="AU292" s="81"/>
      <c r="AV292" s="99"/>
      <c r="AW292" s="99"/>
    </row>
    <row r="293" spans="1:49" x14ac:dyDescent="0.25">
      <c r="A293" s="14"/>
      <c r="B293" s="14"/>
      <c r="C293" s="14"/>
      <c r="D293" s="92"/>
      <c r="E293" s="14"/>
      <c r="F293" s="14"/>
      <c r="G293" s="14"/>
      <c r="H293" s="14"/>
      <c r="I293" s="67"/>
      <c r="J293" s="14"/>
      <c r="K293" s="14"/>
      <c r="L293" s="14"/>
      <c r="M293" s="14"/>
      <c r="O293" s="99"/>
      <c r="P293" s="99"/>
      <c r="AU293" s="81"/>
      <c r="AV293" s="99"/>
      <c r="AW293" s="99"/>
    </row>
    <row r="294" spans="1:49" x14ac:dyDescent="0.25">
      <c r="A294" s="14"/>
      <c r="B294" s="14"/>
      <c r="C294" s="14"/>
      <c r="D294" s="92"/>
      <c r="E294" s="14"/>
      <c r="F294" s="14"/>
      <c r="G294" s="14"/>
      <c r="H294" s="14"/>
      <c r="I294" s="67"/>
      <c r="J294" s="14"/>
      <c r="K294" s="14"/>
      <c r="L294" s="14"/>
      <c r="M294" s="14"/>
      <c r="O294" s="99"/>
      <c r="P294" s="99"/>
      <c r="AU294" s="81"/>
      <c r="AV294" s="99"/>
      <c r="AW294" s="99"/>
    </row>
    <row r="295" spans="1:49" x14ac:dyDescent="0.25">
      <c r="A295" s="14"/>
      <c r="B295" s="14"/>
      <c r="C295" s="14"/>
      <c r="D295" s="92"/>
      <c r="E295" s="14"/>
      <c r="F295" s="14"/>
      <c r="G295" s="14"/>
      <c r="H295" s="14"/>
      <c r="I295" s="67"/>
      <c r="J295" s="14"/>
      <c r="K295" s="14"/>
      <c r="L295" s="14"/>
      <c r="M295" s="14"/>
      <c r="O295" s="99"/>
      <c r="P295" s="99"/>
      <c r="AU295" s="81"/>
      <c r="AV295" s="99"/>
      <c r="AW295" s="99"/>
    </row>
    <row r="296" spans="1:49" x14ac:dyDescent="0.25">
      <c r="A296" s="14"/>
      <c r="B296" s="14"/>
      <c r="C296" s="14"/>
      <c r="D296" s="92"/>
      <c r="E296" s="14"/>
      <c r="F296" s="14"/>
      <c r="G296" s="14"/>
      <c r="H296" s="14"/>
      <c r="I296" s="67"/>
      <c r="J296" s="14"/>
      <c r="K296" s="14"/>
      <c r="L296" s="14"/>
      <c r="M296" s="14"/>
      <c r="O296" s="99"/>
      <c r="P296" s="99"/>
      <c r="AU296" s="81"/>
      <c r="AV296" s="99"/>
      <c r="AW296" s="99"/>
    </row>
    <row r="297" spans="1:49" x14ac:dyDescent="0.25">
      <c r="A297" s="14"/>
      <c r="B297" s="14"/>
      <c r="C297" s="14"/>
      <c r="D297" s="92"/>
      <c r="E297" s="14"/>
      <c r="F297" s="14"/>
      <c r="G297" s="14"/>
      <c r="H297" s="14"/>
      <c r="I297" s="67"/>
      <c r="J297" s="14"/>
      <c r="K297" s="14"/>
      <c r="L297" s="14"/>
      <c r="M297" s="14"/>
      <c r="O297" s="99"/>
      <c r="P297" s="99"/>
      <c r="AU297" s="81"/>
      <c r="AV297" s="99"/>
      <c r="AW297" s="99"/>
    </row>
    <row r="298" spans="1:49" x14ac:dyDescent="0.25">
      <c r="A298" s="14"/>
      <c r="B298" s="14"/>
      <c r="C298" s="14"/>
      <c r="D298" s="92"/>
      <c r="E298" s="14"/>
      <c r="F298" s="14"/>
      <c r="G298" s="14"/>
      <c r="H298" s="14"/>
      <c r="I298" s="67"/>
      <c r="J298" s="14"/>
      <c r="K298" s="14"/>
      <c r="L298" s="14"/>
      <c r="M298" s="14"/>
      <c r="O298" s="99"/>
      <c r="P298" s="99"/>
      <c r="AU298" s="81"/>
      <c r="AV298" s="99"/>
      <c r="AW298" s="99"/>
    </row>
    <row r="299" spans="1:49" x14ac:dyDescent="0.25">
      <c r="A299" s="14"/>
      <c r="B299" s="14"/>
      <c r="C299" s="14"/>
      <c r="D299" s="92"/>
      <c r="E299" s="14"/>
      <c r="F299" s="14"/>
      <c r="G299" s="14"/>
      <c r="H299" s="14"/>
      <c r="I299" s="67"/>
      <c r="J299" s="14"/>
      <c r="K299" s="14"/>
      <c r="L299" s="14"/>
      <c r="M299" s="14"/>
      <c r="O299" s="99"/>
      <c r="P299" s="99"/>
      <c r="AU299" s="81"/>
      <c r="AV299" s="99"/>
      <c r="AW299" s="99"/>
    </row>
    <row r="300" spans="1:49" x14ac:dyDescent="0.25">
      <c r="A300" s="14"/>
      <c r="B300" s="14"/>
      <c r="C300" s="14"/>
      <c r="D300" s="92"/>
      <c r="E300" s="14"/>
      <c r="F300" s="14"/>
      <c r="G300" s="14"/>
      <c r="H300" s="14"/>
      <c r="I300" s="67"/>
      <c r="J300" s="14"/>
      <c r="K300" s="14"/>
      <c r="L300" s="14"/>
      <c r="M300" s="14"/>
      <c r="O300" s="99"/>
      <c r="P300" s="99"/>
      <c r="AU300" s="81"/>
      <c r="AV300" s="99"/>
      <c r="AW300" s="99"/>
    </row>
    <row r="301" spans="1:49" x14ac:dyDescent="0.25">
      <c r="A301" s="14"/>
      <c r="B301" s="14"/>
      <c r="C301" s="14"/>
      <c r="D301" s="92"/>
      <c r="E301" s="14"/>
      <c r="F301" s="14"/>
      <c r="G301" s="14"/>
      <c r="H301" s="14"/>
      <c r="I301" s="67"/>
      <c r="J301" s="14"/>
      <c r="K301" s="14"/>
      <c r="L301" s="14"/>
      <c r="M301" s="14"/>
      <c r="O301" s="99"/>
      <c r="P301" s="99"/>
      <c r="AU301" s="81"/>
      <c r="AV301" s="99"/>
      <c r="AW301" s="99"/>
    </row>
    <row r="302" spans="1:49" x14ac:dyDescent="0.25">
      <c r="A302" s="14"/>
      <c r="B302" s="14"/>
      <c r="C302" s="14"/>
      <c r="D302" s="92"/>
      <c r="E302" s="14"/>
      <c r="F302" s="14"/>
      <c r="G302" s="14"/>
      <c r="H302" s="14"/>
      <c r="I302" s="67"/>
      <c r="J302" s="14"/>
      <c r="K302" s="14"/>
      <c r="L302" s="14"/>
      <c r="M302" s="14"/>
      <c r="O302" s="99"/>
      <c r="P302" s="99"/>
      <c r="AU302" s="81"/>
      <c r="AV302" s="99"/>
      <c r="AW302" s="99"/>
    </row>
    <row r="303" spans="1:49" x14ac:dyDescent="0.25">
      <c r="A303" s="14"/>
      <c r="B303" s="14"/>
      <c r="C303" s="14"/>
      <c r="D303" s="92"/>
      <c r="E303" s="14"/>
      <c r="F303" s="14"/>
      <c r="G303" s="14"/>
      <c r="H303" s="14"/>
      <c r="I303" s="67"/>
      <c r="J303" s="14"/>
      <c r="K303" s="14"/>
      <c r="L303" s="14"/>
      <c r="M303" s="14"/>
      <c r="O303" s="99"/>
      <c r="P303" s="99"/>
      <c r="AU303" s="81"/>
      <c r="AV303" s="99"/>
      <c r="AW303" s="99"/>
    </row>
    <row r="304" spans="1:49" x14ac:dyDescent="0.25">
      <c r="A304" s="14"/>
      <c r="B304" s="14"/>
      <c r="C304" s="14"/>
      <c r="D304" s="92"/>
      <c r="E304" s="14"/>
      <c r="F304" s="14"/>
      <c r="G304" s="14"/>
      <c r="H304" s="14"/>
      <c r="I304" s="67"/>
      <c r="J304" s="14"/>
      <c r="K304" s="14"/>
      <c r="L304" s="14"/>
      <c r="M304" s="14"/>
      <c r="O304" s="99"/>
      <c r="P304" s="99"/>
      <c r="AU304" s="81"/>
      <c r="AV304" s="99"/>
      <c r="AW304" s="99"/>
    </row>
    <row r="305" spans="1:49" x14ac:dyDescent="0.25">
      <c r="A305" s="14"/>
      <c r="B305" s="14"/>
      <c r="C305" s="14"/>
      <c r="D305" s="92"/>
      <c r="E305" s="14"/>
      <c r="F305" s="14"/>
      <c r="G305" s="14"/>
      <c r="H305" s="14"/>
      <c r="I305" s="67"/>
      <c r="J305" s="14"/>
      <c r="K305" s="14"/>
      <c r="L305" s="14"/>
      <c r="M305" s="14"/>
      <c r="O305" s="99"/>
      <c r="P305" s="99"/>
      <c r="AU305" s="81"/>
      <c r="AV305" s="99"/>
      <c r="AW305" s="99"/>
    </row>
    <row r="306" spans="1:49" x14ac:dyDescent="0.25">
      <c r="A306" s="14"/>
      <c r="B306" s="14"/>
      <c r="C306" s="14"/>
      <c r="D306" s="92"/>
      <c r="E306" s="14"/>
      <c r="F306" s="14"/>
      <c r="G306" s="14"/>
      <c r="H306" s="14"/>
      <c r="I306" s="67"/>
      <c r="J306" s="14"/>
      <c r="K306" s="14"/>
      <c r="L306" s="14"/>
      <c r="M306" s="14"/>
      <c r="O306" s="99"/>
      <c r="P306" s="99"/>
      <c r="AU306" s="81"/>
      <c r="AV306" s="99"/>
      <c r="AW306" s="99"/>
    </row>
    <row r="307" spans="1:49" x14ac:dyDescent="0.25">
      <c r="A307" s="14"/>
      <c r="B307" s="14"/>
      <c r="C307" s="14"/>
      <c r="D307" s="92"/>
      <c r="E307" s="14"/>
      <c r="F307" s="14"/>
      <c r="G307" s="14"/>
      <c r="H307" s="14"/>
      <c r="I307" s="67"/>
      <c r="J307" s="14"/>
      <c r="K307" s="14"/>
      <c r="L307" s="14"/>
      <c r="M307" s="14"/>
      <c r="O307" s="99"/>
      <c r="P307" s="99"/>
      <c r="AU307" s="81"/>
      <c r="AV307" s="99"/>
      <c r="AW307" s="99"/>
    </row>
    <row r="308" spans="1:49" x14ac:dyDescent="0.25">
      <c r="A308" s="14"/>
      <c r="B308" s="14"/>
      <c r="C308" s="14"/>
      <c r="D308" s="92"/>
      <c r="E308" s="14"/>
      <c r="F308" s="14"/>
      <c r="G308" s="14"/>
      <c r="H308" s="14"/>
      <c r="I308" s="67"/>
      <c r="J308" s="14"/>
      <c r="K308" s="14"/>
      <c r="L308" s="14"/>
      <c r="M308" s="14"/>
      <c r="O308" s="99"/>
      <c r="P308" s="99"/>
      <c r="AU308" s="81"/>
      <c r="AV308" s="99"/>
      <c r="AW308" s="99"/>
    </row>
    <row r="309" spans="1:49" x14ac:dyDescent="0.25">
      <c r="A309" s="14"/>
      <c r="B309" s="14"/>
      <c r="C309" s="14"/>
      <c r="D309" s="92"/>
      <c r="E309" s="14"/>
      <c r="F309" s="14"/>
      <c r="G309" s="14"/>
      <c r="H309" s="14"/>
      <c r="I309" s="67"/>
      <c r="J309" s="14"/>
      <c r="K309" s="14"/>
      <c r="L309" s="14"/>
      <c r="M309" s="14"/>
      <c r="O309" s="99"/>
      <c r="P309" s="99"/>
      <c r="AU309" s="81"/>
      <c r="AV309" s="99"/>
      <c r="AW309" s="99"/>
    </row>
    <row r="310" spans="1:49" x14ac:dyDescent="0.25">
      <c r="A310" s="14"/>
      <c r="B310" s="14"/>
      <c r="C310" s="14"/>
      <c r="D310" s="92"/>
      <c r="E310" s="14"/>
      <c r="F310" s="14"/>
      <c r="G310" s="14"/>
      <c r="H310" s="14"/>
      <c r="I310" s="67"/>
      <c r="J310" s="14"/>
      <c r="K310" s="14"/>
      <c r="L310" s="14"/>
      <c r="M310" s="14"/>
      <c r="O310" s="99"/>
      <c r="P310" s="99"/>
      <c r="AU310" s="81"/>
      <c r="AV310" s="99"/>
      <c r="AW310" s="99"/>
    </row>
    <row r="311" spans="1:49" x14ac:dyDescent="0.25">
      <c r="A311" s="14"/>
      <c r="B311" s="14"/>
      <c r="C311" s="14"/>
      <c r="D311" s="92"/>
      <c r="E311" s="14"/>
      <c r="F311" s="14"/>
      <c r="G311" s="14"/>
      <c r="H311" s="14"/>
      <c r="I311" s="67"/>
      <c r="J311" s="14"/>
      <c r="K311" s="14"/>
      <c r="L311" s="14"/>
      <c r="M311" s="14"/>
      <c r="O311" s="99"/>
      <c r="P311" s="99"/>
      <c r="AU311" s="81"/>
      <c r="AV311" s="99"/>
      <c r="AW311" s="99"/>
    </row>
    <row r="312" spans="1:49" x14ac:dyDescent="0.25">
      <c r="A312" s="14"/>
      <c r="B312" s="14"/>
      <c r="C312" s="14"/>
      <c r="D312" s="92"/>
      <c r="E312" s="14"/>
      <c r="F312" s="14"/>
      <c r="G312" s="14"/>
      <c r="H312" s="14"/>
      <c r="I312" s="67"/>
      <c r="J312" s="14"/>
      <c r="K312" s="14"/>
      <c r="L312" s="14"/>
      <c r="M312" s="14"/>
      <c r="O312" s="99"/>
      <c r="P312" s="99"/>
      <c r="AU312" s="81"/>
      <c r="AV312" s="99"/>
      <c r="AW312" s="99"/>
    </row>
    <row r="313" spans="1:49" x14ac:dyDescent="0.25">
      <c r="A313" s="14"/>
      <c r="B313" s="14"/>
      <c r="C313" s="14"/>
      <c r="D313" s="92"/>
      <c r="E313" s="14"/>
      <c r="F313" s="14"/>
      <c r="G313" s="14"/>
      <c r="H313" s="14"/>
      <c r="I313" s="67"/>
      <c r="J313" s="14"/>
      <c r="K313" s="14"/>
      <c r="L313" s="14"/>
      <c r="M313" s="14"/>
      <c r="O313" s="99"/>
      <c r="P313" s="99"/>
      <c r="AU313" s="81"/>
      <c r="AV313" s="99"/>
      <c r="AW313" s="99"/>
    </row>
    <row r="314" spans="1:49" x14ac:dyDescent="0.25">
      <c r="A314" s="14"/>
      <c r="B314" s="14"/>
      <c r="C314" s="14"/>
      <c r="D314" s="92"/>
      <c r="E314" s="14"/>
      <c r="F314" s="14"/>
      <c r="G314" s="14"/>
      <c r="H314" s="14"/>
      <c r="I314" s="67"/>
      <c r="J314" s="14"/>
      <c r="K314" s="14"/>
      <c r="L314" s="14"/>
      <c r="M314" s="14"/>
      <c r="O314" s="99"/>
      <c r="P314" s="99"/>
      <c r="AU314" s="81"/>
      <c r="AV314" s="99"/>
      <c r="AW314" s="99"/>
    </row>
    <row r="315" spans="1:49" x14ac:dyDescent="0.25">
      <c r="A315" s="14"/>
      <c r="B315" s="14"/>
      <c r="C315" s="14"/>
      <c r="D315" s="92"/>
      <c r="E315" s="14"/>
      <c r="F315" s="14"/>
      <c r="G315" s="14"/>
      <c r="H315" s="14"/>
      <c r="I315" s="67"/>
      <c r="J315" s="14"/>
      <c r="K315" s="14"/>
      <c r="L315" s="14"/>
      <c r="M315" s="14"/>
      <c r="O315" s="99"/>
      <c r="P315" s="99"/>
      <c r="AU315" s="81"/>
      <c r="AV315" s="99"/>
      <c r="AW315" s="99"/>
    </row>
    <row r="316" spans="1:49" x14ac:dyDescent="0.25">
      <c r="A316" s="14"/>
      <c r="B316" s="14"/>
      <c r="C316" s="14"/>
      <c r="D316" s="92"/>
      <c r="E316" s="14"/>
      <c r="F316" s="14"/>
      <c r="G316" s="14"/>
      <c r="H316" s="14"/>
      <c r="I316" s="67"/>
      <c r="J316" s="14"/>
      <c r="K316" s="14"/>
      <c r="L316" s="14"/>
      <c r="M316" s="14"/>
      <c r="O316" s="99"/>
      <c r="P316" s="99"/>
      <c r="AU316" s="81"/>
      <c r="AV316" s="99"/>
      <c r="AW316" s="99"/>
    </row>
    <row r="317" spans="1:49" x14ac:dyDescent="0.25">
      <c r="A317" s="14"/>
      <c r="B317" s="14"/>
      <c r="C317" s="14"/>
      <c r="D317" s="92"/>
      <c r="E317" s="14"/>
      <c r="F317" s="14"/>
      <c r="G317" s="14"/>
      <c r="H317" s="14"/>
      <c r="I317" s="67"/>
      <c r="J317" s="14"/>
      <c r="K317" s="14"/>
      <c r="L317" s="14"/>
      <c r="M317" s="14"/>
      <c r="O317" s="99"/>
      <c r="P317" s="99"/>
      <c r="AU317" s="81"/>
      <c r="AV317" s="99"/>
      <c r="AW317" s="99"/>
    </row>
    <row r="318" spans="1:49" x14ac:dyDescent="0.25">
      <c r="A318" s="14"/>
      <c r="B318" s="14"/>
      <c r="C318" s="14"/>
      <c r="D318" s="92"/>
      <c r="E318" s="14"/>
      <c r="F318" s="14"/>
      <c r="G318" s="14"/>
      <c r="H318" s="14"/>
      <c r="I318" s="67"/>
      <c r="J318" s="14"/>
      <c r="K318" s="14"/>
      <c r="L318" s="14"/>
      <c r="M318" s="14"/>
      <c r="O318" s="99"/>
      <c r="P318" s="99"/>
      <c r="AU318" s="81"/>
      <c r="AV318" s="99"/>
      <c r="AW318" s="99"/>
    </row>
    <row r="319" spans="1:49" x14ac:dyDescent="0.25">
      <c r="A319" s="14"/>
      <c r="B319" s="14"/>
      <c r="C319" s="14"/>
      <c r="D319" s="92"/>
      <c r="E319" s="14"/>
      <c r="F319" s="14"/>
      <c r="G319" s="14"/>
      <c r="H319" s="14"/>
      <c r="I319" s="67"/>
      <c r="J319" s="14"/>
      <c r="K319" s="14"/>
      <c r="L319" s="14"/>
      <c r="M319" s="14"/>
      <c r="O319" s="99"/>
      <c r="P319" s="99"/>
      <c r="AU319" s="81"/>
      <c r="AV319" s="99"/>
      <c r="AW319" s="99"/>
    </row>
    <row r="320" spans="1:49" x14ac:dyDescent="0.25">
      <c r="A320" s="14"/>
      <c r="B320" s="14"/>
      <c r="C320" s="14"/>
      <c r="D320" s="92"/>
      <c r="E320" s="14"/>
      <c r="F320" s="14"/>
      <c r="G320" s="14"/>
      <c r="H320" s="14"/>
      <c r="I320" s="67"/>
      <c r="J320" s="14"/>
      <c r="K320" s="14"/>
      <c r="L320" s="14"/>
      <c r="M320" s="14"/>
      <c r="O320" s="99"/>
      <c r="P320" s="99"/>
      <c r="AU320" s="81"/>
      <c r="AV320" s="99"/>
      <c r="AW320" s="99"/>
    </row>
    <row r="321" spans="1:49" x14ac:dyDescent="0.25">
      <c r="A321" s="14"/>
      <c r="B321" s="14"/>
      <c r="C321" s="14"/>
      <c r="D321" s="92"/>
      <c r="E321" s="14"/>
      <c r="F321" s="14"/>
      <c r="G321" s="14"/>
      <c r="H321" s="14"/>
      <c r="I321" s="67"/>
      <c r="J321" s="14"/>
      <c r="K321" s="14"/>
      <c r="L321" s="14"/>
      <c r="M321" s="14"/>
      <c r="O321" s="99"/>
      <c r="P321" s="99"/>
      <c r="AU321" s="81"/>
      <c r="AV321" s="99"/>
      <c r="AW321" s="99"/>
    </row>
    <row r="322" spans="1:49" x14ac:dyDescent="0.25">
      <c r="A322" s="14"/>
      <c r="B322" s="14"/>
      <c r="C322" s="14"/>
      <c r="D322" s="92"/>
      <c r="E322" s="14"/>
      <c r="F322" s="14"/>
      <c r="G322" s="14"/>
      <c r="H322" s="14"/>
      <c r="I322" s="67"/>
      <c r="J322" s="14"/>
      <c r="K322" s="14"/>
      <c r="L322" s="14"/>
      <c r="M322" s="14"/>
      <c r="O322" s="99"/>
      <c r="P322" s="99"/>
      <c r="AU322" s="81"/>
      <c r="AV322" s="99"/>
      <c r="AW322" s="99"/>
    </row>
    <row r="323" spans="1:49" x14ac:dyDescent="0.25">
      <c r="A323" s="14"/>
      <c r="B323" s="14"/>
      <c r="C323" s="14"/>
      <c r="D323" s="92"/>
      <c r="E323" s="14"/>
      <c r="F323" s="14"/>
      <c r="G323" s="14"/>
      <c r="H323" s="14"/>
      <c r="I323" s="67"/>
      <c r="J323" s="14"/>
      <c r="K323" s="14"/>
      <c r="L323" s="14"/>
      <c r="M323" s="14"/>
      <c r="O323" s="99"/>
      <c r="P323" s="99"/>
      <c r="AU323" s="81"/>
      <c r="AV323" s="99"/>
      <c r="AW323" s="99"/>
    </row>
    <row r="324" spans="1:49" x14ac:dyDescent="0.25">
      <c r="A324" s="14"/>
      <c r="B324" s="14"/>
      <c r="C324" s="14"/>
      <c r="D324" s="92"/>
      <c r="E324" s="14"/>
      <c r="F324" s="14"/>
      <c r="G324" s="14"/>
      <c r="H324" s="14"/>
      <c r="I324" s="67"/>
      <c r="J324" s="14"/>
      <c r="K324" s="14"/>
      <c r="L324" s="14"/>
      <c r="M324" s="14"/>
      <c r="O324" s="99"/>
      <c r="P324" s="99"/>
      <c r="AU324" s="81"/>
      <c r="AV324" s="99"/>
      <c r="AW324" s="99"/>
    </row>
    <row r="325" spans="1:49" x14ac:dyDescent="0.25">
      <c r="A325" s="14"/>
      <c r="B325" s="14"/>
      <c r="C325" s="14"/>
      <c r="D325" s="92"/>
      <c r="E325" s="14"/>
      <c r="F325" s="14"/>
      <c r="G325" s="14"/>
      <c r="H325" s="14"/>
      <c r="I325" s="67"/>
      <c r="J325" s="14"/>
      <c r="K325" s="14"/>
      <c r="L325" s="14"/>
      <c r="M325" s="14"/>
      <c r="O325" s="99"/>
      <c r="P325" s="99"/>
      <c r="AU325" s="81"/>
      <c r="AV325" s="99"/>
      <c r="AW325" s="99"/>
    </row>
    <row r="326" spans="1:49" x14ac:dyDescent="0.25">
      <c r="A326" s="14"/>
      <c r="B326" s="14"/>
      <c r="C326" s="14"/>
      <c r="D326" s="92"/>
      <c r="E326" s="14"/>
      <c r="F326" s="14"/>
      <c r="G326" s="14"/>
      <c r="H326" s="14"/>
      <c r="I326" s="67"/>
      <c r="J326" s="14"/>
      <c r="K326" s="14"/>
      <c r="L326" s="14"/>
      <c r="M326" s="14"/>
      <c r="O326" s="99"/>
      <c r="P326" s="99"/>
      <c r="AU326" s="81"/>
      <c r="AV326" s="99"/>
      <c r="AW326" s="99"/>
    </row>
    <row r="327" spans="1:49" x14ac:dyDescent="0.25">
      <c r="A327" s="14"/>
      <c r="B327" s="14"/>
      <c r="C327" s="14"/>
      <c r="D327" s="92"/>
      <c r="E327" s="14"/>
      <c r="F327" s="14"/>
      <c r="G327" s="14"/>
      <c r="H327" s="14"/>
      <c r="I327" s="67"/>
      <c r="J327" s="14"/>
      <c r="K327" s="14"/>
      <c r="L327" s="14"/>
      <c r="M327" s="14"/>
      <c r="O327" s="99"/>
      <c r="P327" s="99"/>
      <c r="AU327" s="81"/>
      <c r="AV327" s="99"/>
      <c r="AW327" s="99"/>
    </row>
    <row r="328" spans="1:49" x14ac:dyDescent="0.25">
      <c r="A328" s="14"/>
      <c r="B328" s="14"/>
      <c r="C328" s="14"/>
      <c r="D328" s="92"/>
      <c r="E328" s="14"/>
      <c r="F328" s="14"/>
      <c r="G328" s="14"/>
      <c r="H328" s="14"/>
      <c r="I328" s="67"/>
      <c r="J328" s="14"/>
      <c r="K328" s="14"/>
      <c r="L328" s="14"/>
      <c r="M328" s="14"/>
      <c r="O328" s="99"/>
      <c r="P328" s="99"/>
      <c r="AU328" s="81"/>
      <c r="AV328" s="99"/>
      <c r="AW328" s="99"/>
    </row>
    <row r="329" spans="1:49" x14ac:dyDescent="0.25">
      <c r="A329" s="14"/>
      <c r="B329" s="14"/>
      <c r="C329" s="14"/>
      <c r="D329" s="92"/>
      <c r="E329" s="14"/>
      <c r="F329" s="14"/>
      <c r="G329" s="14"/>
      <c r="H329" s="14"/>
      <c r="I329" s="67"/>
      <c r="J329" s="14"/>
      <c r="K329" s="14"/>
      <c r="L329" s="14"/>
      <c r="M329" s="14"/>
      <c r="O329" s="99"/>
      <c r="P329" s="99"/>
      <c r="AU329" s="81"/>
      <c r="AV329" s="99"/>
      <c r="AW329" s="99"/>
    </row>
    <row r="330" spans="1:49" x14ac:dyDescent="0.25">
      <c r="A330" s="14"/>
      <c r="B330" s="14"/>
      <c r="C330" s="14"/>
      <c r="D330" s="92"/>
      <c r="E330" s="14"/>
      <c r="F330" s="14"/>
      <c r="G330" s="14"/>
      <c r="H330" s="14"/>
      <c r="I330" s="67"/>
      <c r="J330" s="14"/>
      <c r="K330" s="14"/>
      <c r="L330" s="14"/>
      <c r="M330" s="14"/>
      <c r="O330" s="99"/>
      <c r="P330" s="99"/>
      <c r="AU330" s="81"/>
      <c r="AV330" s="99"/>
      <c r="AW330" s="99"/>
    </row>
    <row r="331" spans="1:49" x14ac:dyDescent="0.25">
      <c r="A331" s="14"/>
      <c r="B331" s="14"/>
      <c r="C331" s="14"/>
      <c r="D331" s="92"/>
      <c r="E331" s="14"/>
      <c r="F331" s="14"/>
      <c r="G331" s="14"/>
      <c r="H331" s="14"/>
      <c r="I331" s="67"/>
      <c r="J331" s="14"/>
      <c r="K331" s="14"/>
      <c r="L331" s="14"/>
      <c r="M331" s="14"/>
      <c r="O331" s="99"/>
      <c r="P331" s="99"/>
      <c r="AU331" s="81"/>
      <c r="AV331" s="99"/>
      <c r="AW331" s="99"/>
    </row>
    <row r="332" spans="1:49" x14ac:dyDescent="0.25">
      <c r="A332" s="14"/>
      <c r="B332" s="14"/>
      <c r="C332" s="14"/>
      <c r="D332" s="92"/>
      <c r="E332" s="14"/>
      <c r="F332" s="14"/>
      <c r="G332" s="14"/>
      <c r="H332" s="14"/>
      <c r="I332" s="67"/>
      <c r="J332" s="14"/>
      <c r="K332" s="14"/>
      <c r="L332" s="14"/>
      <c r="M332" s="14"/>
      <c r="O332" s="99"/>
      <c r="P332" s="99"/>
      <c r="AU332" s="81"/>
      <c r="AV332" s="99"/>
      <c r="AW332" s="99"/>
    </row>
    <row r="333" spans="1:49" x14ac:dyDescent="0.25">
      <c r="A333" s="14"/>
      <c r="B333" s="14"/>
      <c r="C333" s="14"/>
      <c r="D333" s="92"/>
      <c r="E333" s="14"/>
      <c r="F333" s="14"/>
      <c r="G333" s="14"/>
      <c r="H333" s="14"/>
      <c r="I333" s="67"/>
      <c r="J333" s="14"/>
      <c r="K333" s="14"/>
      <c r="L333" s="14"/>
      <c r="M333" s="14"/>
      <c r="O333" s="99"/>
      <c r="P333" s="99"/>
      <c r="AU333" s="81"/>
      <c r="AV333" s="99"/>
      <c r="AW333" s="99"/>
    </row>
    <row r="334" spans="1:49" x14ac:dyDescent="0.25">
      <c r="A334" s="14"/>
      <c r="B334" s="14"/>
      <c r="C334" s="14"/>
      <c r="D334" s="92"/>
      <c r="E334" s="14"/>
      <c r="F334" s="14"/>
      <c r="G334" s="14"/>
      <c r="H334" s="14"/>
      <c r="I334" s="67"/>
      <c r="J334" s="14"/>
      <c r="K334" s="14"/>
      <c r="L334" s="14"/>
      <c r="M334" s="14"/>
      <c r="O334" s="99"/>
      <c r="P334" s="99"/>
      <c r="AU334" s="81"/>
      <c r="AV334" s="99"/>
      <c r="AW334" s="99"/>
    </row>
    <row r="335" spans="1:49" x14ac:dyDescent="0.25">
      <c r="A335" s="14"/>
      <c r="B335" s="14"/>
      <c r="C335" s="14"/>
      <c r="D335" s="92"/>
      <c r="E335" s="14"/>
      <c r="F335" s="14"/>
      <c r="G335" s="14"/>
      <c r="H335" s="14"/>
      <c r="I335" s="67"/>
      <c r="J335" s="14"/>
      <c r="K335" s="14"/>
      <c r="L335" s="14"/>
      <c r="M335" s="14"/>
      <c r="O335" s="99"/>
      <c r="P335" s="99"/>
      <c r="AU335" s="81"/>
      <c r="AV335" s="99"/>
      <c r="AW335" s="99"/>
    </row>
    <row r="336" spans="1:49" x14ac:dyDescent="0.25">
      <c r="A336" s="14"/>
      <c r="B336" s="14"/>
      <c r="C336" s="14"/>
      <c r="D336" s="92"/>
      <c r="E336" s="14"/>
      <c r="F336" s="14"/>
      <c r="G336" s="14"/>
      <c r="H336" s="14"/>
      <c r="I336" s="67"/>
      <c r="J336" s="14"/>
      <c r="K336" s="14"/>
      <c r="L336" s="14"/>
      <c r="M336" s="14"/>
      <c r="O336" s="99"/>
      <c r="P336" s="99"/>
      <c r="AU336" s="81"/>
      <c r="AV336" s="99"/>
      <c r="AW336" s="99"/>
    </row>
    <row r="337" spans="1:49" x14ac:dyDescent="0.25">
      <c r="A337" s="14"/>
      <c r="B337" s="14"/>
      <c r="C337" s="14"/>
      <c r="D337" s="92"/>
      <c r="E337" s="14"/>
      <c r="F337" s="14"/>
      <c r="G337" s="14"/>
      <c r="H337" s="14"/>
      <c r="I337" s="67"/>
      <c r="J337" s="14"/>
      <c r="K337" s="14"/>
      <c r="L337" s="14"/>
      <c r="M337" s="14"/>
      <c r="O337" s="99"/>
      <c r="P337" s="99"/>
      <c r="AU337" s="81"/>
      <c r="AV337" s="99"/>
      <c r="AW337" s="99"/>
    </row>
    <row r="338" spans="1:49" x14ac:dyDescent="0.25">
      <c r="A338" s="14"/>
      <c r="B338" s="14"/>
      <c r="C338" s="14"/>
      <c r="D338" s="92"/>
      <c r="E338" s="14"/>
      <c r="F338" s="14"/>
      <c r="G338" s="14"/>
      <c r="H338" s="14"/>
      <c r="I338" s="67"/>
      <c r="J338" s="14"/>
      <c r="K338" s="14"/>
      <c r="L338" s="14"/>
      <c r="M338" s="14"/>
      <c r="O338" s="99"/>
      <c r="P338" s="99"/>
      <c r="AU338" s="81"/>
      <c r="AV338" s="99"/>
      <c r="AW338" s="99"/>
    </row>
    <row r="339" spans="1:49" x14ac:dyDescent="0.25">
      <c r="A339" s="14"/>
      <c r="B339" s="14"/>
      <c r="C339" s="14"/>
      <c r="D339" s="92"/>
      <c r="E339" s="14"/>
      <c r="F339" s="14"/>
      <c r="G339" s="14"/>
      <c r="H339" s="14"/>
      <c r="I339" s="67"/>
      <c r="J339" s="14"/>
      <c r="K339" s="14"/>
      <c r="L339" s="14"/>
      <c r="M339" s="14"/>
      <c r="O339" s="99"/>
      <c r="P339" s="99"/>
      <c r="AU339" s="81"/>
      <c r="AV339" s="99"/>
      <c r="AW339" s="99"/>
    </row>
    <row r="340" spans="1:49" x14ac:dyDescent="0.25">
      <c r="A340" s="14"/>
      <c r="B340" s="14"/>
      <c r="C340" s="14"/>
      <c r="D340" s="92"/>
      <c r="E340" s="14"/>
      <c r="F340" s="14"/>
      <c r="G340" s="14"/>
      <c r="H340" s="14"/>
      <c r="I340" s="67"/>
      <c r="J340" s="14"/>
      <c r="K340" s="14"/>
      <c r="L340" s="14"/>
      <c r="M340" s="14"/>
      <c r="O340" s="99"/>
      <c r="P340" s="99"/>
      <c r="AU340" s="81"/>
      <c r="AV340" s="99"/>
      <c r="AW340" s="99"/>
    </row>
    <row r="341" spans="1:49" x14ac:dyDescent="0.25">
      <c r="A341" s="14"/>
      <c r="B341" s="14"/>
      <c r="C341" s="14"/>
      <c r="D341" s="92"/>
      <c r="E341" s="14"/>
      <c r="F341" s="14"/>
      <c r="G341" s="14"/>
      <c r="H341" s="14"/>
      <c r="I341" s="67"/>
      <c r="J341" s="14"/>
      <c r="K341" s="14"/>
      <c r="L341" s="14"/>
      <c r="M341" s="14"/>
      <c r="O341" s="99"/>
      <c r="P341" s="99"/>
      <c r="AU341" s="81"/>
      <c r="AV341" s="99"/>
      <c r="AW341" s="99"/>
    </row>
    <row r="342" spans="1:49" x14ac:dyDescent="0.25">
      <c r="A342" s="14"/>
      <c r="B342" s="14"/>
      <c r="C342" s="14"/>
      <c r="D342" s="92"/>
      <c r="E342" s="14"/>
      <c r="F342" s="14"/>
      <c r="G342" s="14"/>
      <c r="H342" s="14"/>
      <c r="I342" s="67"/>
      <c r="J342" s="14"/>
      <c r="K342" s="14"/>
      <c r="L342" s="14"/>
      <c r="M342" s="14"/>
      <c r="O342" s="99"/>
      <c r="P342" s="99"/>
      <c r="AU342" s="81"/>
      <c r="AV342" s="99"/>
      <c r="AW342" s="99"/>
    </row>
    <row r="343" spans="1:49" x14ac:dyDescent="0.25">
      <c r="A343" s="14"/>
      <c r="B343" s="14"/>
      <c r="C343" s="14"/>
      <c r="D343" s="92"/>
      <c r="E343" s="14"/>
      <c r="F343" s="14"/>
      <c r="G343" s="14"/>
      <c r="H343" s="14"/>
      <c r="I343" s="67"/>
      <c r="J343" s="14"/>
      <c r="K343" s="14"/>
      <c r="L343" s="14"/>
      <c r="M343" s="14"/>
      <c r="O343" s="99"/>
      <c r="P343" s="99"/>
      <c r="AU343" s="81"/>
      <c r="AV343" s="99"/>
      <c r="AW343" s="99"/>
    </row>
    <row r="344" spans="1:49" x14ac:dyDescent="0.25">
      <c r="A344" s="14"/>
      <c r="B344" s="14"/>
      <c r="C344" s="14"/>
      <c r="D344" s="92"/>
      <c r="E344" s="14"/>
      <c r="F344" s="14"/>
      <c r="G344" s="14"/>
      <c r="H344" s="14"/>
      <c r="I344" s="67"/>
      <c r="J344" s="14"/>
      <c r="K344" s="14"/>
      <c r="L344" s="14"/>
      <c r="M344" s="14"/>
      <c r="O344" s="99"/>
      <c r="P344" s="99"/>
      <c r="AU344" s="81"/>
      <c r="AV344" s="99"/>
      <c r="AW344" s="99"/>
    </row>
    <row r="345" spans="1:49" x14ac:dyDescent="0.25">
      <c r="A345" s="14"/>
      <c r="B345" s="14"/>
      <c r="C345" s="14"/>
      <c r="D345" s="92"/>
      <c r="E345" s="14"/>
      <c r="F345" s="14"/>
      <c r="G345" s="14"/>
      <c r="H345" s="14"/>
      <c r="I345" s="67"/>
      <c r="J345" s="14"/>
      <c r="K345" s="14"/>
      <c r="L345" s="14"/>
      <c r="M345" s="14"/>
      <c r="O345" s="99"/>
      <c r="P345" s="99"/>
      <c r="AU345" s="81"/>
      <c r="AV345" s="99"/>
      <c r="AW345" s="99"/>
    </row>
    <row r="346" spans="1:49" x14ac:dyDescent="0.25">
      <c r="A346" s="14"/>
      <c r="B346" s="14"/>
      <c r="C346" s="14"/>
      <c r="D346" s="92"/>
      <c r="E346" s="14"/>
      <c r="F346" s="14"/>
      <c r="G346" s="14"/>
      <c r="H346" s="14"/>
      <c r="I346" s="67"/>
      <c r="J346" s="14"/>
      <c r="K346" s="14"/>
      <c r="L346" s="14"/>
      <c r="M346" s="14"/>
      <c r="O346" s="99"/>
      <c r="P346" s="99"/>
      <c r="AU346" s="81"/>
      <c r="AV346" s="99"/>
      <c r="AW346" s="99"/>
    </row>
    <row r="347" spans="1:49" x14ac:dyDescent="0.25">
      <c r="A347" s="14"/>
      <c r="B347" s="14"/>
      <c r="C347" s="14"/>
      <c r="D347" s="92"/>
      <c r="E347" s="14"/>
      <c r="F347" s="14"/>
      <c r="G347" s="14"/>
      <c r="H347" s="14"/>
      <c r="I347" s="67"/>
      <c r="J347" s="14"/>
      <c r="K347" s="14"/>
      <c r="L347" s="14"/>
      <c r="M347" s="14"/>
      <c r="O347" s="99"/>
      <c r="P347" s="99"/>
      <c r="AU347" s="81"/>
      <c r="AV347" s="99"/>
      <c r="AW347" s="99"/>
    </row>
    <row r="348" spans="1:49" x14ac:dyDescent="0.25">
      <c r="A348" s="14"/>
      <c r="B348" s="14"/>
      <c r="C348" s="14"/>
      <c r="D348" s="92"/>
      <c r="E348" s="14"/>
      <c r="F348" s="14"/>
      <c r="G348" s="14"/>
      <c r="H348" s="14"/>
      <c r="I348" s="67"/>
      <c r="J348" s="14"/>
      <c r="K348" s="14"/>
      <c r="L348" s="14"/>
      <c r="M348" s="14"/>
      <c r="O348" s="99"/>
      <c r="P348" s="99"/>
      <c r="AU348" s="81"/>
      <c r="AV348" s="99"/>
      <c r="AW348" s="99"/>
    </row>
    <row r="349" spans="1:49" x14ac:dyDescent="0.25">
      <c r="A349" s="14"/>
      <c r="B349" s="14"/>
      <c r="C349" s="14"/>
      <c r="D349" s="92"/>
      <c r="E349" s="14"/>
      <c r="F349" s="14"/>
      <c r="G349" s="14"/>
      <c r="H349" s="14"/>
      <c r="I349" s="67"/>
      <c r="J349" s="14"/>
      <c r="K349" s="14"/>
      <c r="L349" s="14"/>
      <c r="M349" s="14"/>
      <c r="O349" s="99"/>
      <c r="P349" s="99"/>
      <c r="AU349" s="81"/>
      <c r="AV349" s="99"/>
      <c r="AW349" s="99"/>
    </row>
    <row r="350" spans="1:49" x14ac:dyDescent="0.25">
      <c r="A350" s="14"/>
      <c r="B350" s="14"/>
      <c r="C350" s="14"/>
      <c r="D350" s="92"/>
      <c r="E350" s="14"/>
      <c r="F350" s="14"/>
      <c r="G350" s="14"/>
      <c r="H350" s="14"/>
      <c r="I350" s="67"/>
      <c r="J350" s="14"/>
      <c r="K350" s="14"/>
      <c r="L350" s="14"/>
      <c r="M350" s="14"/>
      <c r="O350" s="99"/>
      <c r="P350" s="99"/>
      <c r="AU350" s="81"/>
      <c r="AV350" s="99"/>
      <c r="AW350" s="99"/>
    </row>
    <row r="351" spans="1:49" x14ac:dyDescent="0.25">
      <c r="A351" s="14"/>
      <c r="B351" s="14"/>
      <c r="C351" s="14"/>
      <c r="D351" s="92"/>
      <c r="E351" s="14"/>
      <c r="F351" s="14"/>
      <c r="G351" s="14"/>
      <c r="H351" s="14"/>
      <c r="I351" s="67"/>
      <c r="J351" s="14"/>
      <c r="K351" s="14"/>
      <c r="L351" s="14"/>
      <c r="M351" s="14"/>
      <c r="O351" s="99"/>
      <c r="P351" s="99"/>
      <c r="AU351" s="81"/>
      <c r="AV351" s="99"/>
      <c r="AW351" s="99"/>
    </row>
    <row r="352" spans="1:49" x14ac:dyDescent="0.25">
      <c r="A352" s="14"/>
      <c r="B352" s="14"/>
      <c r="C352" s="14"/>
      <c r="D352" s="92"/>
      <c r="E352" s="14"/>
      <c r="F352" s="14"/>
      <c r="G352" s="14"/>
      <c r="H352" s="14"/>
      <c r="I352" s="67"/>
      <c r="J352" s="14"/>
      <c r="K352" s="14"/>
      <c r="L352" s="14"/>
      <c r="M352" s="14"/>
      <c r="O352" s="99"/>
      <c r="P352" s="99"/>
      <c r="AU352" s="81"/>
      <c r="AV352" s="99"/>
      <c r="AW352" s="99"/>
    </row>
    <row r="353" spans="1:49" x14ac:dyDescent="0.25">
      <c r="A353" s="14"/>
      <c r="B353" s="14"/>
      <c r="C353" s="14"/>
      <c r="D353" s="92"/>
      <c r="E353" s="14"/>
      <c r="F353" s="14"/>
      <c r="G353" s="14"/>
      <c r="H353" s="14"/>
      <c r="I353" s="67"/>
      <c r="J353" s="14"/>
      <c r="K353" s="14"/>
      <c r="L353" s="14"/>
      <c r="M353" s="14"/>
      <c r="O353" s="99"/>
      <c r="P353" s="99"/>
      <c r="AU353" s="81"/>
      <c r="AV353" s="99"/>
      <c r="AW353" s="99"/>
    </row>
    <row r="354" spans="1:49" x14ac:dyDescent="0.25">
      <c r="A354" s="14"/>
      <c r="B354" s="14"/>
      <c r="C354" s="14"/>
      <c r="D354" s="92"/>
      <c r="E354" s="14"/>
      <c r="F354" s="14"/>
      <c r="G354" s="14"/>
      <c r="H354" s="14"/>
      <c r="I354" s="67"/>
      <c r="J354" s="14"/>
      <c r="K354" s="14"/>
      <c r="L354" s="14"/>
      <c r="M354" s="14"/>
      <c r="O354" s="99"/>
      <c r="P354" s="99"/>
      <c r="AU354" s="81"/>
      <c r="AV354" s="99"/>
      <c r="AW354" s="99"/>
    </row>
    <row r="355" spans="1:49" x14ac:dyDescent="0.25">
      <c r="A355" s="14"/>
      <c r="B355" s="14"/>
      <c r="C355" s="14"/>
      <c r="D355" s="92"/>
      <c r="E355" s="14"/>
      <c r="F355" s="14"/>
      <c r="G355" s="14"/>
      <c r="H355" s="14"/>
      <c r="I355" s="67"/>
      <c r="J355" s="14"/>
      <c r="K355" s="14"/>
      <c r="L355" s="14"/>
      <c r="M355" s="14"/>
      <c r="O355" s="99"/>
      <c r="P355" s="99"/>
      <c r="AU355" s="81"/>
      <c r="AV355" s="99"/>
      <c r="AW355" s="99"/>
    </row>
    <row r="356" spans="1:49" x14ac:dyDescent="0.25">
      <c r="A356" s="14"/>
      <c r="B356" s="14"/>
      <c r="C356" s="14"/>
      <c r="D356" s="92"/>
      <c r="E356" s="14"/>
      <c r="F356" s="14"/>
      <c r="G356" s="14"/>
      <c r="H356" s="14"/>
      <c r="I356" s="67"/>
      <c r="J356" s="14"/>
      <c r="K356" s="14"/>
      <c r="L356" s="14"/>
      <c r="M356" s="14"/>
      <c r="O356" s="99"/>
      <c r="P356" s="99"/>
      <c r="AU356" s="81"/>
      <c r="AV356" s="99"/>
      <c r="AW356" s="99"/>
    </row>
    <row r="357" spans="1:49" x14ac:dyDescent="0.25">
      <c r="A357" s="14"/>
      <c r="B357" s="14"/>
      <c r="C357" s="14"/>
      <c r="D357" s="92"/>
      <c r="E357" s="14"/>
      <c r="F357" s="14"/>
      <c r="G357" s="14"/>
      <c r="H357" s="14"/>
      <c r="I357" s="67"/>
      <c r="J357" s="14"/>
      <c r="K357" s="14"/>
      <c r="L357" s="14"/>
      <c r="M357" s="14"/>
      <c r="O357" s="99"/>
      <c r="P357" s="99"/>
      <c r="AU357" s="81"/>
      <c r="AV357" s="99"/>
      <c r="AW357" s="99"/>
    </row>
    <row r="358" spans="1:49" x14ac:dyDescent="0.25">
      <c r="A358" s="14"/>
      <c r="B358" s="14"/>
      <c r="C358" s="14"/>
      <c r="D358" s="92"/>
      <c r="E358" s="14"/>
      <c r="F358" s="14"/>
      <c r="G358" s="14"/>
      <c r="H358" s="14"/>
      <c r="I358" s="67"/>
      <c r="J358" s="14"/>
      <c r="K358" s="14"/>
      <c r="L358" s="14"/>
      <c r="M358" s="14"/>
      <c r="O358" s="99"/>
      <c r="P358" s="99"/>
      <c r="AU358" s="81"/>
      <c r="AV358" s="99"/>
      <c r="AW358" s="99"/>
    </row>
    <row r="359" spans="1:49" x14ac:dyDescent="0.25">
      <c r="A359" s="14"/>
      <c r="B359" s="14"/>
      <c r="C359" s="14"/>
      <c r="D359" s="92"/>
      <c r="E359" s="14"/>
      <c r="F359" s="14"/>
      <c r="G359" s="14"/>
      <c r="H359" s="14"/>
      <c r="I359" s="67"/>
      <c r="J359" s="14"/>
      <c r="K359" s="14"/>
      <c r="L359" s="14"/>
      <c r="M359" s="14"/>
      <c r="O359" s="99"/>
      <c r="P359" s="99"/>
      <c r="AU359" s="81"/>
      <c r="AV359" s="99"/>
      <c r="AW359" s="99"/>
    </row>
    <row r="360" spans="1:49" x14ac:dyDescent="0.25">
      <c r="A360" s="14"/>
      <c r="B360" s="14"/>
      <c r="C360" s="14"/>
      <c r="D360" s="92"/>
      <c r="E360" s="14"/>
      <c r="F360" s="14"/>
      <c r="G360" s="14"/>
      <c r="H360" s="14"/>
      <c r="I360" s="67"/>
      <c r="J360" s="14"/>
      <c r="K360" s="14"/>
      <c r="L360" s="14"/>
      <c r="M360" s="14"/>
      <c r="O360" s="99"/>
      <c r="P360" s="99"/>
      <c r="AU360" s="81"/>
      <c r="AV360" s="99"/>
      <c r="AW360" s="99"/>
    </row>
    <row r="361" spans="1:49" x14ac:dyDescent="0.25">
      <c r="A361" s="14"/>
      <c r="B361" s="14"/>
      <c r="C361" s="14"/>
      <c r="D361" s="92"/>
      <c r="E361" s="14"/>
      <c r="F361" s="14"/>
      <c r="G361" s="14"/>
      <c r="H361" s="14"/>
      <c r="I361" s="67"/>
      <c r="J361" s="14"/>
      <c r="K361" s="14"/>
      <c r="L361" s="14"/>
      <c r="M361" s="14"/>
      <c r="O361" s="99"/>
      <c r="P361" s="99"/>
      <c r="AU361" s="81"/>
      <c r="AV361" s="99"/>
      <c r="AW361" s="99"/>
    </row>
    <row r="362" spans="1:49" x14ac:dyDescent="0.25">
      <c r="A362" s="14"/>
      <c r="B362" s="14"/>
      <c r="C362" s="14"/>
      <c r="D362" s="92"/>
      <c r="E362" s="14"/>
      <c r="F362" s="14"/>
      <c r="G362" s="14"/>
      <c r="H362" s="14"/>
      <c r="I362" s="67"/>
      <c r="J362" s="14"/>
      <c r="K362" s="14"/>
      <c r="L362" s="14"/>
      <c r="M362" s="14"/>
      <c r="O362" s="99"/>
      <c r="P362" s="99"/>
      <c r="AU362" s="81"/>
      <c r="AV362" s="99"/>
      <c r="AW362" s="99"/>
    </row>
    <row r="363" spans="1:49" x14ac:dyDescent="0.25">
      <c r="A363" s="14"/>
      <c r="B363" s="14"/>
      <c r="C363" s="14"/>
      <c r="D363" s="92"/>
      <c r="E363" s="14"/>
      <c r="F363" s="14"/>
      <c r="G363" s="14"/>
      <c r="H363" s="14"/>
      <c r="I363" s="67"/>
      <c r="J363" s="14"/>
      <c r="K363" s="14"/>
      <c r="L363" s="14"/>
      <c r="M363" s="14"/>
      <c r="O363" s="99"/>
      <c r="P363" s="99"/>
      <c r="AU363" s="81"/>
      <c r="AV363" s="99"/>
      <c r="AW363" s="99"/>
    </row>
    <row r="364" spans="1:49" x14ac:dyDescent="0.25">
      <c r="A364" s="14"/>
      <c r="B364" s="14"/>
      <c r="C364" s="14"/>
      <c r="D364" s="92"/>
      <c r="E364" s="14"/>
      <c r="F364" s="14"/>
      <c r="G364" s="14"/>
      <c r="H364" s="14"/>
      <c r="I364" s="67"/>
      <c r="J364" s="14"/>
      <c r="K364" s="14"/>
      <c r="L364" s="14"/>
      <c r="M364" s="14"/>
      <c r="O364" s="99"/>
      <c r="P364" s="99"/>
      <c r="AU364" s="81"/>
      <c r="AV364" s="99"/>
      <c r="AW364" s="99"/>
    </row>
    <row r="365" spans="1:49" x14ac:dyDescent="0.25">
      <c r="A365" s="14"/>
      <c r="B365" s="14"/>
      <c r="C365" s="14"/>
      <c r="D365" s="92"/>
      <c r="E365" s="14"/>
      <c r="F365" s="14"/>
      <c r="G365" s="14"/>
      <c r="H365" s="14"/>
      <c r="I365" s="67"/>
      <c r="J365" s="14"/>
      <c r="K365" s="14"/>
      <c r="L365" s="14"/>
      <c r="M365" s="14"/>
      <c r="O365" s="99"/>
      <c r="P365" s="99"/>
      <c r="AU365" s="81"/>
      <c r="AV365" s="99"/>
      <c r="AW365" s="99"/>
    </row>
    <row r="366" spans="1:49" x14ac:dyDescent="0.25">
      <c r="A366" s="14"/>
      <c r="B366" s="14"/>
      <c r="C366" s="14"/>
      <c r="D366" s="92"/>
      <c r="E366" s="14"/>
      <c r="F366" s="14"/>
      <c r="G366" s="14"/>
      <c r="H366" s="14"/>
      <c r="I366" s="67"/>
      <c r="J366" s="14"/>
      <c r="K366" s="14"/>
      <c r="L366" s="14"/>
      <c r="M366" s="14"/>
      <c r="O366" s="99"/>
      <c r="P366" s="99"/>
      <c r="AU366" s="81"/>
      <c r="AV366" s="99"/>
      <c r="AW366" s="99"/>
    </row>
    <row r="367" spans="1:49" x14ac:dyDescent="0.25">
      <c r="A367" s="14"/>
      <c r="B367" s="14"/>
      <c r="C367" s="14"/>
      <c r="D367" s="92"/>
      <c r="E367" s="14"/>
      <c r="F367" s="14"/>
      <c r="G367" s="14"/>
      <c r="H367" s="14"/>
      <c r="I367" s="67"/>
      <c r="J367" s="14"/>
      <c r="K367" s="14"/>
      <c r="L367" s="14"/>
      <c r="M367" s="14"/>
      <c r="O367" s="99"/>
      <c r="P367" s="99"/>
      <c r="AU367" s="81"/>
      <c r="AV367" s="99"/>
      <c r="AW367" s="99"/>
    </row>
    <row r="368" spans="1:49" x14ac:dyDescent="0.25">
      <c r="A368" s="14"/>
      <c r="B368" s="14"/>
      <c r="C368" s="14"/>
      <c r="D368" s="92"/>
      <c r="E368" s="14"/>
      <c r="F368" s="14"/>
      <c r="G368" s="14"/>
      <c r="H368" s="14"/>
      <c r="I368" s="67"/>
      <c r="J368" s="14"/>
      <c r="K368" s="14"/>
      <c r="L368" s="14"/>
      <c r="M368" s="14"/>
      <c r="O368" s="99"/>
      <c r="P368" s="99"/>
      <c r="AU368" s="81"/>
      <c r="AV368" s="99"/>
      <c r="AW368" s="99"/>
    </row>
    <row r="369" spans="1:49" x14ac:dyDescent="0.25">
      <c r="A369" s="14"/>
      <c r="B369" s="14"/>
      <c r="C369" s="14"/>
      <c r="D369" s="92"/>
      <c r="E369" s="14"/>
      <c r="F369" s="14"/>
      <c r="G369" s="14"/>
      <c r="H369" s="14"/>
      <c r="I369" s="67"/>
      <c r="J369" s="14"/>
      <c r="K369" s="14"/>
      <c r="L369" s="14"/>
      <c r="M369" s="14"/>
      <c r="O369" s="99"/>
      <c r="P369" s="99"/>
      <c r="AU369" s="81"/>
      <c r="AV369" s="99"/>
      <c r="AW369" s="99"/>
    </row>
    <row r="370" spans="1:49" x14ac:dyDescent="0.25">
      <c r="A370" s="14"/>
      <c r="B370" s="14"/>
      <c r="C370" s="14"/>
      <c r="D370" s="92"/>
      <c r="E370" s="14"/>
      <c r="F370" s="14"/>
      <c r="G370" s="14"/>
      <c r="H370" s="14"/>
      <c r="I370" s="67"/>
      <c r="J370" s="14"/>
      <c r="K370" s="14"/>
      <c r="L370" s="14"/>
      <c r="M370" s="14"/>
      <c r="O370" s="99"/>
      <c r="P370" s="99"/>
      <c r="AU370" s="81"/>
      <c r="AV370" s="99"/>
      <c r="AW370" s="99"/>
    </row>
    <row r="371" spans="1:49" x14ac:dyDescent="0.25">
      <c r="A371" s="14"/>
      <c r="B371" s="14"/>
      <c r="C371" s="14"/>
      <c r="D371" s="92"/>
      <c r="E371" s="14"/>
      <c r="F371" s="14"/>
      <c r="G371" s="14"/>
      <c r="H371" s="14"/>
      <c r="I371" s="67"/>
      <c r="J371" s="14"/>
      <c r="K371" s="14"/>
      <c r="L371" s="14"/>
      <c r="M371" s="14"/>
      <c r="O371" s="99"/>
      <c r="P371" s="99"/>
      <c r="AU371" s="81"/>
      <c r="AV371" s="99"/>
      <c r="AW371" s="99"/>
    </row>
    <row r="372" spans="1:49" x14ac:dyDescent="0.25">
      <c r="A372" s="14"/>
      <c r="B372" s="14"/>
      <c r="C372" s="14"/>
      <c r="D372" s="92"/>
      <c r="E372" s="14"/>
      <c r="F372" s="14"/>
      <c r="G372" s="14"/>
      <c r="H372" s="14"/>
      <c r="I372" s="67"/>
      <c r="J372" s="14"/>
      <c r="K372" s="14"/>
      <c r="L372" s="14"/>
      <c r="M372" s="14"/>
      <c r="O372" s="99"/>
      <c r="P372" s="99"/>
      <c r="AU372" s="81"/>
      <c r="AV372" s="99"/>
      <c r="AW372" s="99"/>
    </row>
    <row r="373" spans="1:49" x14ac:dyDescent="0.25">
      <c r="A373" s="14"/>
      <c r="B373" s="14"/>
      <c r="C373" s="14"/>
      <c r="D373" s="92"/>
      <c r="E373" s="14"/>
      <c r="F373" s="14"/>
      <c r="G373" s="14"/>
      <c r="H373" s="14"/>
      <c r="I373" s="67"/>
      <c r="J373" s="14"/>
      <c r="K373" s="14"/>
      <c r="L373" s="14"/>
      <c r="M373" s="14"/>
      <c r="O373" s="99"/>
      <c r="P373" s="99"/>
      <c r="AU373" s="81"/>
      <c r="AV373" s="99"/>
      <c r="AW373" s="99"/>
    </row>
    <row r="374" spans="1:49" x14ac:dyDescent="0.25">
      <c r="A374" s="14"/>
      <c r="B374" s="14"/>
      <c r="C374" s="14"/>
      <c r="D374" s="92"/>
      <c r="E374" s="14"/>
      <c r="F374" s="14"/>
      <c r="G374" s="14"/>
      <c r="H374" s="14"/>
      <c r="I374" s="67"/>
      <c r="J374" s="14"/>
      <c r="K374" s="14"/>
      <c r="L374" s="14"/>
      <c r="M374" s="14"/>
      <c r="O374" s="99"/>
      <c r="P374" s="99"/>
      <c r="AU374" s="81"/>
      <c r="AV374" s="99"/>
      <c r="AW374" s="99"/>
    </row>
    <row r="375" spans="1:49" x14ac:dyDescent="0.25">
      <c r="A375" s="14"/>
      <c r="B375" s="14"/>
      <c r="C375" s="14"/>
      <c r="D375" s="92"/>
      <c r="E375" s="14"/>
      <c r="F375" s="14"/>
      <c r="G375" s="14"/>
      <c r="H375" s="14"/>
      <c r="I375" s="67"/>
      <c r="J375" s="14"/>
      <c r="K375" s="14"/>
      <c r="L375" s="14"/>
      <c r="M375" s="14"/>
      <c r="O375" s="99"/>
      <c r="P375" s="99"/>
      <c r="AU375" s="81"/>
      <c r="AV375" s="99"/>
      <c r="AW375" s="99"/>
    </row>
    <row r="376" spans="1:49" x14ac:dyDescent="0.25">
      <c r="A376" s="14"/>
      <c r="B376" s="14"/>
      <c r="C376" s="14"/>
      <c r="D376" s="92"/>
      <c r="E376" s="14"/>
      <c r="F376" s="14"/>
      <c r="G376" s="14"/>
      <c r="H376" s="14"/>
      <c r="I376" s="67"/>
      <c r="J376" s="14"/>
      <c r="K376" s="14"/>
      <c r="L376" s="14"/>
      <c r="M376" s="14"/>
      <c r="O376" s="99"/>
      <c r="P376" s="99"/>
      <c r="AU376" s="81"/>
      <c r="AV376" s="99"/>
      <c r="AW376" s="99"/>
    </row>
    <row r="377" spans="1:49" x14ac:dyDescent="0.25">
      <c r="A377" s="14"/>
      <c r="B377" s="14"/>
      <c r="C377" s="14"/>
      <c r="D377" s="92"/>
      <c r="E377" s="14"/>
      <c r="F377" s="14"/>
      <c r="G377" s="14"/>
      <c r="H377" s="14"/>
      <c r="I377" s="67"/>
      <c r="J377" s="14"/>
      <c r="K377" s="14"/>
      <c r="L377" s="14"/>
      <c r="M377" s="14"/>
      <c r="O377" s="99"/>
      <c r="P377" s="99"/>
      <c r="AU377" s="81"/>
      <c r="AV377" s="99"/>
      <c r="AW377" s="99"/>
    </row>
    <row r="378" spans="1:49" x14ac:dyDescent="0.25">
      <c r="A378" s="14"/>
      <c r="B378" s="14"/>
      <c r="C378" s="14"/>
      <c r="D378" s="92"/>
      <c r="E378" s="14"/>
      <c r="F378" s="14"/>
      <c r="G378" s="14"/>
      <c r="H378" s="14"/>
      <c r="I378" s="67"/>
      <c r="J378" s="14"/>
      <c r="K378" s="14"/>
      <c r="L378" s="14"/>
      <c r="M378" s="14"/>
      <c r="O378" s="99"/>
      <c r="P378" s="99"/>
      <c r="AU378" s="81"/>
      <c r="AV378" s="99"/>
      <c r="AW378" s="99"/>
    </row>
    <row r="379" spans="1:49" x14ac:dyDescent="0.25">
      <c r="A379" s="14"/>
      <c r="B379" s="14"/>
      <c r="C379" s="14"/>
      <c r="D379" s="92"/>
      <c r="E379" s="14"/>
      <c r="F379" s="14"/>
      <c r="G379" s="14"/>
      <c r="H379" s="14"/>
      <c r="I379" s="67"/>
      <c r="J379" s="14"/>
      <c r="K379" s="14"/>
      <c r="L379" s="14"/>
      <c r="M379" s="14"/>
      <c r="O379" s="99"/>
      <c r="P379" s="99"/>
      <c r="AU379" s="81"/>
      <c r="AV379" s="99"/>
      <c r="AW379" s="99"/>
    </row>
    <row r="380" spans="1:49" x14ac:dyDescent="0.25">
      <c r="A380" s="14"/>
      <c r="B380" s="14"/>
      <c r="C380" s="14"/>
      <c r="D380" s="92"/>
      <c r="E380" s="14"/>
      <c r="F380" s="14"/>
      <c r="G380" s="14"/>
      <c r="H380" s="14"/>
      <c r="I380" s="67"/>
      <c r="J380" s="14"/>
      <c r="K380" s="14"/>
      <c r="L380" s="14"/>
      <c r="M380" s="14"/>
      <c r="O380" s="99"/>
      <c r="P380" s="99"/>
      <c r="AU380" s="81"/>
      <c r="AV380" s="99"/>
      <c r="AW380" s="99"/>
    </row>
    <row r="381" spans="1:49" x14ac:dyDescent="0.25">
      <c r="A381" s="14"/>
      <c r="B381" s="14"/>
      <c r="C381" s="14"/>
      <c r="D381" s="92"/>
      <c r="E381" s="14"/>
      <c r="F381" s="14"/>
      <c r="G381" s="14"/>
      <c r="H381" s="14"/>
      <c r="I381" s="67"/>
      <c r="J381" s="14"/>
      <c r="K381" s="14"/>
      <c r="L381" s="14"/>
      <c r="M381" s="14"/>
      <c r="O381" s="99"/>
      <c r="P381" s="99"/>
      <c r="AU381" s="81"/>
      <c r="AV381" s="99"/>
      <c r="AW381" s="99"/>
    </row>
    <row r="382" spans="1:49" x14ac:dyDescent="0.25">
      <c r="A382" s="14"/>
      <c r="B382" s="14"/>
      <c r="C382" s="14"/>
      <c r="D382" s="92"/>
      <c r="E382" s="14"/>
      <c r="F382" s="14"/>
      <c r="G382" s="14"/>
      <c r="H382" s="14"/>
      <c r="I382" s="67"/>
      <c r="J382" s="14"/>
      <c r="K382" s="14"/>
      <c r="L382" s="14"/>
      <c r="M382" s="14"/>
      <c r="O382" s="99"/>
      <c r="P382" s="99"/>
      <c r="AU382" s="81"/>
      <c r="AV382" s="99"/>
      <c r="AW382" s="99"/>
    </row>
    <row r="383" spans="1:49" x14ac:dyDescent="0.25">
      <c r="A383" s="14"/>
      <c r="B383" s="14"/>
      <c r="C383" s="14"/>
      <c r="D383" s="92"/>
      <c r="E383" s="14"/>
      <c r="F383" s="14"/>
      <c r="G383" s="14"/>
      <c r="H383" s="14"/>
      <c r="I383" s="67"/>
      <c r="J383" s="14"/>
      <c r="K383" s="14"/>
      <c r="L383" s="14"/>
      <c r="M383" s="14"/>
      <c r="O383" s="99"/>
      <c r="P383" s="99"/>
      <c r="AU383" s="81"/>
      <c r="AV383" s="99"/>
      <c r="AW383" s="99"/>
    </row>
    <row r="384" spans="1:49" x14ac:dyDescent="0.25">
      <c r="A384" s="14"/>
      <c r="B384" s="14"/>
      <c r="C384" s="14"/>
      <c r="D384" s="92"/>
      <c r="E384" s="14"/>
      <c r="F384" s="14"/>
      <c r="G384" s="14"/>
      <c r="H384" s="14"/>
      <c r="I384" s="67"/>
      <c r="J384" s="14"/>
      <c r="K384" s="14"/>
      <c r="L384" s="14"/>
      <c r="M384" s="14"/>
      <c r="O384" s="99"/>
      <c r="P384" s="99"/>
      <c r="AU384" s="81"/>
      <c r="AV384" s="99"/>
      <c r="AW384" s="99"/>
    </row>
    <row r="385" spans="1:49" x14ac:dyDescent="0.25">
      <c r="A385" s="14"/>
      <c r="B385" s="14"/>
      <c r="C385" s="14"/>
      <c r="D385" s="92"/>
      <c r="E385" s="14"/>
      <c r="F385" s="14"/>
      <c r="G385" s="14"/>
      <c r="H385" s="14"/>
      <c r="I385" s="67"/>
      <c r="J385" s="14"/>
      <c r="K385" s="14"/>
      <c r="L385" s="14"/>
      <c r="M385" s="14"/>
      <c r="O385" s="99"/>
      <c r="P385" s="99"/>
      <c r="AU385" s="81"/>
      <c r="AV385" s="99"/>
      <c r="AW385" s="99"/>
    </row>
    <row r="386" spans="1:49" x14ac:dyDescent="0.25">
      <c r="A386" s="14"/>
      <c r="B386" s="14"/>
      <c r="C386" s="14"/>
      <c r="D386" s="92"/>
      <c r="E386" s="14"/>
      <c r="F386" s="14"/>
      <c r="G386" s="14"/>
      <c r="H386" s="14"/>
      <c r="I386" s="67"/>
      <c r="J386" s="14"/>
      <c r="K386" s="14"/>
      <c r="L386" s="14"/>
      <c r="M386" s="14"/>
      <c r="O386" s="99"/>
      <c r="P386" s="99"/>
      <c r="AU386" s="81"/>
      <c r="AV386" s="99"/>
      <c r="AW386" s="99"/>
    </row>
    <row r="387" spans="1:49" x14ac:dyDescent="0.25">
      <c r="A387" s="14"/>
      <c r="B387" s="14"/>
      <c r="C387" s="14"/>
      <c r="D387" s="92"/>
      <c r="E387" s="14"/>
      <c r="F387" s="14"/>
      <c r="G387" s="14"/>
      <c r="H387" s="14"/>
      <c r="I387" s="67"/>
      <c r="J387" s="14"/>
      <c r="K387" s="14"/>
      <c r="L387" s="14"/>
      <c r="M387" s="14"/>
      <c r="O387" s="99"/>
      <c r="P387" s="99"/>
      <c r="AU387" s="81"/>
      <c r="AV387" s="99"/>
      <c r="AW387" s="99"/>
    </row>
    <row r="388" spans="1:49" x14ac:dyDescent="0.25">
      <c r="A388" s="14"/>
      <c r="B388" s="14"/>
      <c r="C388" s="14"/>
      <c r="D388" s="92"/>
      <c r="E388" s="14"/>
      <c r="F388" s="14"/>
      <c r="G388" s="14"/>
      <c r="H388" s="14"/>
      <c r="I388" s="67"/>
      <c r="J388" s="14"/>
      <c r="K388" s="14"/>
      <c r="L388" s="14"/>
      <c r="M388" s="14"/>
      <c r="O388" s="99"/>
      <c r="P388" s="99"/>
      <c r="AU388" s="81"/>
      <c r="AV388" s="99"/>
      <c r="AW388" s="99"/>
    </row>
    <row r="389" spans="1:49" x14ac:dyDescent="0.25">
      <c r="A389" s="14"/>
      <c r="B389" s="14"/>
      <c r="C389" s="14"/>
      <c r="D389" s="92"/>
      <c r="E389" s="14"/>
      <c r="F389" s="14"/>
      <c r="G389" s="14"/>
      <c r="H389" s="14"/>
      <c r="I389" s="67"/>
      <c r="J389" s="14"/>
      <c r="K389" s="14"/>
      <c r="L389" s="14"/>
      <c r="M389" s="14"/>
      <c r="O389" s="99"/>
      <c r="P389" s="99"/>
      <c r="AU389" s="81"/>
      <c r="AV389" s="99"/>
      <c r="AW389" s="99"/>
    </row>
    <row r="390" spans="1:49" x14ac:dyDescent="0.25">
      <c r="A390" s="14"/>
      <c r="B390" s="14"/>
      <c r="C390" s="14"/>
      <c r="D390" s="92"/>
      <c r="E390" s="14"/>
      <c r="F390" s="14"/>
      <c r="G390" s="14"/>
      <c r="H390" s="14"/>
      <c r="I390" s="67"/>
      <c r="J390" s="14"/>
      <c r="K390" s="14"/>
      <c r="L390" s="14"/>
      <c r="M390" s="14"/>
      <c r="O390" s="99"/>
      <c r="P390" s="99"/>
      <c r="AU390" s="81"/>
      <c r="AV390" s="99"/>
      <c r="AW390" s="99"/>
    </row>
    <row r="391" spans="1:49" x14ac:dyDescent="0.25">
      <c r="A391" s="14"/>
      <c r="B391" s="14"/>
      <c r="C391" s="14"/>
      <c r="D391" s="92"/>
      <c r="E391" s="14"/>
      <c r="F391" s="14"/>
      <c r="G391" s="14"/>
      <c r="H391" s="14"/>
      <c r="I391" s="67"/>
      <c r="J391" s="14"/>
      <c r="K391" s="14"/>
      <c r="L391" s="14"/>
      <c r="M391" s="14"/>
      <c r="O391" s="99"/>
      <c r="P391" s="99"/>
      <c r="AU391" s="81"/>
      <c r="AV391" s="99"/>
      <c r="AW391" s="99"/>
    </row>
    <row r="392" spans="1:49" x14ac:dyDescent="0.25">
      <c r="A392" s="14"/>
      <c r="B392" s="14"/>
      <c r="C392" s="14"/>
      <c r="D392" s="92"/>
      <c r="E392" s="14"/>
      <c r="F392" s="14"/>
      <c r="G392" s="14"/>
      <c r="H392" s="14"/>
      <c r="I392" s="67"/>
      <c r="J392" s="14"/>
      <c r="K392" s="14"/>
      <c r="L392" s="14"/>
      <c r="M392" s="14"/>
      <c r="O392" s="99"/>
      <c r="P392" s="99"/>
      <c r="AU392" s="81"/>
      <c r="AV392" s="99"/>
      <c r="AW392" s="99"/>
    </row>
    <row r="393" spans="1:49" x14ac:dyDescent="0.25">
      <c r="A393" s="14"/>
      <c r="B393" s="14"/>
      <c r="C393" s="14"/>
      <c r="D393" s="92"/>
      <c r="E393" s="14"/>
      <c r="F393" s="14"/>
      <c r="G393" s="14"/>
      <c r="H393" s="14"/>
      <c r="I393" s="67"/>
      <c r="J393" s="14"/>
      <c r="K393" s="14"/>
      <c r="L393" s="14"/>
      <c r="M393" s="14"/>
      <c r="O393" s="99"/>
      <c r="P393" s="99"/>
      <c r="AU393" s="81"/>
      <c r="AV393" s="99"/>
      <c r="AW393" s="99"/>
    </row>
    <row r="394" spans="1:49" x14ac:dyDescent="0.25">
      <c r="A394" s="14"/>
      <c r="B394" s="14"/>
      <c r="C394" s="14"/>
      <c r="D394" s="92"/>
      <c r="E394" s="14"/>
      <c r="F394" s="14"/>
      <c r="G394" s="14"/>
      <c r="H394" s="14"/>
      <c r="I394" s="67"/>
      <c r="J394" s="14"/>
      <c r="K394" s="14"/>
      <c r="L394" s="14"/>
      <c r="M394" s="14"/>
      <c r="O394" s="99"/>
      <c r="P394" s="99"/>
      <c r="AU394" s="81"/>
      <c r="AV394" s="99"/>
      <c r="AW394" s="99"/>
    </row>
    <row r="395" spans="1:49" x14ac:dyDescent="0.25">
      <c r="A395" s="14"/>
      <c r="B395" s="14"/>
      <c r="C395" s="14"/>
      <c r="D395" s="92"/>
      <c r="E395" s="14"/>
      <c r="F395" s="14"/>
      <c r="G395" s="14"/>
      <c r="H395" s="14"/>
      <c r="I395" s="67"/>
      <c r="J395" s="14"/>
      <c r="K395" s="14"/>
      <c r="L395" s="14"/>
      <c r="M395" s="14"/>
      <c r="O395" s="99"/>
      <c r="P395" s="99"/>
      <c r="AU395" s="81"/>
      <c r="AV395" s="99"/>
      <c r="AW395" s="99"/>
    </row>
    <row r="396" spans="1:49" x14ac:dyDescent="0.25">
      <c r="A396" s="14"/>
      <c r="B396" s="14"/>
      <c r="C396" s="14"/>
      <c r="D396" s="92"/>
      <c r="E396" s="14"/>
      <c r="F396" s="14"/>
      <c r="G396" s="14"/>
      <c r="H396" s="14"/>
      <c r="I396" s="67"/>
      <c r="J396" s="14"/>
      <c r="K396" s="14"/>
      <c r="L396" s="14"/>
      <c r="M396" s="14"/>
      <c r="O396" s="99"/>
      <c r="P396" s="99"/>
      <c r="AU396" s="81"/>
      <c r="AV396" s="99"/>
      <c r="AW396" s="99"/>
    </row>
    <row r="397" spans="1:49" x14ac:dyDescent="0.25">
      <c r="A397" s="14"/>
      <c r="B397" s="14"/>
      <c r="C397" s="14"/>
      <c r="D397" s="92"/>
      <c r="E397" s="14"/>
      <c r="F397" s="14"/>
      <c r="G397" s="14"/>
      <c r="H397" s="14"/>
      <c r="I397" s="67"/>
      <c r="J397" s="14"/>
      <c r="K397" s="14"/>
      <c r="L397" s="14"/>
      <c r="M397" s="14"/>
      <c r="O397" s="99"/>
      <c r="P397" s="99"/>
      <c r="AU397" s="81"/>
      <c r="AV397" s="99"/>
      <c r="AW397" s="99"/>
    </row>
    <row r="398" spans="1:49" x14ac:dyDescent="0.25">
      <c r="A398" s="14"/>
      <c r="B398" s="14"/>
      <c r="C398" s="14"/>
      <c r="D398" s="92"/>
      <c r="E398" s="14"/>
      <c r="F398" s="14"/>
      <c r="G398" s="14"/>
      <c r="H398" s="14"/>
      <c r="I398" s="67"/>
      <c r="J398" s="14"/>
      <c r="K398" s="14"/>
      <c r="L398" s="14"/>
      <c r="M398" s="14"/>
      <c r="O398" s="99"/>
      <c r="P398" s="99"/>
      <c r="AU398" s="81"/>
      <c r="AV398" s="99"/>
      <c r="AW398" s="99"/>
    </row>
    <row r="399" spans="1:49" x14ac:dyDescent="0.25">
      <c r="A399" s="14"/>
      <c r="B399" s="14"/>
      <c r="C399" s="14"/>
      <c r="D399" s="92"/>
      <c r="E399" s="14"/>
      <c r="F399" s="14"/>
      <c r="G399" s="14"/>
      <c r="H399" s="14"/>
      <c r="I399" s="67"/>
      <c r="J399" s="14"/>
      <c r="K399" s="14"/>
      <c r="L399" s="14"/>
      <c r="M399" s="14"/>
      <c r="O399" s="99"/>
      <c r="P399" s="99"/>
      <c r="AU399" s="81"/>
      <c r="AV399" s="99"/>
      <c r="AW399" s="99"/>
    </row>
    <row r="400" spans="1:49" x14ac:dyDescent="0.25">
      <c r="A400" s="14"/>
      <c r="B400" s="14"/>
      <c r="C400" s="14"/>
      <c r="D400" s="92"/>
      <c r="E400" s="14"/>
      <c r="F400" s="14"/>
      <c r="G400" s="14"/>
      <c r="H400" s="14"/>
      <c r="I400" s="67"/>
      <c r="J400" s="14"/>
      <c r="K400" s="14"/>
      <c r="L400" s="14"/>
      <c r="M400" s="14"/>
      <c r="O400" s="99"/>
      <c r="P400" s="99"/>
      <c r="AU400" s="81"/>
      <c r="AV400" s="99"/>
      <c r="AW400" s="99"/>
    </row>
    <row r="401" spans="1:49" x14ac:dyDescent="0.25">
      <c r="A401" s="14"/>
      <c r="B401" s="14"/>
      <c r="C401" s="14"/>
      <c r="D401" s="92"/>
      <c r="E401" s="14"/>
      <c r="F401" s="14"/>
      <c r="G401" s="14"/>
      <c r="H401" s="14"/>
      <c r="I401" s="67"/>
      <c r="J401" s="14"/>
      <c r="K401" s="14"/>
      <c r="L401" s="14"/>
      <c r="M401" s="14"/>
      <c r="O401" s="99"/>
      <c r="P401" s="99"/>
      <c r="AU401" s="81"/>
      <c r="AV401" s="99"/>
      <c r="AW401" s="99"/>
    </row>
    <row r="402" spans="1:49" x14ac:dyDescent="0.25">
      <c r="A402" s="14"/>
      <c r="B402" s="14"/>
      <c r="C402" s="14"/>
      <c r="D402" s="92"/>
      <c r="E402" s="14"/>
      <c r="F402" s="14"/>
      <c r="G402" s="14"/>
      <c r="H402" s="14"/>
      <c r="I402" s="67"/>
      <c r="J402" s="14"/>
      <c r="K402" s="14"/>
      <c r="L402" s="14"/>
      <c r="M402" s="14"/>
      <c r="O402" s="99"/>
      <c r="P402" s="99"/>
      <c r="AU402" s="81"/>
      <c r="AV402" s="99"/>
      <c r="AW402" s="99"/>
    </row>
    <row r="403" spans="1:49" x14ac:dyDescent="0.25">
      <c r="A403" s="14"/>
      <c r="B403" s="14"/>
      <c r="C403" s="14"/>
      <c r="D403" s="92"/>
      <c r="E403" s="14"/>
      <c r="F403" s="14"/>
      <c r="G403" s="14"/>
      <c r="H403" s="14"/>
      <c r="I403" s="67"/>
      <c r="J403" s="14"/>
      <c r="K403" s="14"/>
      <c r="L403" s="14"/>
      <c r="M403" s="14"/>
      <c r="O403" s="99"/>
      <c r="P403" s="99"/>
      <c r="AU403" s="81"/>
      <c r="AV403" s="99"/>
      <c r="AW403" s="99"/>
    </row>
    <row r="404" spans="1:49" x14ac:dyDescent="0.25">
      <c r="A404" s="14"/>
      <c r="B404" s="14"/>
      <c r="C404" s="14"/>
      <c r="D404" s="92"/>
      <c r="E404" s="14"/>
      <c r="F404" s="14"/>
      <c r="G404" s="14"/>
      <c r="H404" s="14"/>
      <c r="I404" s="67"/>
      <c r="J404" s="14"/>
      <c r="K404" s="14"/>
      <c r="L404" s="14"/>
      <c r="M404" s="14"/>
      <c r="O404" s="99"/>
      <c r="P404" s="99"/>
      <c r="AU404" s="81"/>
      <c r="AV404" s="99"/>
      <c r="AW404" s="99"/>
    </row>
    <row r="405" spans="1:49" x14ac:dyDescent="0.25">
      <c r="A405" s="14"/>
      <c r="B405" s="14"/>
      <c r="C405" s="14"/>
      <c r="D405" s="92"/>
      <c r="E405" s="14"/>
      <c r="F405" s="14"/>
      <c r="G405" s="14"/>
      <c r="H405" s="14"/>
      <c r="I405" s="67"/>
      <c r="J405" s="14"/>
      <c r="K405" s="14"/>
      <c r="L405" s="14"/>
      <c r="M405" s="14"/>
      <c r="O405" s="99"/>
      <c r="P405" s="99"/>
      <c r="AU405" s="81"/>
      <c r="AV405" s="99"/>
      <c r="AW405" s="99"/>
    </row>
    <row r="406" spans="1:49" x14ac:dyDescent="0.25">
      <c r="A406" s="14"/>
      <c r="B406" s="14"/>
      <c r="C406" s="14"/>
      <c r="D406" s="92"/>
      <c r="E406" s="14"/>
      <c r="F406" s="14"/>
      <c r="G406" s="14"/>
      <c r="H406" s="14"/>
      <c r="I406" s="67"/>
      <c r="J406" s="14"/>
      <c r="K406" s="14"/>
      <c r="L406" s="14"/>
      <c r="M406" s="14"/>
      <c r="O406" s="99"/>
      <c r="P406" s="99"/>
      <c r="AU406" s="81"/>
      <c r="AV406" s="99"/>
      <c r="AW406" s="99"/>
    </row>
    <row r="407" spans="1:49" x14ac:dyDescent="0.25">
      <c r="A407" s="14"/>
      <c r="B407" s="14"/>
      <c r="C407" s="14"/>
      <c r="D407" s="92"/>
      <c r="E407" s="14"/>
      <c r="F407" s="14"/>
      <c r="G407" s="14"/>
      <c r="H407" s="14"/>
      <c r="I407" s="67"/>
      <c r="J407" s="14"/>
      <c r="K407" s="14"/>
      <c r="L407" s="14"/>
      <c r="M407" s="14"/>
      <c r="O407" s="99"/>
      <c r="P407" s="99"/>
      <c r="AU407" s="81"/>
      <c r="AV407" s="99"/>
      <c r="AW407" s="99"/>
    </row>
    <row r="408" spans="1:49" x14ac:dyDescent="0.25">
      <c r="A408" s="14"/>
      <c r="B408" s="14"/>
      <c r="C408" s="14"/>
      <c r="D408" s="92"/>
      <c r="E408" s="14"/>
      <c r="F408" s="14"/>
      <c r="G408" s="14"/>
      <c r="H408" s="14"/>
      <c r="I408" s="67"/>
      <c r="J408" s="14"/>
      <c r="K408" s="14"/>
      <c r="L408" s="14"/>
      <c r="M408" s="14"/>
      <c r="O408" s="99"/>
      <c r="P408" s="99"/>
      <c r="AU408" s="81"/>
      <c r="AV408" s="99"/>
      <c r="AW408" s="99"/>
    </row>
    <row r="409" spans="1:49" x14ac:dyDescent="0.25">
      <c r="A409" s="14"/>
      <c r="B409" s="14"/>
      <c r="C409" s="14"/>
      <c r="D409" s="92"/>
      <c r="E409" s="14"/>
      <c r="F409" s="14"/>
      <c r="G409" s="14"/>
      <c r="H409" s="14"/>
      <c r="I409" s="67"/>
      <c r="J409" s="14"/>
      <c r="K409" s="14"/>
      <c r="L409" s="14"/>
      <c r="M409" s="14"/>
      <c r="O409" s="99"/>
      <c r="P409" s="99"/>
      <c r="AU409" s="81"/>
      <c r="AV409" s="99"/>
      <c r="AW409" s="99"/>
    </row>
    <row r="410" spans="1:49" x14ac:dyDescent="0.25">
      <c r="A410" s="14"/>
      <c r="B410" s="14"/>
      <c r="C410" s="14"/>
      <c r="D410" s="92"/>
      <c r="E410" s="14"/>
      <c r="F410" s="14"/>
      <c r="G410" s="14"/>
      <c r="H410" s="14"/>
      <c r="I410" s="67"/>
      <c r="J410" s="14"/>
      <c r="K410" s="14"/>
      <c r="L410" s="14"/>
      <c r="M410" s="14"/>
      <c r="O410" s="99"/>
      <c r="P410" s="99"/>
      <c r="AU410" s="81"/>
      <c r="AV410" s="99"/>
      <c r="AW410" s="99"/>
    </row>
    <row r="411" spans="1:49" x14ac:dyDescent="0.25">
      <c r="A411" s="14"/>
      <c r="B411" s="14"/>
      <c r="C411" s="14"/>
      <c r="D411" s="92"/>
      <c r="E411" s="14"/>
      <c r="F411" s="14"/>
      <c r="G411" s="14"/>
      <c r="H411" s="14"/>
      <c r="I411" s="67"/>
      <c r="J411" s="14"/>
      <c r="K411" s="14"/>
      <c r="L411" s="14"/>
      <c r="M411" s="14"/>
      <c r="O411" s="99"/>
      <c r="P411" s="99"/>
      <c r="AU411" s="81"/>
      <c r="AV411" s="99"/>
      <c r="AW411" s="99"/>
    </row>
    <row r="412" spans="1:49" x14ac:dyDescent="0.25">
      <c r="A412" s="14"/>
      <c r="B412" s="14"/>
      <c r="C412" s="14"/>
      <c r="D412" s="92"/>
      <c r="E412" s="14"/>
      <c r="F412" s="14"/>
      <c r="G412" s="14"/>
      <c r="H412" s="14"/>
      <c r="I412" s="67"/>
      <c r="J412" s="14"/>
      <c r="K412" s="14"/>
      <c r="L412" s="14"/>
      <c r="M412" s="14"/>
      <c r="O412" s="99"/>
      <c r="P412" s="99"/>
      <c r="AU412" s="81"/>
      <c r="AV412" s="99"/>
      <c r="AW412" s="99"/>
    </row>
    <row r="413" spans="1:49" x14ac:dyDescent="0.25">
      <c r="A413" s="14"/>
      <c r="B413" s="14"/>
      <c r="C413" s="14"/>
      <c r="D413" s="92"/>
      <c r="E413" s="14"/>
      <c r="F413" s="14"/>
      <c r="G413" s="14"/>
      <c r="H413" s="14"/>
      <c r="I413" s="67"/>
      <c r="J413" s="14"/>
      <c r="K413" s="14"/>
      <c r="L413" s="14"/>
      <c r="M413" s="14"/>
      <c r="O413" s="99"/>
      <c r="P413" s="99"/>
      <c r="AU413" s="81"/>
      <c r="AV413" s="99"/>
      <c r="AW413" s="99"/>
    </row>
    <row r="414" spans="1:49" x14ac:dyDescent="0.25">
      <c r="A414" s="14"/>
      <c r="B414" s="14"/>
      <c r="C414" s="14"/>
      <c r="D414" s="92"/>
      <c r="E414" s="14"/>
      <c r="F414" s="14"/>
      <c r="G414" s="14"/>
      <c r="H414" s="14"/>
      <c r="I414" s="67"/>
      <c r="J414" s="14"/>
      <c r="K414" s="14"/>
      <c r="L414" s="14"/>
      <c r="M414" s="14"/>
      <c r="O414" s="99"/>
      <c r="P414" s="99"/>
      <c r="AU414" s="81"/>
      <c r="AV414" s="99"/>
      <c r="AW414" s="99"/>
    </row>
    <row r="415" spans="1:49" x14ac:dyDescent="0.25">
      <c r="A415" s="14"/>
      <c r="B415" s="14"/>
      <c r="C415" s="14"/>
      <c r="D415" s="92"/>
      <c r="E415" s="14"/>
      <c r="F415" s="14"/>
      <c r="G415" s="14"/>
      <c r="H415" s="14"/>
      <c r="I415" s="67"/>
      <c r="J415" s="14"/>
      <c r="K415" s="14"/>
      <c r="L415" s="14"/>
      <c r="M415" s="14"/>
      <c r="O415" s="99"/>
      <c r="P415" s="99"/>
      <c r="AU415" s="81"/>
      <c r="AV415" s="99"/>
      <c r="AW415" s="99"/>
    </row>
    <row r="416" spans="1:49" x14ac:dyDescent="0.25">
      <c r="A416" s="14"/>
      <c r="B416" s="14"/>
      <c r="C416" s="14"/>
      <c r="D416" s="92"/>
      <c r="E416" s="14"/>
      <c r="F416" s="14"/>
      <c r="G416" s="14"/>
      <c r="H416" s="14"/>
      <c r="I416" s="67"/>
      <c r="J416" s="14"/>
      <c r="K416" s="14"/>
      <c r="L416" s="14"/>
      <c r="M416" s="14"/>
      <c r="O416" s="99"/>
      <c r="P416" s="99"/>
      <c r="AU416" s="81"/>
      <c r="AV416" s="99"/>
      <c r="AW416" s="99"/>
    </row>
    <row r="417" spans="1:49" x14ac:dyDescent="0.25">
      <c r="A417" s="14"/>
      <c r="B417" s="14"/>
      <c r="C417" s="14"/>
      <c r="D417" s="92"/>
      <c r="E417" s="14"/>
      <c r="F417" s="14"/>
      <c r="G417" s="14"/>
      <c r="H417" s="14"/>
      <c r="I417" s="67"/>
      <c r="J417" s="14"/>
      <c r="K417" s="14"/>
      <c r="L417" s="14"/>
      <c r="M417" s="14"/>
      <c r="O417" s="99"/>
      <c r="P417" s="99"/>
      <c r="AU417" s="81"/>
      <c r="AV417" s="99"/>
      <c r="AW417" s="99"/>
    </row>
    <row r="418" spans="1:49" x14ac:dyDescent="0.25">
      <c r="A418" s="14"/>
      <c r="B418" s="14"/>
      <c r="C418" s="14"/>
      <c r="D418" s="92"/>
      <c r="E418" s="14"/>
      <c r="F418" s="14"/>
      <c r="G418" s="14"/>
      <c r="H418" s="14"/>
      <c r="I418" s="67"/>
      <c r="J418" s="14"/>
      <c r="K418" s="14"/>
      <c r="L418" s="14"/>
      <c r="M418" s="14"/>
      <c r="O418" s="99"/>
      <c r="P418" s="99"/>
      <c r="AU418" s="81"/>
      <c r="AV418" s="99"/>
      <c r="AW418" s="99"/>
    </row>
    <row r="419" spans="1:49" x14ac:dyDescent="0.25">
      <c r="A419" s="14"/>
      <c r="B419" s="14"/>
      <c r="C419" s="14"/>
      <c r="D419" s="92"/>
      <c r="E419" s="14"/>
      <c r="F419" s="14"/>
      <c r="G419" s="14"/>
      <c r="H419" s="14"/>
      <c r="I419" s="67"/>
      <c r="J419" s="14"/>
      <c r="K419" s="14"/>
      <c r="L419" s="14"/>
      <c r="M419" s="14"/>
      <c r="O419" s="99"/>
      <c r="P419" s="99"/>
      <c r="AU419" s="81"/>
      <c r="AV419" s="99"/>
      <c r="AW419" s="99"/>
    </row>
    <row r="420" spans="1:49" x14ac:dyDescent="0.25">
      <c r="A420" s="14"/>
      <c r="B420" s="14"/>
      <c r="C420" s="14"/>
      <c r="D420" s="92"/>
      <c r="E420" s="14"/>
      <c r="F420" s="14"/>
      <c r="G420" s="14"/>
      <c r="H420" s="14"/>
      <c r="I420" s="67"/>
      <c r="J420" s="14"/>
      <c r="K420" s="14"/>
      <c r="L420" s="14"/>
      <c r="M420" s="14"/>
      <c r="O420" s="99"/>
      <c r="P420" s="99"/>
      <c r="AU420" s="81"/>
      <c r="AV420" s="99"/>
      <c r="AW420" s="99"/>
    </row>
    <row r="421" spans="1:49" x14ac:dyDescent="0.25">
      <c r="A421" s="14"/>
      <c r="B421" s="14"/>
      <c r="C421" s="14"/>
      <c r="D421" s="92"/>
      <c r="E421" s="14"/>
      <c r="F421" s="14"/>
      <c r="G421" s="14"/>
      <c r="H421" s="14"/>
      <c r="I421" s="67"/>
      <c r="J421" s="14"/>
      <c r="K421" s="14"/>
      <c r="L421" s="14"/>
      <c r="M421" s="14"/>
      <c r="O421" s="99"/>
      <c r="P421" s="99"/>
      <c r="AU421" s="81"/>
      <c r="AV421" s="99"/>
      <c r="AW421" s="99"/>
    </row>
    <row r="422" spans="1:49" x14ac:dyDescent="0.25">
      <c r="A422" s="14"/>
      <c r="B422" s="14"/>
      <c r="C422" s="14"/>
      <c r="D422" s="92"/>
      <c r="E422" s="14"/>
      <c r="F422" s="14"/>
      <c r="G422" s="14"/>
      <c r="H422" s="14"/>
      <c r="I422" s="67"/>
      <c r="J422" s="14"/>
      <c r="K422" s="14"/>
      <c r="L422" s="14"/>
      <c r="M422" s="14"/>
      <c r="O422" s="99"/>
      <c r="P422" s="99"/>
      <c r="AU422" s="81"/>
      <c r="AV422" s="99"/>
      <c r="AW422" s="99"/>
    </row>
    <row r="423" spans="1:49" x14ac:dyDescent="0.25">
      <c r="A423" s="14"/>
      <c r="B423" s="14"/>
      <c r="C423" s="14"/>
      <c r="D423" s="92"/>
      <c r="E423" s="14"/>
      <c r="F423" s="14"/>
      <c r="G423" s="14"/>
      <c r="H423" s="14"/>
      <c r="I423" s="67"/>
      <c r="J423" s="14"/>
      <c r="K423" s="14"/>
      <c r="L423" s="14"/>
      <c r="M423" s="14"/>
      <c r="O423" s="99"/>
      <c r="P423" s="99"/>
      <c r="AU423" s="81"/>
      <c r="AV423" s="99"/>
      <c r="AW423" s="99"/>
    </row>
    <row r="424" spans="1:49" x14ac:dyDescent="0.25">
      <c r="A424" s="14"/>
      <c r="B424" s="14"/>
      <c r="C424" s="14"/>
      <c r="D424" s="92"/>
      <c r="E424" s="14"/>
      <c r="F424" s="14"/>
      <c r="G424" s="14"/>
      <c r="H424" s="14"/>
      <c r="I424" s="67"/>
      <c r="J424" s="14"/>
      <c r="K424" s="14"/>
      <c r="L424" s="14"/>
      <c r="M424" s="14"/>
      <c r="O424" s="99"/>
      <c r="P424" s="99"/>
      <c r="AU424" s="81"/>
      <c r="AV424" s="99"/>
      <c r="AW424" s="99"/>
    </row>
    <row r="425" spans="1:49" x14ac:dyDescent="0.25">
      <c r="A425" s="14"/>
      <c r="B425" s="14"/>
      <c r="C425" s="14"/>
      <c r="D425" s="92"/>
      <c r="E425" s="14"/>
      <c r="F425" s="14"/>
      <c r="G425" s="14"/>
      <c r="H425" s="14"/>
      <c r="I425" s="67"/>
      <c r="J425" s="14"/>
      <c r="K425" s="14"/>
      <c r="L425" s="14"/>
      <c r="M425" s="14"/>
      <c r="O425" s="99"/>
      <c r="P425" s="99"/>
      <c r="AU425" s="81"/>
      <c r="AV425" s="99"/>
      <c r="AW425" s="99"/>
    </row>
    <row r="426" spans="1:49" x14ac:dyDescent="0.25">
      <c r="A426" s="14"/>
      <c r="B426" s="14"/>
      <c r="C426" s="14"/>
      <c r="D426" s="92"/>
      <c r="E426" s="14"/>
      <c r="F426" s="14"/>
      <c r="G426" s="14"/>
      <c r="H426" s="14"/>
      <c r="I426" s="67"/>
      <c r="J426" s="14"/>
      <c r="K426" s="14"/>
      <c r="L426" s="14"/>
      <c r="M426" s="14"/>
      <c r="O426" s="99"/>
      <c r="P426" s="99"/>
      <c r="AU426" s="81"/>
      <c r="AV426" s="99"/>
      <c r="AW426" s="99"/>
    </row>
    <row r="427" spans="1:49" x14ac:dyDescent="0.25">
      <c r="A427" s="14"/>
      <c r="B427" s="14"/>
      <c r="C427" s="14"/>
      <c r="D427" s="92"/>
      <c r="E427" s="14"/>
      <c r="F427" s="14"/>
      <c r="G427" s="14"/>
      <c r="H427" s="14"/>
      <c r="I427" s="67"/>
      <c r="J427" s="14"/>
      <c r="K427" s="14"/>
      <c r="L427" s="14"/>
      <c r="M427" s="14"/>
      <c r="O427" s="99"/>
      <c r="P427" s="99"/>
      <c r="AU427" s="81"/>
      <c r="AV427" s="99"/>
      <c r="AW427" s="99"/>
    </row>
    <row r="428" spans="1:49" x14ac:dyDescent="0.25">
      <c r="A428" s="14"/>
      <c r="B428" s="14"/>
      <c r="C428" s="14"/>
      <c r="D428" s="92"/>
      <c r="E428" s="14"/>
      <c r="F428" s="14"/>
      <c r="G428" s="14"/>
      <c r="H428" s="14"/>
      <c r="I428" s="67"/>
      <c r="J428" s="14"/>
      <c r="K428" s="14"/>
      <c r="L428" s="14"/>
      <c r="M428" s="14"/>
      <c r="O428" s="99"/>
      <c r="P428" s="99"/>
      <c r="AU428" s="81"/>
      <c r="AV428" s="99"/>
      <c r="AW428" s="99"/>
    </row>
    <row r="429" spans="1:49" x14ac:dyDescent="0.25">
      <c r="A429" s="14"/>
      <c r="B429" s="14"/>
      <c r="C429" s="14"/>
      <c r="D429" s="92"/>
      <c r="E429" s="14"/>
      <c r="F429" s="14"/>
      <c r="G429" s="14"/>
      <c r="H429" s="14"/>
      <c r="I429" s="67"/>
      <c r="J429" s="14"/>
      <c r="K429" s="14"/>
      <c r="L429" s="14"/>
      <c r="M429" s="14"/>
      <c r="O429" s="99"/>
      <c r="P429" s="99"/>
      <c r="AU429" s="81"/>
      <c r="AV429" s="99"/>
      <c r="AW429" s="99"/>
    </row>
    <row r="430" spans="1:49" x14ac:dyDescent="0.25">
      <c r="A430" s="14"/>
      <c r="B430" s="14"/>
      <c r="C430" s="14"/>
      <c r="D430" s="92"/>
      <c r="E430" s="14"/>
      <c r="F430" s="14"/>
      <c r="G430" s="14"/>
      <c r="H430" s="14"/>
      <c r="I430" s="67"/>
      <c r="J430" s="14"/>
      <c r="K430" s="14"/>
      <c r="L430" s="14"/>
      <c r="M430" s="14"/>
      <c r="O430" s="99"/>
      <c r="P430" s="99"/>
      <c r="AU430" s="81"/>
      <c r="AV430" s="99"/>
      <c r="AW430" s="99"/>
    </row>
    <row r="431" spans="1:49" x14ac:dyDescent="0.25">
      <c r="A431" s="14"/>
      <c r="B431" s="14"/>
      <c r="C431" s="14"/>
      <c r="D431" s="92"/>
      <c r="E431" s="14"/>
      <c r="F431" s="14"/>
      <c r="G431" s="14"/>
      <c r="H431" s="14"/>
      <c r="I431" s="67"/>
      <c r="J431" s="14"/>
      <c r="K431" s="14"/>
      <c r="L431" s="14"/>
      <c r="M431" s="14"/>
      <c r="O431" s="99"/>
      <c r="P431" s="99"/>
      <c r="AU431" s="81"/>
      <c r="AV431" s="99"/>
      <c r="AW431" s="99"/>
    </row>
    <row r="432" spans="1:49" x14ac:dyDescent="0.25">
      <c r="A432" s="14"/>
      <c r="B432" s="14"/>
      <c r="C432" s="14"/>
      <c r="D432" s="92"/>
      <c r="E432" s="14"/>
      <c r="F432" s="14"/>
      <c r="G432" s="14"/>
      <c r="H432" s="14"/>
      <c r="I432" s="67"/>
      <c r="J432" s="14"/>
      <c r="K432" s="14"/>
      <c r="L432" s="14"/>
      <c r="M432" s="14"/>
      <c r="O432" s="99"/>
      <c r="P432" s="99"/>
      <c r="AU432" s="81"/>
      <c r="AV432" s="99"/>
      <c r="AW432" s="99"/>
    </row>
    <row r="433" spans="1:49" x14ac:dyDescent="0.25">
      <c r="A433" s="14"/>
      <c r="B433" s="14"/>
      <c r="C433" s="14"/>
      <c r="D433" s="92"/>
      <c r="E433" s="14"/>
      <c r="F433" s="14"/>
      <c r="G433" s="14"/>
      <c r="H433" s="14"/>
      <c r="I433" s="67"/>
      <c r="J433" s="14"/>
      <c r="K433" s="14"/>
      <c r="L433" s="14"/>
      <c r="M433" s="14"/>
      <c r="O433" s="99"/>
      <c r="P433" s="99"/>
      <c r="AU433" s="81"/>
      <c r="AV433" s="99"/>
      <c r="AW433" s="99"/>
    </row>
    <row r="434" spans="1:49" x14ac:dyDescent="0.25">
      <c r="A434" s="14"/>
      <c r="B434" s="14"/>
      <c r="C434" s="14"/>
      <c r="D434" s="92"/>
      <c r="E434" s="14"/>
      <c r="F434" s="14"/>
      <c r="G434" s="14"/>
      <c r="H434" s="14"/>
      <c r="I434" s="67"/>
      <c r="J434" s="14"/>
      <c r="K434" s="14"/>
      <c r="L434" s="14"/>
      <c r="M434" s="14"/>
      <c r="O434" s="99"/>
      <c r="P434" s="99"/>
      <c r="AU434" s="81"/>
      <c r="AV434" s="99"/>
      <c r="AW434" s="99"/>
    </row>
    <row r="435" spans="1:49" x14ac:dyDescent="0.25">
      <c r="A435" s="14"/>
      <c r="B435" s="14"/>
      <c r="C435" s="14"/>
      <c r="D435" s="92"/>
      <c r="E435" s="14"/>
      <c r="F435" s="14"/>
      <c r="G435" s="14"/>
      <c r="H435" s="14"/>
      <c r="I435" s="67"/>
      <c r="J435" s="14"/>
      <c r="K435" s="14"/>
      <c r="L435" s="14"/>
      <c r="M435" s="14"/>
      <c r="O435" s="99"/>
      <c r="P435" s="99"/>
      <c r="AU435" s="81"/>
      <c r="AV435" s="99"/>
      <c r="AW435" s="99"/>
    </row>
    <row r="436" spans="1:49" x14ac:dyDescent="0.25">
      <c r="A436" s="14"/>
      <c r="B436" s="14"/>
      <c r="C436" s="14"/>
      <c r="D436" s="92"/>
      <c r="E436" s="14"/>
      <c r="F436" s="14"/>
      <c r="G436" s="14"/>
      <c r="H436" s="14"/>
      <c r="I436" s="67"/>
      <c r="J436" s="14"/>
      <c r="K436" s="14"/>
      <c r="L436" s="14"/>
      <c r="M436" s="14"/>
      <c r="O436" s="99"/>
      <c r="P436" s="99"/>
      <c r="AU436" s="81"/>
      <c r="AV436" s="99"/>
      <c r="AW436" s="99"/>
    </row>
    <row r="437" spans="1:49" x14ac:dyDescent="0.25">
      <c r="A437" s="14"/>
      <c r="B437" s="14"/>
      <c r="C437" s="14"/>
      <c r="D437" s="92"/>
      <c r="E437" s="14"/>
      <c r="F437" s="14"/>
      <c r="G437" s="14"/>
      <c r="H437" s="14"/>
      <c r="I437" s="67"/>
      <c r="J437" s="14"/>
      <c r="K437" s="14"/>
      <c r="L437" s="14"/>
      <c r="M437" s="14"/>
      <c r="O437" s="99"/>
      <c r="P437" s="99"/>
      <c r="AU437" s="81"/>
      <c r="AV437" s="99"/>
      <c r="AW437" s="99"/>
    </row>
    <row r="438" spans="1:49" x14ac:dyDescent="0.25">
      <c r="A438" s="14"/>
      <c r="B438" s="14"/>
      <c r="C438" s="14"/>
      <c r="D438" s="92"/>
      <c r="E438" s="14"/>
      <c r="F438" s="14"/>
      <c r="G438" s="14"/>
      <c r="H438" s="14"/>
      <c r="I438" s="67"/>
      <c r="J438" s="14"/>
      <c r="K438" s="14"/>
      <c r="L438" s="14"/>
      <c r="M438" s="14"/>
      <c r="O438" s="99"/>
      <c r="P438" s="99"/>
      <c r="AU438" s="81"/>
      <c r="AV438" s="99"/>
      <c r="AW438" s="99"/>
    </row>
    <row r="439" spans="1:49" x14ac:dyDescent="0.25">
      <c r="A439" s="14"/>
      <c r="B439" s="14"/>
      <c r="C439" s="14"/>
      <c r="D439" s="92"/>
      <c r="E439" s="14"/>
      <c r="F439" s="14"/>
      <c r="G439" s="14"/>
      <c r="H439" s="14"/>
      <c r="I439" s="67"/>
      <c r="J439" s="14"/>
      <c r="K439" s="14"/>
      <c r="L439" s="14"/>
      <c r="M439" s="14"/>
      <c r="O439" s="99"/>
      <c r="P439" s="99"/>
      <c r="AU439" s="81"/>
      <c r="AV439" s="99"/>
      <c r="AW439" s="99"/>
    </row>
    <row r="440" spans="1:49" x14ac:dyDescent="0.25">
      <c r="A440" s="14"/>
      <c r="B440" s="14"/>
      <c r="C440" s="14"/>
      <c r="D440" s="92"/>
      <c r="E440" s="14"/>
      <c r="F440" s="14"/>
      <c r="G440" s="14"/>
      <c r="H440" s="14"/>
      <c r="I440" s="67"/>
      <c r="J440" s="14"/>
      <c r="K440" s="14"/>
      <c r="L440" s="14"/>
      <c r="M440" s="14"/>
      <c r="O440" s="99"/>
      <c r="P440" s="99"/>
      <c r="AU440" s="81"/>
      <c r="AV440" s="99"/>
      <c r="AW440" s="99"/>
    </row>
    <row r="441" spans="1:49" x14ac:dyDescent="0.25">
      <c r="A441" s="14"/>
      <c r="B441" s="14"/>
      <c r="C441" s="14"/>
      <c r="D441" s="92"/>
      <c r="E441" s="14"/>
      <c r="F441" s="14"/>
      <c r="G441" s="14"/>
      <c r="H441" s="14"/>
      <c r="I441" s="67"/>
      <c r="J441" s="14"/>
      <c r="K441" s="14"/>
      <c r="L441" s="14"/>
      <c r="M441" s="14"/>
      <c r="O441" s="99"/>
      <c r="P441" s="99"/>
      <c r="AU441" s="81"/>
      <c r="AV441" s="99"/>
      <c r="AW441" s="99"/>
    </row>
    <row r="442" spans="1:49" x14ac:dyDescent="0.25">
      <c r="A442" s="14"/>
      <c r="B442" s="14"/>
      <c r="C442" s="14"/>
      <c r="D442" s="92"/>
      <c r="E442" s="14"/>
      <c r="F442" s="14"/>
      <c r="G442" s="14"/>
      <c r="H442" s="14"/>
      <c r="I442" s="67"/>
      <c r="J442" s="14"/>
      <c r="K442" s="14"/>
      <c r="L442" s="14"/>
      <c r="M442" s="14"/>
      <c r="O442" s="99"/>
      <c r="P442" s="99"/>
      <c r="AU442" s="81"/>
      <c r="AV442" s="99"/>
      <c r="AW442" s="99"/>
    </row>
    <row r="443" spans="1:49" x14ac:dyDescent="0.25">
      <c r="A443" s="14"/>
      <c r="B443" s="14"/>
      <c r="C443" s="14"/>
      <c r="D443" s="92"/>
      <c r="E443" s="14"/>
      <c r="F443" s="14"/>
      <c r="G443" s="14"/>
      <c r="H443" s="14"/>
      <c r="I443" s="67"/>
      <c r="J443" s="14"/>
      <c r="K443" s="14"/>
      <c r="L443" s="14"/>
      <c r="M443" s="14"/>
      <c r="O443" s="99"/>
      <c r="P443" s="99"/>
      <c r="AU443" s="81"/>
      <c r="AV443" s="99"/>
      <c r="AW443" s="99"/>
    </row>
    <row r="444" spans="1:49" x14ac:dyDescent="0.25">
      <c r="A444" s="14"/>
      <c r="B444" s="14"/>
      <c r="C444" s="14"/>
      <c r="D444" s="92"/>
      <c r="E444" s="14"/>
      <c r="F444" s="14"/>
      <c r="G444" s="14"/>
      <c r="H444" s="14"/>
      <c r="I444" s="67"/>
      <c r="J444" s="14"/>
      <c r="K444" s="14"/>
      <c r="L444" s="14"/>
      <c r="M444" s="14"/>
      <c r="O444" s="99"/>
      <c r="P444" s="99"/>
      <c r="AU444" s="81"/>
      <c r="AV444" s="99"/>
      <c r="AW444" s="99"/>
    </row>
    <row r="445" spans="1:49" x14ac:dyDescent="0.25">
      <c r="A445" s="14"/>
      <c r="B445" s="14"/>
      <c r="C445" s="14"/>
      <c r="D445" s="92"/>
      <c r="E445" s="14"/>
      <c r="F445" s="14"/>
      <c r="G445" s="14"/>
      <c r="H445" s="14"/>
      <c r="I445" s="67"/>
      <c r="J445" s="14"/>
      <c r="K445" s="14"/>
      <c r="L445" s="14"/>
      <c r="M445" s="14"/>
      <c r="O445" s="99"/>
      <c r="P445" s="99"/>
      <c r="AU445" s="81"/>
      <c r="AV445" s="99"/>
      <c r="AW445" s="99"/>
    </row>
    <row r="446" spans="1:49" x14ac:dyDescent="0.25">
      <c r="A446" s="14"/>
      <c r="B446" s="14"/>
      <c r="C446" s="14"/>
      <c r="D446" s="92"/>
      <c r="E446" s="14"/>
      <c r="F446" s="14"/>
      <c r="G446" s="14"/>
      <c r="H446" s="14"/>
      <c r="I446" s="67"/>
      <c r="J446" s="14"/>
      <c r="K446" s="14"/>
      <c r="L446" s="14"/>
      <c r="M446" s="14"/>
      <c r="O446" s="99"/>
      <c r="P446" s="99"/>
      <c r="AU446" s="81"/>
      <c r="AV446" s="99"/>
      <c r="AW446" s="99"/>
    </row>
    <row r="447" spans="1:49" x14ac:dyDescent="0.25">
      <c r="A447" s="14"/>
      <c r="B447" s="14"/>
      <c r="C447" s="14"/>
      <c r="D447" s="92"/>
      <c r="E447" s="14"/>
      <c r="F447" s="14"/>
      <c r="G447" s="14"/>
      <c r="H447" s="14"/>
      <c r="I447" s="67"/>
      <c r="J447" s="14"/>
      <c r="K447" s="14"/>
      <c r="L447" s="14"/>
      <c r="M447" s="14"/>
      <c r="O447" s="99"/>
      <c r="P447" s="99"/>
      <c r="AU447" s="81"/>
      <c r="AV447" s="99"/>
      <c r="AW447" s="99"/>
    </row>
    <row r="448" spans="1:49" x14ac:dyDescent="0.25">
      <c r="A448" s="14"/>
      <c r="B448" s="14"/>
      <c r="C448" s="14"/>
      <c r="D448" s="92"/>
      <c r="E448" s="14"/>
      <c r="F448" s="14"/>
      <c r="G448" s="14"/>
      <c r="H448" s="14"/>
      <c r="I448" s="67"/>
      <c r="J448" s="14"/>
      <c r="K448" s="14"/>
      <c r="L448" s="14"/>
      <c r="M448" s="14"/>
      <c r="O448" s="99"/>
      <c r="P448" s="99"/>
      <c r="AU448" s="81"/>
      <c r="AV448" s="99"/>
      <c r="AW448" s="99"/>
    </row>
    <row r="449" spans="1:49" x14ac:dyDescent="0.25">
      <c r="A449" s="14"/>
      <c r="B449" s="14"/>
      <c r="C449" s="14"/>
      <c r="D449" s="92"/>
      <c r="E449" s="14"/>
      <c r="F449" s="14"/>
      <c r="G449" s="14"/>
      <c r="H449" s="14"/>
      <c r="I449" s="67"/>
      <c r="J449" s="14"/>
      <c r="K449" s="14"/>
      <c r="L449" s="14"/>
      <c r="M449" s="14"/>
      <c r="O449" s="99"/>
      <c r="P449" s="99"/>
      <c r="AU449" s="81"/>
      <c r="AV449" s="99"/>
      <c r="AW449" s="99"/>
    </row>
    <row r="450" spans="1:49" x14ac:dyDescent="0.25">
      <c r="A450" s="14"/>
      <c r="B450" s="14"/>
      <c r="C450" s="14"/>
      <c r="D450" s="92"/>
      <c r="E450" s="14"/>
      <c r="F450" s="14"/>
      <c r="G450" s="14"/>
      <c r="H450" s="14"/>
      <c r="I450" s="67"/>
      <c r="J450" s="14"/>
      <c r="K450" s="14"/>
      <c r="L450" s="14"/>
      <c r="M450" s="14"/>
      <c r="O450" s="99"/>
      <c r="P450" s="99"/>
      <c r="AU450" s="81"/>
      <c r="AV450" s="99"/>
      <c r="AW450" s="99"/>
    </row>
    <row r="451" spans="1:49" x14ac:dyDescent="0.25">
      <c r="A451" s="14"/>
      <c r="B451" s="14"/>
      <c r="C451" s="14"/>
      <c r="D451" s="92"/>
      <c r="E451" s="14"/>
      <c r="F451" s="14"/>
      <c r="G451" s="14"/>
      <c r="H451" s="14"/>
      <c r="I451" s="67"/>
      <c r="J451" s="14"/>
      <c r="K451" s="14"/>
      <c r="L451" s="14"/>
      <c r="M451" s="14"/>
      <c r="O451" s="99"/>
      <c r="P451" s="99"/>
      <c r="AU451" s="81"/>
      <c r="AV451" s="99"/>
      <c r="AW451" s="99"/>
    </row>
    <row r="452" spans="1:49" x14ac:dyDescent="0.25">
      <c r="A452" s="14"/>
      <c r="B452" s="14"/>
      <c r="C452" s="14"/>
      <c r="D452" s="92"/>
      <c r="E452" s="14"/>
      <c r="F452" s="14"/>
      <c r="G452" s="14"/>
      <c r="H452" s="14"/>
      <c r="I452" s="67"/>
      <c r="J452" s="14"/>
      <c r="K452" s="14"/>
      <c r="L452" s="14"/>
      <c r="M452" s="14"/>
      <c r="O452" s="99"/>
      <c r="P452" s="99"/>
      <c r="AU452" s="81"/>
      <c r="AV452" s="99"/>
      <c r="AW452" s="99"/>
    </row>
    <row r="453" spans="1:49" x14ac:dyDescent="0.25">
      <c r="A453" s="14"/>
      <c r="B453" s="14"/>
      <c r="C453" s="14"/>
      <c r="D453" s="92"/>
      <c r="E453" s="14"/>
      <c r="F453" s="14"/>
      <c r="G453" s="14"/>
      <c r="H453" s="14"/>
      <c r="I453" s="67"/>
      <c r="J453" s="14"/>
      <c r="K453" s="14"/>
      <c r="L453" s="14"/>
      <c r="M453" s="14"/>
      <c r="O453" s="99"/>
      <c r="P453" s="99"/>
      <c r="AU453" s="81"/>
      <c r="AV453" s="99"/>
      <c r="AW453" s="99"/>
    </row>
    <row r="454" spans="1:49" x14ac:dyDescent="0.25">
      <c r="A454" s="14"/>
      <c r="B454" s="14"/>
      <c r="C454" s="14"/>
      <c r="D454" s="92"/>
      <c r="E454" s="14"/>
      <c r="F454" s="14"/>
      <c r="G454" s="14"/>
      <c r="H454" s="14"/>
      <c r="I454" s="67"/>
      <c r="J454" s="14"/>
      <c r="K454" s="14"/>
      <c r="L454" s="14"/>
      <c r="M454" s="14"/>
      <c r="O454" s="99"/>
      <c r="P454" s="99"/>
      <c r="AU454" s="81"/>
      <c r="AV454" s="99"/>
      <c r="AW454" s="99"/>
    </row>
    <row r="455" spans="1:49" x14ac:dyDescent="0.25">
      <c r="A455" s="14"/>
      <c r="B455" s="14"/>
      <c r="C455" s="14"/>
      <c r="D455" s="92"/>
      <c r="E455" s="14"/>
      <c r="F455" s="14"/>
      <c r="G455" s="14"/>
      <c r="H455" s="14"/>
      <c r="I455" s="67"/>
      <c r="J455" s="14"/>
      <c r="K455" s="14"/>
      <c r="L455" s="14"/>
      <c r="M455" s="14"/>
      <c r="O455" s="99"/>
      <c r="P455" s="99"/>
      <c r="AU455" s="81"/>
      <c r="AV455" s="99"/>
      <c r="AW455" s="99"/>
    </row>
    <row r="456" spans="1:49" x14ac:dyDescent="0.25">
      <c r="A456" s="14"/>
      <c r="B456" s="14"/>
      <c r="C456" s="14"/>
      <c r="D456" s="92"/>
      <c r="E456" s="14"/>
      <c r="F456" s="14"/>
      <c r="G456" s="14"/>
      <c r="H456" s="14"/>
      <c r="I456" s="67"/>
      <c r="J456" s="14"/>
      <c r="K456" s="14"/>
      <c r="L456" s="14"/>
      <c r="M456" s="14"/>
      <c r="O456" s="99"/>
      <c r="P456" s="99"/>
      <c r="AU456" s="81"/>
      <c r="AV456" s="99"/>
      <c r="AW456" s="99"/>
    </row>
    <row r="457" spans="1:49" x14ac:dyDescent="0.25">
      <c r="A457" s="14"/>
      <c r="B457" s="14"/>
      <c r="C457" s="14"/>
      <c r="D457" s="92"/>
      <c r="E457" s="14"/>
      <c r="F457" s="14"/>
      <c r="G457" s="14"/>
      <c r="H457" s="14"/>
      <c r="I457" s="67"/>
      <c r="J457" s="14"/>
      <c r="K457" s="14"/>
      <c r="L457" s="14"/>
      <c r="M457" s="14"/>
      <c r="O457" s="99"/>
      <c r="P457" s="99"/>
      <c r="AU457" s="81"/>
      <c r="AV457" s="99"/>
      <c r="AW457" s="99"/>
    </row>
    <row r="458" spans="1:49" x14ac:dyDescent="0.25">
      <c r="A458" s="14"/>
      <c r="B458" s="14"/>
      <c r="C458" s="14"/>
      <c r="D458" s="92"/>
      <c r="E458" s="14"/>
      <c r="F458" s="14"/>
      <c r="G458" s="14"/>
      <c r="H458" s="14"/>
      <c r="I458" s="67"/>
      <c r="J458" s="14"/>
      <c r="K458" s="14"/>
      <c r="L458" s="14"/>
      <c r="M458" s="14"/>
      <c r="O458" s="99"/>
      <c r="P458" s="99"/>
      <c r="AU458" s="81"/>
      <c r="AV458" s="99"/>
      <c r="AW458" s="99"/>
    </row>
    <row r="459" spans="1:49" x14ac:dyDescent="0.25">
      <c r="A459" s="14"/>
      <c r="B459" s="14"/>
      <c r="C459" s="14"/>
      <c r="D459" s="92"/>
      <c r="E459" s="14"/>
      <c r="F459" s="14"/>
      <c r="G459" s="14"/>
      <c r="H459" s="14"/>
      <c r="I459" s="67"/>
      <c r="J459" s="14"/>
      <c r="K459" s="14"/>
      <c r="L459" s="14"/>
      <c r="M459" s="14"/>
      <c r="O459" s="99"/>
      <c r="P459" s="99"/>
      <c r="AU459" s="81"/>
      <c r="AV459" s="99"/>
      <c r="AW459" s="99"/>
    </row>
    <row r="460" spans="1:49" x14ac:dyDescent="0.25">
      <c r="A460" s="14"/>
      <c r="B460" s="14"/>
      <c r="C460" s="14"/>
      <c r="D460" s="92"/>
      <c r="E460" s="14"/>
      <c r="F460" s="14"/>
      <c r="G460" s="14"/>
      <c r="H460" s="14"/>
      <c r="I460" s="67"/>
      <c r="J460" s="14"/>
      <c r="K460" s="14"/>
      <c r="L460" s="14"/>
      <c r="M460" s="14"/>
      <c r="O460" s="99"/>
      <c r="P460" s="99"/>
      <c r="AU460" s="81"/>
      <c r="AV460" s="99"/>
      <c r="AW460" s="99"/>
    </row>
    <row r="461" spans="1:49" x14ac:dyDescent="0.25">
      <c r="A461" s="14"/>
      <c r="B461" s="14"/>
      <c r="C461" s="14"/>
      <c r="D461" s="92"/>
      <c r="E461" s="14"/>
      <c r="F461" s="14"/>
      <c r="G461" s="14"/>
      <c r="H461" s="14"/>
      <c r="I461" s="67"/>
      <c r="J461" s="14"/>
      <c r="K461" s="14"/>
      <c r="L461" s="14"/>
      <c r="M461" s="14"/>
      <c r="O461" s="99"/>
      <c r="P461" s="99"/>
      <c r="AU461" s="81"/>
      <c r="AV461" s="99"/>
      <c r="AW461" s="99"/>
    </row>
    <row r="462" spans="1:49" x14ac:dyDescent="0.25">
      <c r="A462" s="14"/>
      <c r="B462" s="14"/>
      <c r="C462" s="14"/>
      <c r="D462" s="92"/>
      <c r="E462" s="14"/>
      <c r="F462" s="14"/>
      <c r="G462" s="14"/>
      <c r="H462" s="14"/>
      <c r="I462" s="67"/>
      <c r="J462" s="14"/>
      <c r="K462" s="14"/>
      <c r="L462" s="14"/>
      <c r="M462" s="14"/>
      <c r="O462" s="99"/>
      <c r="P462" s="99"/>
      <c r="AU462" s="81"/>
      <c r="AV462" s="99"/>
      <c r="AW462" s="99"/>
    </row>
    <row r="463" spans="1:49" x14ac:dyDescent="0.25">
      <c r="A463" s="14"/>
      <c r="B463" s="14"/>
      <c r="C463" s="14"/>
      <c r="D463" s="92"/>
      <c r="E463" s="14"/>
      <c r="F463" s="14"/>
      <c r="G463" s="14"/>
      <c r="H463" s="14"/>
      <c r="I463" s="67"/>
      <c r="J463" s="14"/>
      <c r="K463" s="14"/>
      <c r="L463" s="14"/>
      <c r="M463" s="14"/>
      <c r="O463" s="99"/>
      <c r="P463" s="99"/>
      <c r="AU463" s="81"/>
      <c r="AV463" s="99"/>
      <c r="AW463" s="99"/>
    </row>
    <row r="464" spans="1:49" x14ac:dyDescent="0.25">
      <c r="A464" s="14"/>
      <c r="B464" s="14"/>
      <c r="C464" s="14"/>
      <c r="D464" s="92"/>
      <c r="E464" s="14"/>
      <c r="F464" s="14"/>
      <c r="G464" s="14"/>
      <c r="H464" s="14"/>
      <c r="I464" s="67"/>
      <c r="J464" s="14"/>
      <c r="K464" s="14"/>
      <c r="L464" s="14"/>
      <c r="M464" s="14"/>
      <c r="O464" s="99"/>
      <c r="P464" s="99"/>
      <c r="AU464" s="81"/>
      <c r="AV464" s="99"/>
      <c r="AW464" s="99"/>
    </row>
    <row r="465" spans="1:49" x14ac:dyDescent="0.25">
      <c r="A465" s="14"/>
      <c r="B465" s="14"/>
      <c r="C465" s="14"/>
      <c r="D465" s="92"/>
      <c r="E465" s="14"/>
      <c r="F465" s="14"/>
      <c r="G465" s="14"/>
      <c r="H465" s="14"/>
      <c r="I465" s="67"/>
      <c r="J465" s="14"/>
      <c r="K465" s="14"/>
      <c r="L465" s="14"/>
      <c r="M465" s="14"/>
      <c r="O465" s="99"/>
      <c r="P465" s="99"/>
      <c r="AU465" s="81"/>
      <c r="AV465" s="99"/>
      <c r="AW465" s="99"/>
    </row>
    <row r="466" spans="1:49" x14ac:dyDescent="0.25">
      <c r="A466" s="14"/>
      <c r="B466" s="14"/>
      <c r="C466" s="14"/>
      <c r="D466" s="92"/>
      <c r="E466" s="14"/>
      <c r="F466" s="14"/>
      <c r="G466" s="14"/>
      <c r="H466" s="14"/>
      <c r="I466" s="67"/>
      <c r="J466" s="14"/>
      <c r="K466" s="14"/>
      <c r="L466" s="14"/>
      <c r="M466" s="14"/>
      <c r="O466" s="99"/>
      <c r="P466" s="99"/>
      <c r="AU466" s="81"/>
      <c r="AV466" s="99"/>
      <c r="AW466" s="99"/>
    </row>
    <row r="467" spans="1:49" x14ac:dyDescent="0.25">
      <c r="A467" s="14"/>
      <c r="B467" s="14"/>
      <c r="C467" s="14"/>
      <c r="D467" s="92"/>
      <c r="E467" s="14"/>
      <c r="F467" s="14"/>
      <c r="G467" s="14"/>
      <c r="H467" s="14"/>
      <c r="I467" s="67"/>
      <c r="J467" s="14"/>
      <c r="K467" s="14"/>
      <c r="L467" s="14"/>
      <c r="M467" s="14"/>
      <c r="O467" s="99"/>
      <c r="P467" s="99"/>
      <c r="AU467" s="81"/>
      <c r="AV467" s="99"/>
      <c r="AW467" s="99"/>
    </row>
    <row r="468" spans="1:49" x14ac:dyDescent="0.25">
      <c r="A468" s="14"/>
      <c r="B468" s="14"/>
      <c r="C468" s="14"/>
      <c r="D468" s="92"/>
      <c r="E468" s="14"/>
      <c r="F468" s="14"/>
      <c r="G468" s="14"/>
      <c r="H468" s="14"/>
      <c r="I468" s="67"/>
      <c r="J468" s="14"/>
      <c r="K468" s="14"/>
      <c r="L468" s="14"/>
      <c r="M468" s="14"/>
      <c r="O468" s="99"/>
      <c r="P468" s="99"/>
      <c r="AU468" s="81"/>
      <c r="AV468" s="99"/>
      <c r="AW468" s="99"/>
    </row>
    <row r="469" spans="1:49" x14ac:dyDescent="0.25">
      <c r="A469" s="14"/>
      <c r="B469" s="14"/>
      <c r="C469" s="14"/>
      <c r="D469" s="92"/>
      <c r="E469" s="14"/>
      <c r="F469" s="14"/>
      <c r="G469" s="14"/>
      <c r="H469" s="14"/>
      <c r="I469" s="67"/>
      <c r="J469" s="14"/>
      <c r="K469" s="14"/>
      <c r="L469" s="14"/>
      <c r="M469" s="14"/>
      <c r="O469" s="99"/>
      <c r="P469" s="99"/>
      <c r="AU469" s="81"/>
      <c r="AV469" s="99"/>
      <c r="AW469" s="99"/>
    </row>
    <row r="470" spans="1:49" x14ac:dyDescent="0.25">
      <c r="A470" s="14"/>
      <c r="B470" s="14"/>
      <c r="C470" s="14"/>
      <c r="D470" s="92"/>
      <c r="E470" s="14"/>
      <c r="F470" s="14"/>
      <c r="G470" s="14"/>
      <c r="H470" s="14"/>
      <c r="I470" s="67"/>
      <c r="J470" s="14"/>
      <c r="K470" s="14"/>
      <c r="L470" s="14"/>
      <c r="M470" s="14"/>
      <c r="O470" s="99"/>
      <c r="P470" s="99"/>
      <c r="AU470" s="81"/>
      <c r="AV470" s="99"/>
      <c r="AW470" s="99"/>
    </row>
    <row r="471" spans="1:49" x14ac:dyDescent="0.25">
      <c r="A471" s="14"/>
      <c r="B471" s="14"/>
      <c r="C471" s="14"/>
      <c r="D471" s="92"/>
      <c r="E471" s="14"/>
      <c r="F471" s="14"/>
      <c r="G471" s="14"/>
      <c r="H471" s="14"/>
      <c r="I471" s="67"/>
      <c r="J471" s="14"/>
      <c r="K471" s="14"/>
      <c r="L471" s="14"/>
      <c r="M471" s="14"/>
      <c r="O471" s="99"/>
      <c r="P471" s="99"/>
      <c r="AU471" s="81"/>
      <c r="AV471" s="99"/>
      <c r="AW471" s="99"/>
    </row>
    <row r="472" spans="1:49" x14ac:dyDescent="0.25">
      <c r="A472" s="14"/>
      <c r="B472" s="14"/>
      <c r="C472" s="14"/>
      <c r="D472" s="92"/>
      <c r="E472" s="14"/>
      <c r="F472" s="14"/>
      <c r="G472" s="14"/>
      <c r="H472" s="14"/>
      <c r="I472" s="67"/>
      <c r="J472" s="14"/>
      <c r="K472" s="14"/>
      <c r="L472" s="14"/>
      <c r="M472" s="14"/>
      <c r="O472" s="99"/>
      <c r="P472" s="99"/>
      <c r="AU472" s="81"/>
      <c r="AV472" s="99"/>
      <c r="AW472" s="99"/>
    </row>
    <row r="473" spans="1:49" x14ac:dyDescent="0.25">
      <c r="A473" s="14"/>
      <c r="B473" s="14"/>
      <c r="C473" s="14"/>
      <c r="D473" s="92"/>
      <c r="E473" s="14"/>
      <c r="F473" s="14"/>
      <c r="G473" s="14"/>
      <c r="H473" s="14"/>
      <c r="I473" s="67"/>
      <c r="J473" s="14"/>
      <c r="K473" s="14"/>
      <c r="L473" s="14"/>
      <c r="M473" s="14"/>
      <c r="O473" s="99"/>
      <c r="P473" s="99"/>
      <c r="AU473" s="81"/>
      <c r="AV473" s="99"/>
      <c r="AW473" s="99"/>
    </row>
    <row r="474" spans="1:49" x14ac:dyDescent="0.25">
      <c r="A474" s="14"/>
      <c r="B474" s="14"/>
      <c r="C474" s="14"/>
      <c r="D474" s="92"/>
      <c r="E474" s="14"/>
      <c r="F474" s="14"/>
      <c r="G474" s="14"/>
      <c r="H474" s="14"/>
      <c r="I474" s="67"/>
      <c r="J474" s="14"/>
      <c r="K474" s="14"/>
      <c r="L474" s="14"/>
      <c r="M474" s="14"/>
      <c r="O474" s="99"/>
      <c r="P474" s="99"/>
      <c r="AU474" s="81"/>
      <c r="AV474" s="99"/>
      <c r="AW474" s="99"/>
    </row>
    <row r="475" spans="1:49" x14ac:dyDescent="0.25">
      <c r="A475" s="14"/>
      <c r="B475" s="14"/>
      <c r="C475" s="14"/>
      <c r="D475" s="92"/>
      <c r="E475" s="14"/>
      <c r="F475" s="14"/>
      <c r="G475" s="14"/>
      <c r="H475" s="14"/>
      <c r="I475" s="67"/>
      <c r="J475" s="14"/>
      <c r="K475" s="14"/>
      <c r="L475" s="14"/>
      <c r="M475" s="14"/>
      <c r="O475" s="99"/>
      <c r="P475" s="99"/>
      <c r="AU475" s="81"/>
      <c r="AV475" s="99"/>
      <c r="AW475" s="99"/>
    </row>
    <row r="476" spans="1:49" x14ac:dyDescent="0.25">
      <c r="A476" s="14"/>
      <c r="B476" s="14"/>
      <c r="C476" s="14"/>
      <c r="D476" s="92"/>
      <c r="E476" s="14"/>
      <c r="F476" s="14"/>
      <c r="G476" s="14"/>
      <c r="H476" s="14"/>
      <c r="I476" s="67"/>
      <c r="J476" s="14"/>
      <c r="K476" s="14"/>
      <c r="L476" s="14"/>
      <c r="M476" s="14"/>
      <c r="O476" s="99"/>
      <c r="P476" s="99"/>
      <c r="AU476" s="81"/>
      <c r="AV476" s="99"/>
      <c r="AW476" s="99"/>
    </row>
    <row r="477" spans="1:49" x14ac:dyDescent="0.25">
      <c r="A477" s="14"/>
      <c r="B477" s="14"/>
      <c r="C477" s="14"/>
      <c r="D477" s="92"/>
      <c r="E477" s="14"/>
      <c r="F477" s="14"/>
      <c r="G477" s="14"/>
      <c r="H477" s="14"/>
      <c r="I477" s="67"/>
      <c r="J477" s="14"/>
      <c r="K477" s="14"/>
      <c r="L477" s="14"/>
      <c r="M477" s="14"/>
      <c r="O477" s="99"/>
      <c r="P477" s="99"/>
      <c r="AU477" s="81"/>
      <c r="AV477" s="99"/>
      <c r="AW477" s="99"/>
    </row>
    <row r="478" spans="1:49" x14ac:dyDescent="0.25">
      <c r="A478" s="14"/>
      <c r="B478" s="14"/>
      <c r="C478" s="14"/>
      <c r="D478" s="92"/>
      <c r="E478" s="14"/>
      <c r="F478" s="14"/>
      <c r="G478" s="14"/>
      <c r="H478" s="14"/>
      <c r="I478" s="67"/>
      <c r="J478" s="14"/>
      <c r="K478" s="14"/>
      <c r="L478" s="14"/>
      <c r="M478" s="14"/>
      <c r="O478" s="99"/>
      <c r="P478" s="99"/>
      <c r="AU478" s="81"/>
      <c r="AV478" s="99"/>
      <c r="AW478" s="99"/>
    </row>
    <row r="479" spans="1:49" x14ac:dyDescent="0.25">
      <c r="A479" s="14"/>
      <c r="B479" s="14"/>
      <c r="C479" s="14"/>
      <c r="D479" s="92"/>
      <c r="E479" s="14"/>
      <c r="F479" s="14"/>
      <c r="G479" s="14"/>
      <c r="H479" s="14"/>
      <c r="I479" s="67"/>
      <c r="J479" s="14"/>
      <c r="K479" s="14"/>
      <c r="L479" s="14"/>
      <c r="M479" s="14"/>
      <c r="O479" s="99"/>
      <c r="P479" s="99"/>
      <c r="AU479" s="81"/>
      <c r="AV479" s="99"/>
      <c r="AW479" s="99"/>
    </row>
    <row r="480" spans="1:49" x14ac:dyDescent="0.25">
      <c r="A480" s="14"/>
      <c r="B480" s="14"/>
      <c r="C480" s="14"/>
      <c r="D480" s="92"/>
      <c r="E480" s="14"/>
      <c r="F480" s="14"/>
      <c r="G480" s="14"/>
      <c r="H480" s="14"/>
      <c r="I480" s="67"/>
      <c r="J480" s="14"/>
      <c r="K480" s="14"/>
      <c r="L480" s="14"/>
      <c r="M480" s="14"/>
      <c r="O480" s="99"/>
      <c r="P480" s="99"/>
      <c r="AU480" s="81"/>
      <c r="AV480" s="99"/>
      <c r="AW480" s="99"/>
    </row>
    <row r="481" spans="1:49" x14ac:dyDescent="0.25">
      <c r="A481" s="14"/>
      <c r="B481" s="14"/>
      <c r="C481" s="14"/>
      <c r="D481" s="92"/>
      <c r="E481" s="14"/>
      <c r="F481" s="14"/>
      <c r="G481" s="14"/>
      <c r="H481" s="14"/>
      <c r="I481" s="67"/>
      <c r="J481" s="14"/>
      <c r="K481" s="14"/>
      <c r="L481" s="14"/>
      <c r="M481" s="14"/>
      <c r="O481" s="99"/>
      <c r="P481" s="99"/>
      <c r="AU481" s="81"/>
      <c r="AV481" s="99"/>
      <c r="AW481" s="99"/>
    </row>
    <row r="482" spans="1:49" x14ac:dyDescent="0.25">
      <c r="A482" s="14"/>
      <c r="B482" s="14"/>
      <c r="C482" s="14"/>
      <c r="D482" s="92"/>
      <c r="E482" s="14"/>
      <c r="F482" s="14"/>
      <c r="G482" s="14"/>
      <c r="H482" s="14"/>
      <c r="I482" s="67"/>
      <c r="J482" s="14"/>
      <c r="K482" s="14"/>
      <c r="L482" s="14"/>
      <c r="M482" s="14"/>
      <c r="O482" s="99"/>
      <c r="P482" s="99"/>
      <c r="AU482" s="81"/>
      <c r="AV482" s="99"/>
      <c r="AW482" s="99"/>
    </row>
    <row r="483" spans="1:49" x14ac:dyDescent="0.25">
      <c r="A483" s="14"/>
      <c r="B483" s="14"/>
      <c r="C483" s="14"/>
      <c r="D483" s="92"/>
      <c r="E483" s="14"/>
      <c r="F483" s="14"/>
      <c r="G483" s="14"/>
      <c r="H483" s="14"/>
      <c r="I483" s="67"/>
      <c r="J483" s="14"/>
      <c r="K483" s="14"/>
      <c r="L483" s="14"/>
      <c r="M483" s="14"/>
      <c r="O483" s="99"/>
      <c r="P483" s="99"/>
      <c r="AU483" s="81"/>
      <c r="AV483" s="99"/>
      <c r="AW483" s="99"/>
    </row>
    <row r="484" spans="1:49" x14ac:dyDescent="0.25">
      <c r="A484" s="14"/>
      <c r="B484" s="14"/>
      <c r="C484" s="14"/>
      <c r="D484" s="92"/>
      <c r="E484" s="14"/>
      <c r="F484" s="14"/>
      <c r="G484" s="14"/>
      <c r="H484" s="14"/>
      <c r="I484" s="67"/>
      <c r="J484" s="14"/>
      <c r="K484" s="14"/>
      <c r="L484" s="14"/>
      <c r="M484" s="14"/>
      <c r="O484" s="99"/>
      <c r="P484" s="99"/>
      <c r="AU484" s="81"/>
      <c r="AV484" s="99"/>
      <c r="AW484" s="99"/>
    </row>
    <row r="485" spans="1:49" x14ac:dyDescent="0.25">
      <c r="A485" s="14"/>
      <c r="B485" s="14"/>
      <c r="C485" s="14"/>
      <c r="D485" s="92"/>
      <c r="E485" s="14"/>
      <c r="F485" s="14"/>
      <c r="G485" s="14"/>
      <c r="H485" s="14"/>
      <c r="I485" s="67"/>
      <c r="J485" s="14"/>
      <c r="K485" s="14"/>
      <c r="L485" s="14"/>
      <c r="M485" s="14"/>
      <c r="O485" s="99"/>
      <c r="P485" s="99"/>
      <c r="AU485" s="81"/>
      <c r="AV485" s="99"/>
      <c r="AW485" s="99"/>
    </row>
    <row r="486" spans="1:49" x14ac:dyDescent="0.25">
      <c r="A486" s="14"/>
      <c r="B486" s="14"/>
      <c r="C486" s="14"/>
      <c r="D486" s="92"/>
      <c r="E486" s="14"/>
      <c r="F486" s="14"/>
      <c r="G486" s="14"/>
      <c r="H486" s="14"/>
      <c r="I486" s="67"/>
      <c r="J486" s="14"/>
      <c r="K486" s="14"/>
      <c r="L486" s="14"/>
      <c r="M486" s="14"/>
      <c r="O486" s="99"/>
      <c r="P486" s="99"/>
      <c r="AU486" s="81"/>
      <c r="AV486" s="99"/>
      <c r="AW486" s="99"/>
    </row>
    <row r="487" spans="1:49" x14ac:dyDescent="0.25">
      <c r="A487" s="14"/>
      <c r="B487" s="14"/>
      <c r="C487" s="14"/>
      <c r="D487" s="92"/>
      <c r="E487" s="14"/>
      <c r="F487" s="14"/>
      <c r="G487" s="14"/>
      <c r="H487" s="14"/>
      <c r="I487" s="67"/>
      <c r="J487" s="14"/>
      <c r="K487" s="14"/>
      <c r="L487" s="14"/>
      <c r="M487" s="14"/>
      <c r="O487" s="99"/>
      <c r="P487" s="99"/>
      <c r="AU487" s="81"/>
      <c r="AV487" s="99"/>
      <c r="AW487" s="99"/>
    </row>
    <row r="488" spans="1:49" x14ac:dyDescent="0.25">
      <c r="A488" s="14"/>
      <c r="B488" s="14"/>
      <c r="C488" s="14"/>
      <c r="D488" s="92"/>
      <c r="E488" s="14"/>
      <c r="F488" s="14"/>
      <c r="G488" s="14"/>
      <c r="H488" s="14"/>
      <c r="I488" s="67"/>
      <c r="J488" s="14"/>
      <c r="K488" s="14"/>
      <c r="L488" s="14"/>
      <c r="M488" s="14"/>
      <c r="O488" s="99"/>
      <c r="P488" s="99"/>
      <c r="AU488" s="81"/>
      <c r="AV488" s="99"/>
      <c r="AW488" s="99"/>
    </row>
    <row r="489" spans="1:49" x14ac:dyDescent="0.25">
      <c r="A489" s="14"/>
      <c r="B489" s="14"/>
      <c r="C489" s="14"/>
      <c r="D489" s="92"/>
      <c r="E489" s="14"/>
      <c r="F489" s="14"/>
      <c r="G489" s="14"/>
      <c r="H489" s="14"/>
      <c r="I489" s="67"/>
      <c r="J489" s="14"/>
      <c r="K489" s="14"/>
      <c r="L489" s="14"/>
      <c r="M489" s="14"/>
      <c r="O489" s="99"/>
      <c r="P489" s="99"/>
      <c r="AU489" s="81"/>
      <c r="AV489" s="99"/>
      <c r="AW489" s="99"/>
    </row>
    <row r="490" spans="1:49" x14ac:dyDescent="0.25">
      <c r="A490" s="14"/>
      <c r="B490" s="14"/>
      <c r="C490" s="14"/>
      <c r="D490" s="92"/>
      <c r="E490" s="14"/>
      <c r="F490" s="14"/>
      <c r="G490" s="14"/>
      <c r="H490" s="14"/>
      <c r="I490" s="67"/>
      <c r="J490" s="14"/>
      <c r="K490" s="14"/>
      <c r="L490" s="14"/>
      <c r="M490" s="14"/>
      <c r="O490" s="99"/>
      <c r="P490" s="99"/>
      <c r="AU490" s="81"/>
      <c r="AV490" s="99"/>
      <c r="AW490" s="99"/>
    </row>
    <row r="491" spans="1:49" x14ac:dyDescent="0.25">
      <c r="A491" s="14"/>
      <c r="B491" s="14"/>
      <c r="C491" s="14"/>
      <c r="D491" s="92"/>
      <c r="E491" s="14"/>
      <c r="F491" s="14"/>
      <c r="G491" s="14"/>
      <c r="H491" s="14"/>
      <c r="I491" s="67"/>
      <c r="J491" s="14"/>
      <c r="K491" s="14"/>
      <c r="L491" s="14"/>
      <c r="M491" s="14"/>
      <c r="O491" s="99"/>
      <c r="P491" s="99"/>
      <c r="AU491" s="81"/>
      <c r="AV491" s="99"/>
      <c r="AW491" s="99"/>
    </row>
    <row r="492" spans="1:49" x14ac:dyDescent="0.25">
      <c r="A492" s="14"/>
      <c r="B492" s="14"/>
      <c r="C492" s="14"/>
      <c r="D492" s="92"/>
      <c r="E492" s="14"/>
      <c r="F492" s="14"/>
      <c r="G492" s="14"/>
      <c r="H492" s="14"/>
      <c r="I492" s="67"/>
      <c r="J492" s="14"/>
      <c r="K492" s="14"/>
      <c r="L492" s="14"/>
      <c r="M492" s="14"/>
      <c r="O492" s="99"/>
      <c r="P492" s="99"/>
      <c r="AU492" s="81"/>
      <c r="AV492" s="99"/>
      <c r="AW492" s="99"/>
    </row>
    <row r="493" spans="1:49" x14ac:dyDescent="0.25">
      <c r="A493" s="14"/>
      <c r="B493" s="14"/>
      <c r="C493" s="14"/>
      <c r="D493" s="92"/>
      <c r="E493" s="14"/>
      <c r="F493" s="14"/>
      <c r="G493" s="14"/>
      <c r="H493" s="14"/>
      <c r="I493" s="67"/>
      <c r="J493" s="14"/>
      <c r="K493" s="14"/>
      <c r="L493" s="14"/>
      <c r="M493" s="14"/>
      <c r="O493" s="99"/>
      <c r="P493" s="99"/>
      <c r="AU493" s="81"/>
      <c r="AV493" s="99"/>
      <c r="AW493" s="99"/>
    </row>
    <row r="494" spans="1:49" x14ac:dyDescent="0.25">
      <c r="A494" s="14"/>
      <c r="B494" s="14"/>
      <c r="C494" s="14"/>
      <c r="D494" s="92"/>
      <c r="E494" s="14"/>
      <c r="F494" s="14"/>
      <c r="G494" s="14"/>
      <c r="H494" s="14"/>
      <c r="I494" s="67"/>
      <c r="J494" s="14"/>
      <c r="K494" s="14"/>
      <c r="L494" s="14"/>
      <c r="M494" s="14"/>
      <c r="O494" s="99"/>
      <c r="P494" s="99"/>
      <c r="AU494" s="81"/>
      <c r="AV494" s="99"/>
      <c r="AW494" s="99"/>
    </row>
    <row r="495" spans="1:49" x14ac:dyDescent="0.25">
      <c r="A495" s="14"/>
      <c r="B495" s="14"/>
      <c r="C495" s="14"/>
      <c r="D495" s="92"/>
      <c r="E495" s="14"/>
      <c r="F495" s="14"/>
      <c r="G495" s="14"/>
      <c r="H495" s="14"/>
      <c r="I495" s="67"/>
      <c r="J495" s="14"/>
      <c r="K495" s="14"/>
      <c r="L495" s="14"/>
      <c r="M495" s="14"/>
      <c r="O495" s="99"/>
      <c r="P495" s="99"/>
      <c r="AU495" s="81"/>
      <c r="AV495" s="99"/>
      <c r="AW495" s="99"/>
    </row>
    <row r="496" spans="1:49" x14ac:dyDescent="0.25">
      <c r="A496" s="14"/>
      <c r="B496" s="14"/>
      <c r="C496" s="14"/>
      <c r="D496" s="92"/>
      <c r="E496" s="14"/>
      <c r="F496" s="14"/>
      <c r="G496" s="14"/>
      <c r="H496" s="14"/>
      <c r="I496" s="67"/>
      <c r="J496" s="14"/>
      <c r="K496" s="14"/>
      <c r="L496" s="14"/>
      <c r="M496" s="14"/>
      <c r="O496" s="99"/>
      <c r="P496" s="99"/>
      <c r="AU496" s="81"/>
      <c r="AV496" s="99"/>
      <c r="AW496" s="99"/>
    </row>
    <row r="497" spans="1:49" x14ac:dyDescent="0.25">
      <c r="A497" s="14"/>
      <c r="B497" s="14"/>
      <c r="C497" s="14"/>
      <c r="D497" s="92"/>
      <c r="E497" s="14"/>
      <c r="F497" s="14"/>
      <c r="G497" s="14"/>
      <c r="H497" s="14"/>
      <c r="I497" s="67"/>
      <c r="J497" s="14"/>
      <c r="K497" s="14"/>
      <c r="L497" s="14"/>
      <c r="M497" s="14"/>
      <c r="O497" s="99"/>
      <c r="P497" s="99"/>
      <c r="AU497" s="81"/>
      <c r="AV497" s="99"/>
      <c r="AW497" s="99"/>
    </row>
    <row r="498" spans="1:49" x14ac:dyDescent="0.25">
      <c r="A498" s="14"/>
      <c r="B498" s="14"/>
      <c r="C498" s="14"/>
      <c r="D498" s="92"/>
      <c r="E498" s="14"/>
      <c r="F498" s="14"/>
      <c r="G498" s="14"/>
      <c r="H498" s="14"/>
      <c r="I498" s="67"/>
      <c r="J498" s="14"/>
      <c r="K498" s="14"/>
      <c r="L498" s="14"/>
      <c r="M498" s="14"/>
      <c r="O498" s="99"/>
      <c r="P498" s="99"/>
      <c r="AU498" s="81"/>
      <c r="AV498" s="99"/>
      <c r="AW498" s="99"/>
    </row>
    <row r="499" spans="1:49" x14ac:dyDescent="0.25">
      <c r="A499" s="14"/>
      <c r="B499" s="14"/>
      <c r="C499" s="14"/>
      <c r="D499" s="92"/>
      <c r="E499" s="14"/>
      <c r="F499" s="14"/>
      <c r="G499" s="14"/>
      <c r="H499" s="14"/>
      <c r="I499" s="67"/>
      <c r="J499" s="14"/>
      <c r="K499" s="14"/>
      <c r="L499" s="14"/>
      <c r="M499" s="14"/>
      <c r="O499" s="99"/>
      <c r="P499" s="99"/>
      <c r="AU499" s="81"/>
      <c r="AV499" s="99"/>
      <c r="AW499" s="99"/>
    </row>
    <row r="500" spans="1:49" x14ac:dyDescent="0.25">
      <c r="A500" s="14"/>
      <c r="B500" s="14"/>
      <c r="C500" s="14"/>
      <c r="D500" s="92"/>
      <c r="E500" s="14"/>
      <c r="F500" s="14"/>
      <c r="G500" s="14"/>
      <c r="H500" s="14"/>
      <c r="I500" s="67"/>
      <c r="J500" s="14"/>
      <c r="K500" s="14"/>
      <c r="L500" s="14"/>
      <c r="M500" s="14"/>
      <c r="O500" s="99"/>
      <c r="P500" s="99"/>
      <c r="AU500" s="81"/>
      <c r="AV500" s="99"/>
      <c r="AW500" s="99"/>
    </row>
    <row r="501" spans="1:49" x14ac:dyDescent="0.25">
      <c r="A501" s="14"/>
      <c r="B501" s="14"/>
      <c r="C501" s="14"/>
      <c r="D501" s="92"/>
      <c r="E501" s="14"/>
      <c r="F501" s="14"/>
      <c r="G501" s="14"/>
      <c r="H501" s="14"/>
      <c r="I501" s="67"/>
      <c r="J501" s="14"/>
      <c r="K501" s="14"/>
      <c r="L501" s="14"/>
      <c r="M501" s="14"/>
      <c r="O501" s="99"/>
      <c r="P501" s="99"/>
      <c r="AU501" s="81"/>
      <c r="AV501" s="99"/>
      <c r="AW501" s="99"/>
    </row>
    <row r="502" spans="1:49" x14ac:dyDescent="0.25">
      <c r="A502" s="14"/>
      <c r="B502" s="14"/>
      <c r="C502" s="14"/>
      <c r="D502" s="92"/>
      <c r="E502" s="14"/>
      <c r="F502" s="14"/>
      <c r="G502" s="14"/>
      <c r="H502" s="14"/>
      <c r="I502" s="67"/>
      <c r="J502" s="14"/>
      <c r="K502" s="14"/>
      <c r="L502" s="14"/>
      <c r="M502" s="14"/>
      <c r="O502" s="99"/>
      <c r="P502" s="99"/>
      <c r="AU502" s="81"/>
      <c r="AV502" s="99"/>
      <c r="AW502" s="99"/>
    </row>
    <row r="503" spans="1:49" x14ac:dyDescent="0.25">
      <c r="A503" s="14"/>
      <c r="B503" s="14"/>
      <c r="C503" s="14"/>
      <c r="D503" s="92"/>
      <c r="E503" s="14"/>
      <c r="F503" s="14"/>
      <c r="G503" s="14"/>
      <c r="H503" s="14"/>
      <c r="I503" s="67"/>
      <c r="J503" s="14"/>
      <c r="K503" s="14"/>
      <c r="L503" s="14"/>
      <c r="M503" s="14"/>
      <c r="O503" s="99"/>
      <c r="P503" s="99"/>
      <c r="AU503" s="81"/>
      <c r="AV503" s="99"/>
      <c r="AW503" s="99"/>
    </row>
    <row r="504" spans="1:49" x14ac:dyDescent="0.25">
      <c r="A504" s="14"/>
      <c r="B504" s="14"/>
      <c r="C504" s="14"/>
      <c r="D504" s="92"/>
      <c r="E504" s="14"/>
      <c r="F504" s="14"/>
      <c r="G504" s="14"/>
      <c r="H504" s="14"/>
      <c r="I504" s="67"/>
      <c r="J504" s="14"/>
      <c r="K504" s="14"/>
      <c r="L504" s="14"/>
      <c r="M504" s="14"/>
      <c r="O504" s="99"/>
      <c r="P504" s="99"/>
      <c r="AU504" s="81"/>
      <c r="AV504" s="99"/>
      <c r="AW504" s="99"/>
    </row>
    <row r="505" spans="1:49" x14ac:dyDescent="0.25">
      <c r="A505" s="14"/>
      <c r="B505" s="14"/>
      <c r="C505" s="14"/>
      <c r="D505" s="92"/>
      <c r="E505" s="14"/>
      <c r="F505" s="14"/>
      <c r="G505" s="14"/>
      <c r="H505" s="14"/>
      <c r="I505" s="67"/>
      <c r="J505" s="14"/>
      <c r="K505" s="14"/>
      <c r="L505" s="14"/>
      <c r="M505" s="14"/>
      <c r="O505" s="99"/>
      <c r="P505" s="99"/>
      <c r="AU505" s="81"/>
      <c r="AV505" s="99"/>
      <c r="AW505" s="99"/>
    </row>
    <row r="506" spans="1:49" x14ac:dyDescent="0.25">
      <c r="A506" s="14"/>
      <c r="B506" s="14"/>
      <c r="C506" s="14"/>
      <c r="D506" s="92"/>
      <c r="E506" s="14"/>
      <c r="F506" s="14"/>
      <c r="G506" s="14"/>
      <c r="H506" s="14"/>
      <c r="I506" s="67"/>
      <c r="J506" s="14"/>
      <c r="K506" s="14"/>
      <c r="L506" s="14"/>
      <c r="M506" s="14"/>
      <c r="O506" s="99"/>
      <c r="P506" s="99"/>
      <c r="AU506" s="81"/>
      <c r="AV506" s="99"/>
      <c r="AW506" s="99"/>
    </row>
    <row r="507" spans="1:49" x14ac:dyDescent="0.25">
      <c r="A507" s="14"/>
      <c r="B507" s="14"/>
      <c r="C507" s="14"/>
      <c r="D507" s="92"/>
      <c r="E507" s="14"/>
      <c r="F507" s="14"/>
      <c r="G507" s="14"/>
      <c r="H507" s="14"/>
      <c r="I507" s="67"/>
      <c r="J507" s="14"/>
      <c r="K507" s="14"/>
      <c r="L507" s="14"/>
      <c r="M507" s="14"/>
      <c r="O507" s="99"/>
      <c r="P507" s="99"/>
      <c r="AU507" s="81"/>
      <c r="AV507" s="99"/>
      <c r="AW507" s="99"/>
    </row>
    <row r="508" spans="1:49" x14ac:dyDescent="0.25">
      <c r="A508" s="14"/>
      <c r="B508" s="14"/>
      <c r="C508" s="14"/>
      <c r="D508" s="92"/>
      <c r="E508" s="14"/>
      <c r="F508" s="14"/>
      <c r="G508" s="14"/>
      <c r="H508" s="14"/>
      <c r="I508" s="67"/>
      <c r="J508" s="14"/>
      <c r="K508" s="14"/>
      <c r="L508" s="14"/>
      <c r="M508" s="14"/>
      <c r="O508" s="99"/>
      <c r="P508" s="99"/>
      <c r="AU508" s="81"/>
      <c r="AV508" s="99"/>
      <c r="AW508" s="99"/>
    </row>
    <row r="509" spans="1:49" x14ac:dyDescent="0.25">
      <c r="A509" s="14"/>
      <c r="B509" s="14"/>
      <c r="C509" s="14"/>
      <c r="D509" s="92"/>
      <c r="E509" s="14"/>
      <c r="F509" s="14"/>
      <c r="G509" s="14"/>
      <c r="H509" s="14"/>
      <c r="I509" s="67"/>
      <c r="J509" s="14"/>
      <c r="K509" s="14"/>
      <c r="L509" s="14"/>
      <c r="M509" s="14"/>
      <c r="O509" s="99"/>
      <c r="P509" s="99"/>
      <c r="AU509" s="81"/>
      <c r="AV509" s="99"/>
      <c r="AW509" s="99"/>
    </row>
    <row r="510" spans="1:49" x14ac:dyDescent="0.25">
      <c r="A510" s="14"/>
      <c r="B510" s="14"/>
      <c r="C510" s="14"/>
      <c r="D510" s="92"/>
      <c r="E510" s="14"/>
      <c r="F510" s="14"/>
      <c r="G510" s="14"/>
      <c r="H510" s="14"/>
      <c r="I510" s="67"/>
      <c r="J510" s="14"/>
      <c r="K510" s="14"/>
      <c r="L510" s="14"/>
      <c r="M510" s="14"/>
      <c r="O510" s="99"/>
      <c r="P510" s="99"/>
      <c r="AU510" s="81"/>
      <c r="AV510" s="99"/>
      <c r="AW510" s="99"/>
    </row>
    <row r="511" spans="1:49" x14ac:dyDescent="0.25">
      <c r="A511" s="14"/>
      <c r="B511" s="14"/>
      <c r="C511" s="14"/>
      <c r="D511" s="92"/>
      <c r="E511" s="14"/>
      <c r="F511" s="14"/>
      <c r="G511" s="14"/>
      <c r="H511" s="14"/>
      <c r="I511" s="67"/>
      <c r="J511" s="14"/>
      <c r="K511" s="14"/>
      <c r="L511" s="14"/>
      <c r="M511" s="14"/>
      <c r="O511" s="99"/>
      <c r="P511" s="99"/>
      <c r="AU511" s="81"/>
      <c r="AV511" s="99"/>
      <c r="AW511" s="99"/>
    </row>
    <row r="512" spans="1:49" x14ac:dyDescent="0.25">
      <c r="A512" s="14"/>
      <c r="B512" s="14"/>
      <c r="C512" s="14"/>
      <c r="D512" s="92"/>
      <c r="E512" s="14"/>
      <c r="F512" s="14"/>
      <c r="G512" s="14"/>
      <c r="H512" s="14"/>
      <c r="I512" s="67"/>
      <c r="J512" s="14"/>
      <c r="K512" s="14"/>
      <c r="L512" s="14"/>
      <c r="M512" s="14"/>
      <c r="O512" s="99"/>
      <c r="P512" s="99"/>
      <c r="AU512" s="81"/>
      <c r="AV512" s="99"/>
      <c r="AW512" s="99"/>
    </row>
    <row r="513" spans="1:49" x14ac:dyDescent="0.25">
      <c r="A513" s="14"/>
      <c r="B513" s="14"/>
      <c r="C513" s="14"/>
      <c r="D513" s="92"/>
      <c r="E513" s="14"/>
      <c r="F513" s="14"/>
      <c r="G513" s="14"/>
      <c r="H513" s="14"/>
      <c r="I513" s="67"/>
      <c r="J513" s="14"/>
      <c r="K513" s="14"/>
      <c r="L513" s="14"/>
      <c r="M513" s="14"/>
      <c r="O513" s="99"/>
      <c r="P513" s="99"/>
      <c r="AU513" s="81"/>
      <c r="AV513" s="99"/>
      <c r="AW513" s="99"/>
    </row>
    <row r="514" spans="1:49" x14ac:dyDescent="0.25">
      <c r="A514" s="14"/>
      <c r="B514" s="14"/>
      <c r="C514" s="14"/>
      <c r="D514" s="92"/>
      <c r="E514" s="14"/>
      <c r="F514" s="14"/>
      <c r="G514" s="14"/>
      <c r="H514" s="14"/>
      <c r="I514" s="67"/>
      <c r="J514" s="14"/>
      <c r="K514" s="14"/>
      <c r="L514" s="14"/>
      <c r="M514" s="14"/>
      <c r="O514" s="99"/>
      <c r="P514" s="99"/>
      <c r="AU514" s="81"/>
      <c r="AV514" s="99"/>
      <c r="AW514" s="99"/>
    </row>
    <row r="515" spans="1:49" x14ac:dyDescent="0.25">
      <c r="A515" s="14"/>
      <c r="B515" s="14"/>
      <c r="C515" s="14"/>
      <c r="D515" s="92"/>
      <c r="E515" s="14"/>
      <c r="F515" s="14"/>
      <c r="G515" s="14"/>
      <c r="H515" s="14"/>
      <c r="I515" s="67"/>
      <c r="J515" s="14"/>
      <c r="K515" s="14"/>
      <c r="L515" s="14"/>
      <c r="M515" s="14"/>
      <c r="O515" s="99"/>
      <c r="P515" s="99"/>
      <c r="AU515" s="81"/>
      <c r="AV515" s="99"/>
      <c r="AW515" s="99"/>
    </row>
    <row r="516" spans="1:49" x14ac:dyDescent="0.25">
      <c r="A516" s="14"/>
      <c r="B516" s="14"/>
      <c r="C516" s="14"/>
      <c r="D516" s="92"/>
      <c r="E516" s="14"/>
      <c r="F516" s="14"/>
      <c r="G516" s="14"/>
      <c r="H516" s="14"/>
      <c r="I516" s="67"/>
      <c r="J516" s="14"/>
      <c r="K516" s="14"/>
      <c r="L516" s="14"/>
      <c r="M516" s="14"/>
      <c r="O516" s="99"/>
      <c r="P516" s="99"/>
      <c r="AU516" s="81"/>
      <c r="AV516" s="99"/>
      <c r="AW516" s="99"/>
    </row>
    <row r="517" spans="1:49" x14ac:dyDescent="0.25">
      <c r="A517" s="14"/>
      <c r="B517" s="14"/>
      <c r="C517" s="14"/>
      <c r="D517" s="92"/>
      <c r="E517" s="14"/>
      <c r="F517" s="14"/>
      <c r="G517" s="14"/>
      <c r="H517" s="14"/>
      <c r="I517" s="67"/>
      <c r="J517" s="14"/>
      <c r="K517" s="14"/>
      <c r="L517" s="14"/>
      <c r="M517" s="14"/>
      <c r="O517" s="99"/>
      <c r="P517" s="99"/>
      <c r="AU517" s="81"/>
      <c r="AV517" s="99"/>
      <c r="AW517" s="99"/>
    </row>
    <row r="518" spans="1:49" x14ac:dyDescent="0.25">
      <c r="A518" s="14"/>
      <c r="B518" s="14"/>
      <c r="C518" s="14"/>
      <c r="D518" s="92"/>
      <c r="E518" s="14"/>
      <c r="F518" s="14"/>
      <c r="G518" s="14"/>
      <c r="H518" s="14"/>
      <c r="I518" s="67"/>
      <c r="J518" s="14"/>
      <c r="K518" s="14"/>
      <c r="L518" s="14"/>
      <c r="M518" s="14"/>
      <c r="O518" s="99"/>
      <c r="P518" s="99"/>
      <c r="AU518" s="81"/>
      <c r="AV518" s="99"/>
      <c r="AW518" s="99"/>
    </row>
    <row r="519" spans="1:49" x14ac:dyDescent="0.25">
      <c r="A519" s="14"/>
      <c r="B519" s="14"/>
      <c r="C519" s="14"/>
      <c r="D519" s="92"/>
      <c r="E519" s="14"/>
      <c r="F519" s="14"/>
      <c r="G519" s="14"/>
      <c r="H519" s="14"/>
      <c r="I519" s="67"/>
      <c r="J519" s="14"/>
      <c r="K519" s="14"/>
      <c r="L519" s="14"/>
      <c r="M519" s="14"/>
      <c r="O519" s="99"/>
      <c r="P519" s="99"/>
      <c r="AU519" s="81"/>
      <c r="AV519" s="99"/>
      <c r="AW519" s="99"/>
    </row>
    <row r="520" spans="1:49" x14ac:dyDescent="0.25">
      <c r="A520" s="14"/>
      <c r="B520" s="14"/>
      <c r="C520" s="14"/>
      <c r="D520" s="92"/>
      <c r="E520" s="14"/>
      <c r="F520" s="14"/>
      <c r="G520" s="14"/>
      <c r="H520" s="14"/>
      <c r="I520" s="67"/>
      <c r="J520" s="14"/>
      <c r="K520" s="14"/>
      <c r="L520" s="14"/>
      <c r="M520" s="14"/>
      <c r="O520" s="99"/>
      <c r="P520" s="99"/>
      <c r="AU520" s="81"/>
      <c r="AV520" s="99"/>
      <c r="AW520" s="99"/>
    </row>
    <row r="521" spans="1:49" x14ac:dyDescent="0.25">
      <c r="A521" s="14"/>
      <c r="B521" s="14"/>
      <c r="C521" s="14"/>
      <c r="D521" s="92"/>
      <c r="E521" s="14"/>
      <c r="F521" s="14"/>
      <c r="G521" s="14"/>
      <c r="H521" s="14"/>
      <c r="I521" s="67"/>
      <c r="J521" s="14"/>
      <c r="K521" s="14"/>
      <c r="L521" s="14"/>
      <c r="M521" s="14"/>
      <c r="O521" s="99"/>
      <c r="P521" s="99"/>
      <c r="AU521" s="81"/>
      <c r="AV521" s="99"/>
      <c r="AW521" s="99"/>
    </row>
    <row r="522" spans="1:49" x14ac:dyDescent="0.25">
      <c r="A522" s="14"/>
      <c r="B522" s="14"/>
      <c r="C522" s="14"/>
      <c r="D522" s="92"/>
      <c r="E522" s="14"/>
      <c r="F522" s="14"/>
      <c r="G522" s="14"/>
      <c r="H522" s="14"/>
      <c r="I522" s="67"/>
      <c r="J522" s="14"/>
      <c r="K522" s="14"/>
      <c r="L522" s="14"/>
      <c r="M522" s="14"/>
      <c r="O522" s="99"/>
      <c r="P522" s="99"/>
      <c r="AU522" s="81"/>
      <c r="AV522" s="99"/>
      <c r="AW522" s="99"/>
    </row>
    <row r="523" spans="1:49" x14ac:dyDescent="0.25">
      <c r="A523" s="14"/>
      <c r="B523" s="14"/>
      <c r="C523" s="14"/>
      <c r="D523" s="92"/>
      <c r="E523" s="14"/>
      <c r="F523" s="14"/>
      <c r="G523" s="14"/>
      <c r="H523" s="14"/>
      <c r="I523" s="67"/>
      <c r="J523" s="14"/>
      <c r="K523" s="14"/>
      <c r="L523" s="14"/>
      <c r="M523" s="14"/>
      <c r="O523" s="99"/>
      <c r="P523" s="99"/>
      <c r="AU523" s="81"/>
      <c r="AV523" s="99"/>
      <c r="AW523" s="99"/>
    </row>
    <row r="524" spans="1:49" x14ac:dyDescent="0.25">
      <c r="A524" s="14"/>
      <c r="B524" s="14"/>
      <c r="C524" s="14"/>
      <c r="D524" s="92"/>
      <c r="E524" s="14"/>
      <c r="F524" s="14"/>
      <c r="G524" s="14"/>
      <c r="H524" s="14"/>
      <c r="I524" s="67"/>
      <c r="J524" s="14"/>
      <c r="K524" s="14"/>
      <c r="L524" s="14"/>
      <c r="M524" s="14"/>
      <c r="O524" s="99"/>
      <c r="P524" s="99"/>
      <c r="AU524" s="81"/>
      <c r="AV524" s="99"/>
      <c r="AW524" s="99"/>
    </row>
    <row r="525" spans="1:49" x14ac:dyDescent="0.25">
      <c r="A525" s="14"/>
      <c r="B525" s="14"/>
      <c r="C525" s="14"/>
      <c r="D525" s="92"/>
      <c r="E525" s="14"/>
      <c r="F525" s="14"/>
      <c r="G525" s="14"/>
      <c r="H525" s="14"/>
      <c r="I525" s="67"/>
      <c r="J525" s="14"/>
      <c r="K525" s="14"/>
      <c r="L525" s="14"/>
      <c r="M525" s="14"/>
      <c r="O525" s="99"/>
      <c r="P525" s="99"/>
      <c r="AU525" s="81"/>
      <c r="AV525" s="99"/>
      <c r="AW525" s="99"/>
    </row>
    <row r="526" spans="1:49" x14ac:dyDescent="0.25">
      <c r="A526" s="14"/>
      <c r="B526" s="14"/>
      <c r="C526" s="14"/>
      <c r="D526" s="92"/>
      <c r="E526" s="14"/>
      <c r="F526" s="14"/>
      <c r="G526" s="14"/>
      <c r="H526" s="14"/>
      <c r="I526" s="67"/>
      <c r="J526" s="14"/>
      <c r="K526" s="14"/>
      <c r="L526" s="14"/>
      <c r="M526" s="14"/>
      <c r="O526" s="99"/>
      <c r="P526" s="99"/>
      <c r="AU526" s="81"/>
      <c r="AV526" s="99"/>
      <c r="AW526" s="99"/>
    </row>
    <row r="527" spans="1:49" x14ac:dyDescent="0.25">
      <c r="A527" s="14"/>
      <c r="B527" s="14"/>
      <c r="C527" s="14"/>
      <c r="D527" s="92"/>
      <c r="E527" s="14"/>
      <c r="F527" s="14"/>
      <c r="G527" s="14"/>
      <c r="H527" s="14"/>
      <c r="I527" s="67"/>
      <c r="J527" s="14"/>
      <c r="K527" s="14"/>
      <c r="L527" s="14"/>
      <c r="M527" s="14"/>
      <c r="O527" s="99"/>
      <c r="P527" s="99"/>
      <c r="AU527" s="81"/>
      <c r="AV527" s="99"/>
      <c r="AW527" s="99"/>
    </row>
    <row r="528" spans="1:49" x14ac:dyDescent="0.25">
      <c r="A528" s="14"/>
      <c r="B528" s="14"/>
      <c r="C528" s="14"/>
      <c r="D528" s="92"/>
      <c r="E528" s="14"/>
      <c r="F528" s="14"/>
      <c r="G528" s="14"/>
      <c r="H528" s="14"/>
      <c r="I528" s="67"/>
      <c r="J528" s="14"/>
      <c r="K528" s="14"/>
      <c r="L528" s="14"/>
      <c r="M528" s="14"/>
      <c r="O528" s="99"/>
      <c r="P528" s="99"/>
      <c r="AU528" s="81"/>
      <c r="AV528" s="99"/>
      <c r="AW528" s="99"/>
    </row>
    <row r="529" spans="1:49" x14ac:dyDescent="0.25">
      <c r="A529" s="14"/>
      <c r="B529" s="14"/>
      <c r="C529" s="14"/>
      <c r="D529" s="92"/>
      <c r="E529" s="14"/>
      <c r="F529" s="14"/>
      <c r="G529" s="14"/>
      <c r="H529" s="14"/>
      <c r="I529" s="67"/>
      <c r="J529" s="14"/>
      <c r="K529" s="14"/>
      <c r="L529" s="14"/>
      <c r="M529" s="14"/>
      <c r="O529" s="99"/>
      <c r="P529" s="99"/>
      <c r="AU529" s="81"/>
      <c r="AV529" s="99"/>
      <c r="AW529" s="99"/>
    </row>
    <row r="530" spans="1:49" x14ac:dyDescent="0.25">
      <c r="A530" s="14"/>
      <c r="B530" s="14"/>
      <c r="C530" s="14"/>
      <c r="D530" s="92"/>
      <c r="E530" s="14"/>
      <c r="F530" s="14"/>
      <c r="G530" s="14"/>
      <c r="H530" s="14"/>
      <c r="I530" s="67"/>
      <c r="J530" s="14"/>
      <c r="K530" s="14"/>
      <c r="L530" s="14"/>
      <c r="M530" s="14"/>
      <c r="O530" s="99"/>
      <c r="P530" s="99"/>
      <c r="AU530" s="81"/>
      <c r="AV530" s="99"/>
      <c r="AW530" s="99"/>
    </row>
    <row r="531" spans="1:49" x14ac:dyDescent="0.25">
      <c r="A531" s="14"/>
      <c r="B531" s="14"/>
      <c r="C531" s="14"/>
      <c r="D531" s="92"/>
      <c r="E531" s="14"/>
      <c r="F531" s="14"/>
      <c r="G531" s="14"/>
      <c r="H531" s="14"/>
      <c r="I531" s="67"/>
      <c r="J531" s="14"/>
      <c r="K531" s="14"/>
      <c r="L531" s="14"/>
      <c r="M531" s="14"/>
      <c r="O531" s="99"/>
      <c r="P531" s="99"/>
      <c r="AU531" s="81"/>
      <c r="AV531" s="99"/>
      <c r="AW531" s="99"/>
    </row>
    <row r="532" spans="1:49" x14ac:dyDescent="0.25">
      <c r="A532" s="14"/>
      <c r="B532" s="14"/>
      <c r="C532" s="14"/>
      <c r="D532" s="92"/>
      <c r="E532" s="14"/>
      <c r="F532" s="14"/>
      <c r="G532" s="14"/>
      <c r="H532" s="14"/>
      <c r="I532" s="67"/>
      <c r="J532" s="14"/>
      <c r="K532" s="14"/>
      <c r="L532" s="14"/>
      <c r="M532" s="14"/>
      <c r="O532" s="99"/>
      <c r="P532" s="99"/>
      <c r="AU532" s="81"/>
      <c r="AV532" s="99"/>
      <c r="AW532" s="99"/>
    </row>
    <row r="533" spans="1:49" x14ac:dyDescent="0.25">
      <c r="A533" s="14"/>
      <c r="B533" s="14"/>
      <c r="C533" s="14"/>
      <c r="D533" s="92"/>
      <c r="E533" s="14"/>
      <c r="F533" s="14"/>
      <c r="G533" s="14"/>
      <c r="H533" s="14"/>
      <c r="I533" s="67"/>
      <c r="J533" s="14"/>
      <c r="K533" s="14"/>
      <c r="L533" s="14"/>
      <c r="M533" s="14"/>
      <c r="O533" s="99"/>
      <c r="P533" s="99"/>
      <c r="AU533" s="81"/>
      <c r="AV533" s="99"/>
      <c r="AW533" s="99"/>
    </row>
    <row r="534" spans="1:49" x14ac:dyDescent="0.25">
      <c r="A534" s="14"/>
      <c r="B534" s="14"/>
      <c r="C534" s="14"/>
      <c r="D534" s="92"/>
      <c r="E534" s="14"/>
      <c r="F534" s="14"/>
      <c r="G534" s="14"/>
      <c r="H534" s="14"/>
      <c r="I534" s="67"/>
      <c r="J534" s="14"/>
      <c r="K534" s="14"/>
      <c r="L534" s="14"/>
      <c r="M534" s="14"/>
      <c r="O534" s="99"/>
      <c r="P534" s="99"/>
      <c r="AU534" s="81"/>
      <c r="AV534" s="99"/>
      <c r="AW534" s="99"/>
    </row>
    <row r="535" spans="1:49" x14ac:dyDescent="0.25">
      <c r="A535" s="14"/>
      <c r="B535" s="14"/>
      <c r="C535" s="14"/>
      <c r="D535" s="92"/>
      <c r="E535" s="14"/>
      <c r="F535" s="14"/>
      <c r="G535" s="14"/>
      <c r="H535" s="14"/>
      <c r="I535" s="67"/>
      <c r="J535" s="14"/>
      <c r="K535" s="14"/>
      <c r="L535" s="14"/>
      <c r="M535" s="14"/>
      <c r="O535" s="99"/>
      <c r="P535" s="99"/>
      <c r="AU535" s="81"/>
      <c r="AV535" s="99"/>
      <c r="AW535" s="99"/>
    </row>
    <row r="536" spans="1:49" x14ac:dyDescent="0.25">
      <c r="A536" s="14"/>
      <c r="B536" s="14"/>
      <c r="C536" s="14"/>
      <c r="D536" s="92"/>
      <c r="E536" s="14"/>
      <c r="F536" s="14"/>
      <c r="G536" s="14"/>
      <c r="H536" s="14"/>
      <c r="I536" s="67"/>
      <c r="J536" s="14"/>
      <c r="K536" s="14"/>
      <c r="L536" s="14"/>
      <c r="M536" s="14"/>
      <c r="O536" s="99"/>
      <c r="P536" s="99"/>
      <c r="AU536" s="81"/>
      <c r="AV536" s="99"/>
      <c r="AW536" s="99"/>
    </row>
    <row r="537" spans="1:49" x14ac:dyDescent="0.25">
      <c r="A537" s="14"/>
      <c r="B537" s="14"/>
      <c r="C537" s="14"/>
      <c r="D537" s="92"/>
      <c r="E537" s="14"/>
      <c r="F537" s="14"/>
      <c r="G537" s="14"/>
      <c r="H537" s="14"/>
      <c r="I537" s="67"/>
      <c r="J537" s="14"/>
      <c r="K537" s="14"/>
      <c r="L537" s="14"/>
      <c r="M537" s="14"/>
      <c r="O537" s="99"/>
      <c r="P537" s="99"/>
      <c r="AU537" s="81"/>
      <c r="AV537" s="99"/>
      <c r="AW537" s="99"/>
    </row>
    <row r="538" spans="1:49" x14ac:dyDescent="0.25">
      <c r="A538" s="14"/>
      <c r="B538" s="14"/>
      <c r="C538" s="14"/>
      <c r="D538" s="92"/>
      <c r="E538" s="14"/>
      <c r="F538" s="14"/>
      <c r="G538" s="14"/>
      <c r="H538" s="14"/>
      <c r="I538" s="67"/>
      <c r="J538" s="14"/>
      <c r="K538" s="14"/>
      <c r="L538" s="14"/>
      <c r="M538" s="14"/>
      <c r="O538" s="99"/>
      <c r="P538" s="99"/>
      <c r="AU538" s="81"/>
      <c r="AV538" s="99"/>
      <c r="AW538" s="99"/>
    </row>
    <row r="539" spans="1:49" x14ac:dyDescent="0.25">
      <c r="A539" s="14"/>
      <c r="B539" s="14"/>
      <c r="C539" s="14"/>
      <c r="D539" s="92"/>
      <c r="E539" s="14"/>
      <c r="F539" s="14"/>
      <c r="G539" s="14"/>
      <c r="H539" s="14"/>
      <c r="I539" s="67"/>
      <c r="J539" s="14"/>
      <c r="K539" s="14"/>
      <c r="L539" s="14"/>
      <c r="M539" s="14"/>
      <c r="O539" s="99"/>
      <c r="P539" s="99"/>
      <c r="AU539" s="81"/>
      <c r="AV539" s="99"/>
      <c r="AW539" s="99"/>
    </row>
    <row r="540" spans="1:49" x14ac:dyDescent="0.25">
      <c r="A540" s="14"/>
      <c r="B540" s="14"/>
      <c r="C540" s="14"/>
      <c r="D540" s="92"/>
      <c r="E540" s="14"/>
      <c r="F540" s="14"/>
      <c r="G540" s="14"/>
      <c r="H540" s="14"/>
      <c r="I540" s="67"/>
      <c r="J540" s="14"/>
      <c r="K540" s="14"/>
      <c r="L540" s="14"/>
      <c r="M540" s="14"/>
      <c r="O540" s="99"/>
      <c r="P540" s="99"/>
      <c r="AU540" s="81"/>
      <c r="AV540" s="99"/>
      <c r="AW540" s="99"/>
    </row>
    <row r="541" spans="1:49" x14ac:dyDescent="0.25">
      <c r="A541" s="14"/>
      <c r="B541" s="14"/>
      <c r="C541" s="14"/>
      <c r="D541" s="92"/>
      <c r="E541" s="14"/>
      <c r="F541" s="14"/>
      <c r="G541" s="14"/>
      <c r="H541" s="14"/>
      <c r="I541" s="67"/>
      <c r="J541" s="14"/>
      <c r="K541" s="14"/>
      <c r="L541" s="14"/>
      <c r="M541" s="14"/>
      <c r="O541" s="99"/>
      <c r="P541" s="99"/>
      <c r="AU541" s="81"/>
      <c r="AV541" s="99"/>
      <c r="AW541" s="99"/>
    </row>
    <row r="542" spans="1:49" x14ac:dyDescent="0.25">
      <c r="A542" s="14"/>
      <c r="B542" s="14"/>
      <c r="C542" s="14"/>
      <c r="D542" s="92"/>
      <c r="E542" s="14"/>
      <c r="F542" s="14"/>
      <c r="G542" s="14"/>
      <c r="H542" s="14"/>
      <c r="I542" s="67"/>
      <c r="J542" s="14"/>
      <c r="K542" s="14"/>
      <c r="L542" s="14"/>
      <c r="M542" s="14"/>
      <c r="O542" s="99"/>
      <c r="P542" s="99"/>
      <c r="AU542" s="81"/>
      <c r="AV542" s="99"/>
      <c r="AW542" s="99"/>
    </row>
    <row r="543" spans="1:49" x14ac:dyDescent="0.25">
      <c r="A543" s="14"/>
      <c r="B543" s="14"/>
      <c r="C543" s="14"/>
      <c r="D543" s="92"/>
      <c r="E543" s="14"/>
      <c r="F543" s="14"/>
      <c r="G543" s="14"/>
      <c r="H543" s="14"/>
      <c r="I543" s="67"/>
      <c r="J543" s="14"/>
      <c r="K543" s="14"/>
      <c r="L543" s="14"/>
      <c r="M543" s="14"/>
      <c r="O543" s="99"/>
      <c r="P543" s="99"/>
      <c r="AU543" s="81"/>
      <c r="AV543" s="99"/>
      <c r="AW543" s="99"/>
    </row>
    <row r="544" spans="1:49" x14ac:dyDescent="0.25">
      <c r="A544" s="14"/>
      <c r="B544" s="14"/>
      <c r="C544" s="14"/>
      <c r="D544" s="92"/>
      <c r="E544" s="14"/>
      <c r="F544" s="14"/>
      <c r="G544" s="14"/>
      <c r="H544" s="14"/>
      <c r="I544" s="67"/>
      <c r="J544" s="14"/>
      <c r="K544" s="14"/>
      <c r="L544" s="14"/>
      <c r="M544" s="14"/>
      <c r="O544" s="99"/>
      <c r="P544" s="99"/>
      <c r="AU544" s="81"/>
      <c r="AV544" s="99"/>
      <c r="AW544" s="99"/>
    </row>
    <row r="545" spans="1:49" x14ac:dyDescent="0.25">
      <c r="A545" s="14"/>
      <c r="B545" s="14"/>
      <c r="C545" s="14"/>
      <c r="D545" s="92"/>
      <c r="E545" s="14"/>
      <c r="F545" s="14"/>
      <c r="G545" s="14"/>
      <c r="H545" s="14"/>
      <c r="I545" s="67"/>
      <c r="J545" s="14"/>
      <c r="K545" s="14"/>
      <c r="L545" s="14"/>
      <c r="M545" s="14"/>
      <c r="O545" s="99"/>
      <c r="P545" s="99"/>
      <c r="AU545" s="81"/>
      <c r="AV545" s="99"/>
      <c r="AW545" s="99"/>
    </row>
    <row r="546" spans="1:49" x14ac:dyDescent="0.25">
      <c r="A546" s="14"/>
      <c r="B546" s="14"/>
      <c r="C546" s="14"/>
      <c r="D546" s="92"/>
      <c r="E546" s="14"/>
      <c r="F546" s="14"/>
      <c r="G546" s="14"/>
      <c r="H546" s="14"/>
      <c r="I546" s="67"/>
      <c r="J546" s="14"/>
      <c r="K546" s="14"/>
      <c r="L546" s="14"/>
      <c r="M546" s="14"/>
      <c r="AU546" s="81"/>
      <c r="AV546" s="99"/>
      <c r="AW546" s="99"/>
    </row>
    <row r="547" spans="1:49" x14ac:dyDescent="0.25">
      <c r="A547" s="14"/>
      <c r="B547" s="14"/>
      <c r="C547" s="14"/>
      <c r="D547" s="92"/>
      <c r="E547" s="14"/>
      <c r="F547" s="14"/>
      <c r="G547" s="14"/>
      <c r="H547" s="14"/>
      <c r="I547" s="67"/>
      <c r="J547" s="14"/>
      <c r="K547" s="14"/>
      <c r="L547" s="14"/>
      <c r="M547" s="14"/>
      <c r="AU547" s="81"/>
      <c r="AV547" s="99"/>
      <c r="AW547" s="99"/>
    </row>
    <row r="548" spans="1:49" x14ac:dyDescent="0.25">
      <c r="A548" s="14"/>
      <c r="B548" s="14"/>
      <c r="C548" s="14"/>
      <c r="D548" s="92"/>
      <c r="E548" s="14"/>
      <c r="F548" s="14"/>
      <c r="G548" s="14"/>
      <c r="H548" s="14"/>
      <c r="I548" s="67"/>
      <c r="J548" s="14"/>
      <c r="K548" s="14"/>
      <c r="L548" s="14"/>
      <c r="M548" s="14"/>
      <c r="AU548" s="81"/>
      <c r="AV548" s="99"/>
      <c r="AW548" s="99"/>
    </row>
    <row r="549" spans="1:49" x14ac:dyDescent="0.25">
      <c r="A549" s="14"/>
      <c r="B549" s="14"/>
      <c r="C549" s="14"/>
      <c r="D549" s="92"/>
      <c r="E549" s="14"/>
      <c r="F549" s="14"/>
      <c r="G549" s="14"/>
      <c r="H549" s="14"/>
      <c r="I549" s="67"/>
      <c r="J549" s="14"/>
      <c r="K549" s="14"/>
      <c r="L549" s="14"/>
      <c r="M549" s="14"/>
      <c r="AU549" s="81"/>
      <c r="AV549" s="99"/>
      <c r="AW549" s="99"/>
    </row>
    <row r="550" spans="1:49" x14ac:dyDescent="0.25">
      <c r="A550" s="14"/>
      <c r="B550" s="14"/>
      <c r="C550" s="14"/>
      <c r="D550" s="92"/>
      <c r="E550" s="14"/>
      <c r="F550" s="14"/>
      <c r="G550" s="14"/>
      <c r="H550" s="14"/>
      <c r="I550" s="67"/>
      <c r="J550" s="14"/>
      <c r="K550" s="14"/>
      <c r="L550" s="14"/>
      <c r="M550" s="14"/>
      <c r="AU550" s="81"/>
      <c r="AV550" s="99"/>
      <c r="AW550" s="99"/>
    </row>
    <row r="551" spans="1:49" x14ac:dyDescent="0.25">
      <c r="A551" s="14"/>
      <c r="B551" s="14"/>
      <c r="C551" s="14"/>
      <c r="D551" s="92"/>
      <c r="E551" s="14"/>
      <c r="F551" s="14"/>
      <c r="G551" s="14"/>
      <c r="H551" s="14"/>
      <c r="I551" s="67"/>
      <c r="J551" s="14"/>
      <c r="K551" s="14"/>
      <c r="L551" s="14"/>
      <c r="M551" s="14"/>
      <c r="AU551" s="81"/>
      <c r="AV551" s="99"/>
      <c r="AW551" s="99"/>
    </row>
    <row r="552" spans="1:49" x14ac:dyDescent="0.25">
      <c r="A552" s="14"/>
      <c r="B552" s="14"/>
      <c r="C552" s="14"/>
      <c r="D552" s="92"/>
      <c r="E552" s="14"/>
      <c r="F552" s="14"/>
      <c r="G552" s="14"/>
      <c r="H552" s="14"/>
      <c r="I552" s="67"/>
      <c r="J552" s="14"/>
      <c r="K552" s="14"/>
      <c r="L552" s="14"/>
      <c r="M552" s="14"/>
      <c r="AU552" s="81"/>
      <c r="AV552" s="99"/>
      <c r="AW552" s="99"/>
    </row>
    <row r="553" spans="1:49" x14ac:dyDescent="0.25">
      <c r="A553" s="14"/>
      <c r="B553" s="14"/>
      <c r="C553" s="14"/>
      <c r="D553" s="92"/>
      <c r="E553" s="14"/>
      <c r="F553" s="14"/>
      <c r="G553" s="14"/>
      <c r="H553" s="14"/>
      <c r="I553" s="67"/>
      <c r="J553" s="14"/>
      <c r="K553" s="14"/>
      <c r="L553" s="14"/>
      <c r="M553" s="14"/>
      <c r="AU553" s="81"/>
      <c r="AV553" s="99"/>
      <c r="AW553" s="99"/>
    </row>
    <row r="554" spans="1:49" x14ac:dyDescent="0.25">
      <c r="A554" s="14"/>
      <c r="B554" s="14"/>
      <c r="C554" s="14"/>
      <c r="D554" s="92"/>
      <c r="E554" s="14"/>
      <c r="F554" s="14"/>
      <c r="G554" s="14"/>
      <c r="H554" s="14"/>
      <c r="I554" s="67"/>
      <c r="J554" s="14"/>
      <c r="K554" s="14"/>
      <c r="L554" s="14"/>
      <c r="M554" s="14"/>
      <c r="AU554" s="81"/>
      <c r="AV554" s="99"/>
      <c r="AW554" s="99"/>
    </row>
    <row r="555" spans="1:49" x14ac:dyDescent="0.25">
      <c r="A555" s="14"/>
      <c r="B555" s="14"/>
      <c r="C555" s="14"/>
      <c r="D555" s="92"/>
      <c r="E555" s="14"/>
      <c r="F555" s="14"/>
      <c r="G555" s="14"/>
      <c r="H555" s="14"/>
      <c r="I555" s="67"/>
      <c r="J555" s="14"/>
      <c r="K555" s="14"/>
      <c r="L555" s="14"/>
      <c r="M555" s="14"/>
      <c r="AU555" s="81"/>
      <c r="AV555" s="99"/>
      <c r="AW555" s="99"/>
    </row>
    <row r="556" spans="1:49" x14ac:dyDescent="0.25">
      <c r="A556" s="14"/>
      <c r="B556" s="14"/>
      <c r="C556" s="14"/>
      <c r="D556" s="92"/>
      <c r="E556" s="14"/>
      <c r="F556" s="14"/>
      <c r="G556" s="14"/>
      <c r="H556" s="14"/>
      <c r="I556" s="67"/>
      <c r="J556" s="14"/>
      <c r="K556" s="14"/>
      <c r="L556" s="14"/>
      <c r="M556" s="14"/>
      <c r="AU556" s="81"/>
      <c r="AV556" s="99"/>
      <c r="AW556" s="99"/>
    </row>
    <row r="557" spans="1:49" x14ac:dyDescent="0.25">
      <c r="A557" s="14"/>
      <c r="B557" s="14"/>
      <c r="C557" s="14"/>
      <c r="D557" s="92"/>
      <c r="E557" s="14"/>
      <c r="F557" s="14"/>
      <c r="G557" s="14"/>
      <c r="H557" s="14"/>
      <c r="I557" s="67"/>
      <c r="J557" s="14"/>
      <c r="K557" s="14"/>
      <c r="L557" s="14"/>
      <c r="M557" s="14"/>
      <c r="AU557" s="81"/>
      <c r="AV557" s="99"/>
      <c r="AW557" s="99"/>
    </row>
    <row r="558" spans="1:49" x14ac:dyDescent="0.25">
      <c r="A558" s="14"/>
      <c r="B558" s="14"/>
      <c r="C558" s="14"/>
      <c r="D558" s="92"/>
      <c r="E558" s="14"/>
      <c r="F558" s="14"/>
      <c r="G558" s="14"/>
      <c r="H558" s="14"/>
      <c r="I558" s="67"/>
      <c r="J558" s="14"/>
      <c r="K558" s="14"/>
      <c r="L558" s="14"/>
      <c r="M558" s="14"/>
      <c r="AU558" s="81"/>
      <c r="AV558" s="99"/>
      <c r="AW558" s="99"/>
    </row>
    <row r="559" spans="1:49" x14ac:dyDescent="0.25">
      <c r="A559" s="14"/>
      <c r="B559" s="14"/>
      <c r="C559" s="14"/>
      <c r="D559" s="92"/>
      <c r="E559" s="14"/>
      <c r="F559" s="14"/>
      <c r="G559" s="14"/>
      <c r="H559" s="14"/>
      <c r="I559" s="67"/>
      <c r="J559" s="14"/>
      <c r="K559" s="14"/>
      <c r="L559" s="14"/>
      <c r="M559" s="14"/>
      <c r="AU559" s="81"/>
      <c r="AV559" s="99"/>
      <c r="AW559" s="99"/>
    </row>
    <row r="560" spans="1:49" x14ac:dyDescent="0.25">
      <c r="A560" s="14"/>
      <c r="B560" s="14"/>
      <c r="C560" s="14"/>
      <c r="D560" s="92"/>
      <c r="E560" s="14"/>
      <c r="F560" s="14"/>
      <c r="G560" s="14"/>
      <c r="H560" s="14"/>
      <c r="I560" s="67"/>
      <c r="J560" s="14"/>
      <c r="K560" s="14"/>
      <c r="L560" s="14"/>
      <c r="M560" s="14"/>
      <c r="AU560" s="81"/>
      <c r="AV560" s="99"/>
      <c r="AW560" s="99"/>
    </row>
    <row r="561" spans="1:49" x14ac:dyDescent="0.25">
      <c r="A561" s="14"/>
      <c r="B561" s="14"/>
      <c r="C561" s="14"/>
      <c r="D561" s="92"/>
      <c r="E561" s="14"/>
      <c r="F561" s="14"/>
      <c r="G561" s="14"/>
      <c r="H561" s="14"/>
      <c r="I561" s="67"/>
      <c r="J561" s="14"/>
      <c r="K561" s="14"/>
      <c r="L561" s="14"/>
      <c r="M561" s="14"/>
      <c r="AU561" s="81"/>
      <c r="AV561" s="99"/>
      <c r="AW561" s="99"/>
    </row>
    <row r="562" spans="1:49" x14ac:dyDescent="0.25">
      <c r="A562" s="14"/>
      <c r="B562" s="14"/>
      <c r="C562" s="14"/>
      <c r="D562" s="92"/>
      <c r="E562" s="14"/>
      <c r="F562" s="14"/>
      <c r="G562" s="14"/>
      <c r="H562" s="14"/>
      <c r="I562" s="67"/>
      <c r="J562" s="14"/>
      <c r="K562" s="14"/>
      <c r="L562" s="14"/>
      <c r="M562" s="14"/>
      <c r="AU562" s="81"/>
      <c r="AV562" s="99"/>
      <c r="AW562" s="99"/>
    </row>
    <row r="563" spans="1:49" x14ac:dyDescent="0.25">
      <c r="A563" s="14"/>
      <c r="B563" s="14"/>
      <c r="C563" s="14"/>
      <c r="D563" s="92"/>
      <c r="E563" s="14"/>
      <c r="F563" s="14"/>
      <c r="G563" s="14"/>
      <c r="H563" s="14"/>
      <c r="I563" s="67"/>
      <c r="J563" s="14"/>
      <c r="K563" s="14"/>
      <c r="L563" s="14"/>
      <c r="M563" s="14"/>
      <c r="AU563" s="81"/>
      <c r="AV563" s="99"/>
      <c r="AW563" s="99"/>
    </row>
    <row r="564" spans="1:49" x14ac:dyDescent="0.25">
      <c r="A564" s="14"/>
      <c r="B564" s="14"/>
      <c r="C564" s="14"/>
      <c r="D564" s="92"/>
      <c r="E564" s="14"/>
      <c r="F564" s="14"/>
      <c r="G564" s="14"/>
      <c r="H564" s="14"/>
      <c r="I564" s="67"/>
      <c r="J564" s="14"/>
      <c r="K564" s="14"/>
      <c r="L564" s="14"/>
      <c r="M564" s="14"/>
      <c r="AU564" s="81"/>
      <c r="AV564" s="99"/>
      <c r="AW564" s="99"/>
    </row>
    <row r="565" spans="1:49" x14ac:dyDescent="0.25">
      <c r="A565" s="14"/>
      <c r="B565" s="14"/>
      <c r="C565" s="14"/>
      <c r="D565" s="92"/>
      <c r="E565" s="14"/>
      <c r="F565" s="14"/>
      <c r="G565" s="14"/>
      <c r="H565" s="14"/>
      <c r="I565" s="67"/>
      <c r="J565" s="14"/>
      <c r="K565" s="14"/>
      <c r="L565" s="14"/>
      <c r="M565" s="14"/>
      <c r="AU565" s="81"/>
      <c r="AV565" s="99"/>
      <c r="AW565" s="99"/>
    </row>
    <row r="566" spans="1:49" x14ac:dyDescent="0.25">
      <c r="A566" s="14"/>
      <c r="B566" s="14"/>
      <c r="C566" s="14"/>
      <c r="D566" s="92"/>
      <c r="E566" s="14"/>
      <c r="F566" s="14"/>
      <c r="G566" s="14"/>
      <c r="H566" s="14"/>
      <c r="I566" s="67"/>
      <c r="J566" s="14"/>
      <c r="K566" s="14"/>
      <c r="L566" s="14"/>
      <c r="M566" s="14"/>
      <c r="AU566" s="81"/>
      <c r="AV566" s="99"/>
      <c r="AW566" s="99"/>
    </row>
    <row r="567" spans="1:49" x14ac:dyDescent="0.25">
      <c r="A567" s="14"/>
      <c r="B567" s="14"/>
      <c r="C567" s="14"/>
      <c r="D567" s="92"/>
      <c r="E567" s="14"/>
      <c r="F567" s="14"/>
      <c r="G567" s="14"/>
      <c r="H567" s="14"/>
      <c r="I567" s="67"/>
      <c r="J567" s="14"/>
      <c r="K567" s="14"/>
      <c r="L567" s="14"/>
      <c r="M567" s="14"/>
      <c r="AU567" s="81"/>
      <c r="AV567" s="99"/>
      <c r="AW567" s="99"/>
    </row>
    <row r="568" spans="1:49" x14ac:dyDescent="0.25">
      <c r="A568" s="14"/>
      <c r="B568" s="14"/>
      <c r="C568" s="14"/>
      <c r="D568" s="92"/>
      <c r="E568" s="14"/>
      <c r="F568" s="14"/>
      <c r="G568" s="14"/>
      <c r="H568" s="14"/>
      <c r="I568" s="67"/>
      <c r="J568" s="14"/>
      <c r="K568" s="14"/>
      <c r="L568" s="14"/>
      <c r="M568" s="14"/>
      <c r="AU568" s="81"/>
      <c r="AV568" s="99"/>
      <c r="AW568" s="99"/>
    </row>
    <row r="569" spans="1:49" x14ac:dyDescent="0.25">
      <c r="A569" s="14"/>
      <c r="B569" s="14"/>
      <c r="C569" s="14"/>
      <c r="D569" s="92"/>
      <c r="E569" s="14"/>
      <c r="F569" s="14"/>
      <c r="G569" s="14"/>
      <c r="H569" s="14"/>
      <c r="I569" s="67"/>
      <c r="J569" s="14"/>
      <c r="K569" s="14"/>
      <c r="L569" s="14"/>
      <c r="M569" s="14"/>
      <c r="AU569" s="81"/>
      <c r="AV569" s="99"/>
      <c r="AW569" s="99"/>
    </row>
    <row r="570" spans="1:49" x14ac:dyDescent="0.25">
      <c r="A570" s="14"/>
      <c r="B570" s="14"/>
      <c r="C570" s="14"/>
      <c r="D570" s="92"/>
      <c r="E570" s="14"/>
      <c r="F570" s="14"/>
      <c r="G570" s="14"/>
      <c r="H570" s="14"/>
      <c r="I570" s="67"/>
      <c r="J570" s="14"/>
      <c r="K570" s="14"/>
      <c r="L570" s="14"/>
      <c r="M570" s="14"/>
      <c r="AU570" s="81"/>
      <c r="AV570" s="99"/>
      <c r="AW570" s="99"/>
    </row>
    <row r="571" spans="1:49" x14ac:dyDescent="0.25">
      <c r="A571" s="14"/>
      <c r="B571" s="14"/>
      <c r="C571" s="14"/>
      <c r="D571" s="92"/>
      <c r="E571" s="14"/>
      <c r="F571" s="14"/>
      <c r="G571" s="14"/>
      <c r="H571" s="14"/>
      <c r="I571" s="67"/>
      <c r="J571" s="14"/>
      <c r="K571" s="14"/>
      <c r="L571" s="14"/>
      <c r="M571" s="14"/>
      <c r="AU571" s="81"/>
      <c r="AV571" s="99"/>
      <c r="AW571" s="99"/>
    </row>
    <row r="572" spans="1:49" x14ac:dyDescent="0.25">
      <c r="A572" s="14"/>
      <c r="B572" s="14"/>
      <c r="C572" s="14"/>
      <c r="D572" s="92"/>
      <c r="E572" s="14"/>
      <c r="F572" s="14"/>
      <c r="G572" s="14"/>
      <c r="H572" s="14"/>
      <c r="I572" s="67"/>
      <c r="J572" s="14"/>
      <c r="K572" s="14"/>
      <c r="L572" s="14"/>
      <c r="M572" s="14"/>
      <c r="AU572" s="81"/>
      <c r="AV572" s="99"/>
      <c r="AW572" s="99"/>
    </row>
    <row r="573" spans="1:49" x14ac:dyDescent="0.25">
      <c r="A573" s="14"/>
      <c r="B573" s="14"/>
      <c r="C573" s="14"/>
      <c r="D573" s="92"/>
      <c r="E573" s="14"/>
      <c r="F573" s="14"/>
      <c r="G573" s="14"/>
      <c r="H573" s="14"/>
      <c r="I573" s="67"/>
      <c r="J573" s="14"/>
      <c r="K573" s="14"/>
      <c r="L573" s="14"/>
      <c r="M573" s="14"/>
      <c r="AU573" s="81"/>
      <c r="AV573" s="99"/>
      <c r="AW573" s="99"/>
    </row>
    <row r="574" spans="1:49" x14ac:dyDescent="0.25">
      <c r="A574" s="14"/>
      <c r="B574" s="14"/>
      <c r="C574" s="14"/>
      <c r="D574" s="92"/>
      <c r="E574" s="14"/>
      <c r="F574" s="14"/>
      <c r="G574" s="14"/>
      <c r="H574" s="14"/>
      <c r="I574" s="67"/>
      <c r="J574" s="14"/>
      <c r="K574" s="14"/>
      <c r="L574" s="14"/>
      <c r="M574" s="14"/>
      <c r="AU574" s="81"/>
      <c r="AV574" s="99"/>
      <c r="AW574" s="99"/>
    </row>
    <row r="575" spans="1:49" x14ac:dyDescent="0.25">
      <c r="A575" s="14"/>
      <c r="B575" s="14"/>
      <c r="C575" s="14"/>
      <c r="D575" s="92"/>
      <c r="E575" s="14"/>
      <c r="F575" s="14"/>
      <c r="G575" s="14"/>
      <c r="H575" s="14"/>
      <c r="I575" s="67"/>
      <c r="J575" s="14"/>
      <c r="K575" s="14"/>
      <c r="L575" s="14"/>
      <c r="M575" s="14"/>
      <c r="AU575" s="81"/>
      <c r="AV575" s="99"/>
      <c r="AW575" s="99"/>
    </row>
    <row r="576" spans="1:49" x14ac:dyDescent="0.25">
      <c r="A576" s="14"/>
      <c r="B576" s="14"/>
      <c r="C576" s="14"/>
      <c r="D576" s="92"/>
      <c r="E576" s="14"/>
      <c r="F576" s="14"/>
      <c r="G576" s="14"/>
      <c r="H576" s="14"/>
      <c r="I576" s="67"/>
      <c r="J576" s="14"/>
      <c r="K576" s="14"/>
      <c r="L576" s="14"/>
      <c r="M576" s="14"/>
      <c r="AU576" s="81"/>
      <c r="AV576" s="99"/>
      <c r="AW576" s="99"/>
    </row>
    <row r="577" spans="1:49" x14ac:dyDescent="0.25">
      <c r="A577" s="14"/>
      <c r="B577" s="14"/>
      <c r="C577" s="14"/>
      <c r="D577" s="92"/>
      <c r="E577" s="14"/>
      <c r="F577" s="14"/>
      <c r="G577" s="14"/>
      <c r="H577" s="14"/>
      <c r="I577" s="67"/>
      <c r="J577" s="14"/>
      <c r="K577" s="14"/>
      <c r="L577" s="14"/>
      <c r="M577" s="14"/>
      <c r="AU577" s="81"/>
      <c r="AV577" s="99"/>
      <c r="AW577" s="99"/>
    </row>
    <row r="578" spans="1:49" x14ac:dyDescent="0.25">
      <c r="A578" s="14"/>
      <c r="B578" s="14"/>
      <c r="C578" s="14"/>
      <c r="D578" s="92"/>
      <c r="E578" s="14"/>
      <c r="F578" s="14"/>
      <c r="G578" s="14"/>
      <c r="H578" s="14"/>
      <c r="I578" s="67"/>
      <c r="J578" s="14"/>
      <c r="K578" s="14"/>
      <c r="L578" s="14"/>
      <c r="M578" s="14"/>
      <c r="AU578" s="81"/>
      <c r="AV578" s="99"/>
      <c r="AW578" s="99"/>
    </row>
    <row r="579" spans="1:49" x14ac:dyDescent="0.25">
      <c r="A579" s="14"/>
      <c r="B579" s="14"/>
      <c r="C579" s="14"/>
      <c r="D579" s="92"/>
      <c r="E579" s="14"/>
      <c r="F579" s="14"/>
      <c r="G579" s="14"/>
      <c r="H579" s="14"/>
      <c r="I579" s="67"/>
      <c r="J579" s="14"/>
      <c r="K579" s="14"/>
      <c r="L579" s="14"/>
      <c r="M579" s="14"/>
      <c r="AU579" s="81"/>
      <c r="AV579" s="99"/>
      <c r="AW579" s="99"/>
    </row>
    <row r="580" spans="1:49" x14ac:dyDescent="0.25">
      <c r="A580" s="14"/>
      <c r="B580" s="14"/>
      <c r="C580" s="14"/>
      <c r="D580" s="92"/>
      <c r="E580" s="14"/>
      <c r="F580" s="14"/>
      <c r="G580" s="14"/>
      <c r="H580" s="14"/>
      <c r="I580" s="67"/>
      <c r="J580" s="14"/>
      <c r="K580" s="14"/>
      <c r="L580" s="14"/>
      <c r="M580" s="14"/>
      <c r="AU580" s="81"/>
      <c r="AV580" s="99"/>
      <c r="AW580" s="99"/>
    </row>
    <row r="581" spans="1:49" x14ac:dyDescent="0.25">
      <c r="A581" s="14"/>
      <c r="B581" s="14"/>
      <c r="C581" s="14"/>
      <c r="D581" s="92"/>
      <c r="E581" s="14"/>
      <c r="F581" s="14"/>
      <c r="G581" s="14"/>
      <c r="H581" s="14"/>
      <c r="I581" s="67"/>
      <c r="J581" s="14"/>
      <c r="K581" s="14"/>
      <c r="L581" s="14"/>
      <c r="M581" s="14"/>
      <c r="AU581" s="81"/>
      <c r="AV581" s="99"/>
      <c r="AW581" s="99"/>
    </row>
    <row r="582" spans="1:49" x14ac:dyDescent="0.25">
      <c r="A582" s="14"/>
      <c r="B582" s="14"/>
      <c r="C582" s="14"/>
      <c r="D582" s="92"/>
      <c r="E582" s="14"/>
      <c r="F582" s="14"/>
      <c r="G582" s="14"/>
      <c r="H582" s="14"/>
      <c r="I582" s="67"/>
      <c r="J582" s="14"/>
      <c r="K582" s="14"/>
      <c r="L582" s="14"/>
      <c r="M582" s="14"/>
      <c r="AU582" s="81"/>
      <c r="AV582" s="99"/>
      <c r="AW582" s="99"/>
    </row>
    <row r="583" spans="1:49" x14ac:dyDescent="0.25">
      <c r="A583" s="14"/>
      <c r="B583" s="14"/>
      <c r="C583" s="14"/>
      <c r="D583" s="92"/>
      <c r="E583" s="14"/>
      <c r="F583" s="14"/>
      <c r="G583" s="14"/>
      <c r="H583" s="14"/>
      <c r="I583" s="67"/>
      <c r="J583" s="14"/>
      <c r="K583" s="14"/>
      <c r="L583" s="14"/>
      <c r="M583" s="14"/>
      <c r="AU583" s="81"/>
      <c r="AV583" s="99"/>
      <c r="AW583" s="99"/>
    </row>
    <row r="584" spans="1:49" x14ac:dyDescent="0.25">
      <c r="A584" s="14"/>
      <c r="B584" s="14"/>
      <c r="C584" s="14"/>
      <c r="D584" s="92"/>
      <c r="E584" s="14"/>
      <c r="F584" s="14"/>
      <c r="G584" s="14"/>
      <c r="H584" s="14"/>
      <c r="I584" s="67"/>
      <c r="J584" s="14"/>
      <c r="K584" s="14"/>
      <c r="L584" s="14"/>
      <c r="M584" s="14"/>
      <c r="AU584" s="81"/>
      <c r="AV584" s="99"/>
      <c r="AW584" s="99"/>
    </row>
    <row r="585" spans="1:49" x14ac:dyDescent="0.25">
      <c r="A585" s="14"/>
      <c r="B585" s="14"/>
      <c r="C585" s="14"/>
      <c r="D585" s="92"/>
      <c r="E585" s="14"/>
      <c r="F585" s="14"/>
      <c r="G585" s="14"/>
      <c r="H585" s="14"/>
      <c r="I585" s="67"/>
      <c r="J585" s="14"/>
      <c r="K585" s="14"/>
      <c r="L585" s="14"/>
      <c r="M585" s="14"/>
      <c r="AU585" s="81"/>
      <c r="AV585" s="99"/>
      <c r="AW585" s="99"/>
    </row>
    <row r="586" spans="1:49" x14ac:dyDescent="0.25">
      <c r="A586" s="14"/>
      <c r="B586" s="14"/>
      <c r="C586" s="14"/>
      <c r="D586" s="92"/>
      <c r="E586" s="14"/>
      <c r="F586" s="14"/>
      <c r="G586" s="14"/>
      <c r="H586" s="14"/>
      <c r="I586" s="67"/>
      <c r="J586" s="14"/>
      <c r="K586" s="14"/>
      <c r="L586" s="14"/>
      <c r="M586" s="14"/>
      <c r="AU586" s="81"/>
      <c r="AV586" s="99"/>
      <c r="AW586" s="99"/>
    </row>
    <row r="587" spans="1:49" x14ac:dyDescent="0.25">
      <c r="A587" s="14"/>
      <c r="B587" s="14"/>
      <c r="C587" s="14"/>
      <c r="D587" s="92"/>
      <c r="E587" s="14"/>
      <c r="F587" s="14"/>
      <c r="G587" s="14"/>
      <c r="H587" s="14"/>
      <c r="I587" s="67"/>
      <c r="J587" s="14"/>
      <c r="K587" s="14"/>
      <c r="L587" s="14"/>
      <c r="M587" s="14"/>
      <c r="AU587" s="81"/>
      <c r="AV587" s="99"/>
      <c r="AW587" s="99"/>
    </row>
    <row r="588" spans="1:49" x14ac:dyDescent="0.25">
      <c r="A588" s="14"/>
      <c r="B588" s="14"/>
      <c r="C588" s="14"/>
      <c r="D588" s="92"/>
      <c r="E588" s="14"/>
      <c r="F588" s="14"/>
      <c r="G588" s="14"/>
      <c r="H588" s="14"/>
      <c r="I588" s="67"/>
      <c r="J588" s="14"/>
      <c r="K588" s="14"/>
      <c r="L588" s="14"/>
      <c r="M588" s="14"/>
      <c r="AU588" s="81"/>
      <c r="AV588" s="99"/>
      <c r="AW588" s="99"/>
    </row>
    <row r="589" spans="1:49" x14ac:dyDescent="0.25">
      <c r="A589" s="14"/>
      <c r="B589" s="14"/>
      <c r="C589" s="14"/>
      <c r="D589" s="92"/>
      <c r="E589" s="14"/>
      <c r="F589" s="14"/>
      <c r="G589" s="14"/>
      <c r="H589" s="14"/>
      <c r="I589" s="67"/>
      <c r="J589" s="14"/>
      <c r="K589" s="14"/>
      <c r="L589" s="14"/>
      <c r="M589" s="14"/>
      <c r="AU589" s="81"/>
      <c r="AV589" s="99"/>
      <c r="AW589" s="99"/>
    </row>
    <row r="590" spans="1:49" x14ac:dyDescent="0.25">
      <c r="A590" s="14"/>
      <c r="B590" s="14"/>
      <c r="C590" s="14"/>
      <c r="D590" s="92"/>
      <c r="E590" s="14"/>
      <c r="F590" s="14"/>
      <c r="G590" s="14"/>
      <c r="H590" s="14"/>
      <c r="I590" s="67"/>
      <c r="J590" s="14"/>
      <c r="K590" s="14"/>
      <c r="L590" s="14"/>
      <c r="M590" s="14"/>
      <c r="AU590" s="81"/>
      <c r="AV590" s="99"/>
      <c r="AW590" s="99"/>
    </row>
    <row r="591" spans="1:49" x14ac:dyDescent="0.25">
      <c r="A591" s="14"/>
      <c r="B591" s="14"/>
      <c r="C591" s="14"/>
      <c r="D591" s="92"/>
      <c r="E591" s="14"/>
      <c r="F591" s="14"/>
      <c r="G591" s="14"/>
      <c r="H591" s="14"/>
      <c r="I591" s="67"/>
      <c r="J591" s="14"/>
      <c r="K591" s="14"/>
      <c r="L591" s="14"/>
      <c r="M591" s="14"/>
      <c r="AU591" s="81"/>
      <c r="AV591" s="99"/>
      <c r="AW591" s="99"/>
    </row>
    <row r="592" spans="1:49" x14ac:dyDescent="0.25">
      <c r="A592" s="14"/>
      <c r="B592" s="14"/>
      <c r="C592" s="14"/>
      <c r="D592" s="92"/>
      <c r="E592" s="14"/>
      <c r="F592" s="14"/>
      <c r="G592" s="14"/>
      <c r="H592" s="14"/>
      <c r="I592" s="67"/>
      <c r="J592" s="14"/>
      <c r="K592" s="14"/>
      <c r="L592" s="14"/>
      <c r="M592" s="14"/>
      <c r="AU592" s="81"/>
      <c r="AV592" s="99"/>
      <c r="AW592" s="99"/>
    </row>
    <row r="593" spans="1:49" x14ac:dyDescent="0.25">
      <c r="A593" s="14"/>
      <c r="B593" s="14"/>
      <c r="C593" s="14"/>
      <c r="D593" s="92"/>
      <c r="E593" s="14"/>
      <c r="F593" s="14"/>
      <c r="G593" s="14"/>
      <c r="H593" s="14"/>
      <c r="I593" s="67"/>
      <c r="J593" s="14"/>
      <c r="K593" s="14"/>
      <c r="L593" s="14"/>
      <c r="M593" s="14"/>
      <c r="AU593" s="81"/>
      <c r="AV593" s="99"/>
      <c r="AW593" s="99"/>
    </row>
    <row r="594" spans="1:49" x14ac:dyDescent="0.25">
      <c r="A594" s="14"/>
      <c r="B594" s="14"/>
      <c r="C594" s="14"/>
      <c r="D594" s="92"/>
      <c r="E594" s="14"/>
      <c r="F594" s="14"/>
      <c r="G594" s="14"/>
      <c r="H594" s="14"/>
      <c r="I594" s="67"/>
      <c r="J594" s="14"/>
      <c r="K594" s="14"/>
      <c r="L594" s="14"/>
      <c r="M594" s="14"/>
      <c r="AU594" s="81"/>
      <c r="AV594" s="99"/>
      <c r="AW594" s="99"/>
    </row>
    <row r="595" spans="1:49" x14ac:dyDescent="0.25">
      <c r="A595" s="14"/>
      <c r="B595" s="14"/>
      <c r="C595" s="14"/>
      <c r="D595" s="92"/>
      <c r="E595" s="14"/>
      <c r="F595" s="14"/>
      <c r="G595" s="14"/>
      <c r="H595" s="14"/>
      <c r="I595" s="67"/>
      <c r="J595" s="14"/>
      <c r="K595" s="14"/>
      <c r="L595" s="14"/>
      <c r="M595" s="14"/>
      <c r="AU595" s="81"/>
      <c r="AV595" s="99"/>
      <c r="AW595" s="99"/>
    </row>
    <row r="596" spans="1:49" x14ac:dyDescent="0.25">
      <c r="A596" s="14"/>
      <c r="B596" s="14"/>
      <c r="C596" s="14"/>
      <c r="D596" s="92"/>
      <c r="E596" s="14"/>
      <c r="F596" s="14"/>
      <c r="G596" s="14"/>
      <c r="H596" s="14"/>
      <c r="I596" s="67"/>
      <c r="J596" s="14"/>
      <c r="K596" s="14"/>
      <c r="L596" s="14"/>
      <c r="M596" s="14"/>
      <c r="AU596" s="81"/>
      <c r="AV596" s="99"/>
      <c r="AW596" s="99"/>
    </row>
    <row r="597" spans="1:49" x14ac:dyDescent="0.25">
      <c r="A597" s="14"/>
      <c r="B597" s="14"/>
      <c r="C597" s="14"/>
      <c r="D597" s="92"/>
      <c r="E597" s="14"/>
      <c r="F597" s="14"/>
      <c r="G597" s="14"/>
      <c r="H597" s="14"/>
      <c r="I597" s="67"/>
      <c r="J597" s="14"/>
      <c r="K597" s="14"/>
      <c r="L597" s="14"/>
      <c r="M597" s="14"/>
      <c r="AU597" s="81"/>
      <c r="AV597" s="99"/>
      <c r="AW597" s="99"/>
    </row>
    <row r="598" spans="1:49" x14ac:dyDescent="0.25">
      <c r="A598" s="14"/>
      <c r="B598" s="14"/>
      <c r="C598" s="14"/>
      <c r="D598" s="92"/>
      <c r="E598" s="14"/>
      <c r="F598" s="14"/>
      <c r="G598" s="14"/>
      <c r="H598" s="14"/>
      <c r="I598" s="67"/>
      <c r="J598" s="14"/>
      <c r="K598" s="14"/>
      <c r="L598" s="14"/>
      <c r="M598" s="14"/>
      <c r="AU598" s="81"/>
      <c r="AV598" s="99"/>
      <c r="AW598" s="99"/>
    </row>
    <row r="599" spans="1:49" x14ac:dyDescent="0.25">
      <c r="A599" s="14"/>
      <c r="B599" s="14"/>
      <c r="C599" s="14"/>
      <c r="D599" s="92"/>
      <c r="E599" s="14"/>
      <c r="F599" s="14"/>
      <c r="G599" s="14"/>
      <c r="H599" s="14"/>
      <c r="I599" s="67"/>
      <c r="J599" s="14"/>
      <c r="K599" s="14"/>
      <c r="L599" s="14"/>
      <c r="M599" s="14"/>
      <c r="AU599" s="81"/>
      <c r="AV599" s="99"/>
      <c r="AW599" s="99"/>
    </row>
    <row r="600" spans="1:49" x14ac:dyDescent="0.25">
      <c r="A600" s="14"/>
      <c r="B600" s="14"/>
      <c r="C600" s="14"/>
      <c r="D600" s="92"/>
      <c r="E600" s="14"/>
      <c r="F600" s="14"/>
      <c r="G600" s="14"/>
      <c r="H600" s="14"/>
      <c r="I600" s="67"/>
      <c r="J600" s="14"/>
      <c r="K600" s="14"/>
      <c r="L600" s="14"/>
      <c r="M600" s="14"/>
      <c r="AU600" s="81"/>
      <c r="AV600" s="99"/>
      <c r="AW600" s="99"/>
    </row>
    <row r="601" spans="1:49" x14ac:dyDescent="0.25">
      <c r="A601" s="14"/>
      <c r="B601" s="14"/>
      <c r="C601" s="14"/>
      <c r="D601" s="92"/>
      <c r="E601" s="14"/>
      <c r="F601" s="14"/>
      <c r="G601" s="14"/>
      <c r="H601" s="14"/>
      <c r="I601" s="67"/>
      <c r="J601" s="14"/>
      <c r="K601" s="14"/>
      <c r="L601" s="14"/>
      <c r="M601" s="14"/>
      <c r="AU601" s="81"/>
      <c r="AV601" s="99"/>
      <c r="AW601" s="99"/>
    </row>
    <row r="602" spans="1:49" x14ac:dyDescent="0.25">
      <c r="A602" s="14"/>
      <c r="B602" s="14"/>
      <c r="C602" s="14"/>
      <c r="D602" s="92"/>
      <c r="E602" s="14"/>
      <c r="F602" s="14"/>
      <c r="G602" s="14"/>
      <c r="H602" s="14"/>
      <c r="I602" s="67"/>
      <c r="J602" s="14"/>
      <c r="K602" s="14"/>
      <c r="L602" s="14"/>
      <c r="M602" s="14"/>
      <c r="AU602" s="81"/>
      <c r="AV602" s="99"/>
      <c r="AW602" s="99"/>
    </row>
    <row r="603" spans="1:49" x14ac:dyDescent="0.25">
      <c r="A603" s="14"/>
      <c r="B603" s="14"/>
      <c r="C603" s="14"/>
      <c r="D603" s="92"/>
      <c r="E603" s="14"/>
      <c r="F603" s="14"/>
      <c r="G603" s="14"/>
      <c r="H603" s="14"/>
      <c r="I603" s="67"/>
      <c r="J603" s="14"/>
      <c r="K603" s="14"/>
      <c r="L603" s="14"/>
      <c r="M603" s="14"/>
      <c r="AU603" s="81"/>
      <c r="AV603" s="99"/>
      <c r="AW603" s="99"/>
    </row>
    <row r="604" spans="1:49" x14ac:dyDescent="0.25">
      <c r="A604" s="14"/>
      <c r="B604" s="14"/>
      <c r="C604" s="14"/>
      <c r="D604" s="92"/>
      <c r="E604" s="14"/>
      <c r="F604" s="14"/>
      <c r="G604" s="14"/>
      <c r="H604" s="14"/>
      <c r="I604" s="67"/>
      <c r="J604" s="14"/>
      <c r="K604" s="14"/>
      <c r="L604" s="14"/>
      <c r="M604" s="14"/>
      <c r="AU604" s="81"/>
      <c r="AV604" s="99"/>
      <c r="AW604" s="99"/>
    </row>
    <row r="605" spans="1:49" x14ac:dyDescent="0.25">
      <c r="A605" s="14"/>
      <c r="B605" s="14"/>
      <c r="C605" s="14"/>
      <c r="D605" s="92"/>
      <c r="E605" s="14"/>
      <c r="F605" s="14"/>
      <c r="G605" s="14"/>
      <c r="H605" s="14"/>
      <c r="I605" s="67"/>
      <c r="J605" s="14"/>
      <c r="K605" s="14"/>
      <c r="L605" s="14"/>
      <c r="M605" s="14"/>
      <c r="AU605" s="81"/>
      <c r="AV605" s="99"/>
      <c r="AW605" s="99"/>
    </row>
    <row r="606" spans="1:49" x14ac:dyDescent="0.25">
      <c r="A606" s="14"/>
      <c r="B606" s="14"/>
      <c r="C606" s="14"/>
      <c r="D606" s="92"/>
      <c r="E606" s="14"/>
      <c r="F606" s="14"/>
      <c r="G606" s="14"/>
      <c r="H606" s="14"/>
      <c r="I606" s="67"/>
      <c r="J606" s="14"/>
      <c r="K606" s="14"/>
      <c r="L606" s="14"/>
      <c r="M606" s="14"/>
      <c r="AU606" s="81"/>
      <c r="AV606" s="99"/>
      <c r="AW606" s="99"/>
    </row>
    <row r="607" spans="1:49" x14ac:dyDescent="0.25">
      <c r="A607" s="14"/>
      <c r="B607" s="14"/>
      <c r="C607" s="14"/>
      <c r="D607" s="92"/>
      <c r="E607" s="14"/>
      <c r="F607" s="14"/>
      <c r="G607" s="14"/>
      <c r="H607" s="14"/>
      <c r="I607" s="67"/>
      <c r="J607" s="14"/>
      <c r="K607" s="14"/>
      <c r="L607" s="14"/>
      <c r="M607" s="14"/>
      <c r="AU607" s="81"/>
      <c r="AV607" s="99"/>
      <c r="AW607" s="99"/>
    </row>
    <row r="608" spans="1:49" x14ac:dyDescent="0.25">
      <c r="A608" s="14"/>
      <c r="B608" s="14"/>
      <c r="C608" s="14"/>
      <c r="D608" s="92"/>
      <c r="E608" s="14"/>
      <c r="F608" s="14"/>
      <c r="G608" s="14"/>
      <c r="H608" s="14"/>
      <c r="I608" s="67"/>
      <c r="J608" s="14"/>
      <c r="K608" s="14"/>
      <c r="L608" s="14"/>
      <c r="M608" s="14"/>
      <c r="AU608" s="81"/>
      <c r="AV608" s="99"/>
      <c r="AW608" s="99"/>
    </row>
    <row r="609" spans="1:49" x14ac:dyDescent="0.25">
      <c r="A609" s="14"/>
      <c r="B609" s="14"/>
      <c r="C609" s="14"/>
      <c r="D609" s="92"/>
      <c r="E609" s="14"/>
      <c r="F609" s="14"/>
      <c r="G609" s="14"/>
      <c r="H609" s="14"/>
      <c r="I609" s="67"/>
      <c r="J609" s="14"/>
      <c r="K609" s="14"/>
      <c r="L609" s="14"/>
      <c r="M609" s="14"/>
      <c r="AU609" s="81"/>
      <c r="AV609" s="99"/>
      <c r="AW609" s="99"/>
    </row>
    <row r="610" spans="1:49" x14ac:dyDescent="0.25">
      <c r="A610" s="14"/>
      <c r="B610" s="14"/>
      <c r="C610" s="14"/>
      <c r="D610" s="92"/>
      <c r="E610" s="14"/>
      <c r="F610" s="14"/>
      <c r="G610" s="14"/>
      <c r="H610" s="14"/>
      <c r="I610" s="67"/>
      <c r="J610" s="14"/>
      <c r="K610" s="14"/>
      <c r="L610" s="14"/>
      <c r="M610" s="14"/>
      <c r="AU610" s="81"/>
      <c r="AV610" s="99"/>
      <c r="AW610" s="99"/>
    </row>
    <row r="611" spans="1:49" x14ac:dyDescent="0.25">
      <c r="A611" s="14"/>
      <c r="B611" s="14"/>
      <c r="C611" s="14"/>
      <c r="D611" s="92"/>
      <c r="E611" s="14"/>
      <c r="F611" s="14"/>
      <c r="G611" s="14"/>
      <c r="H611" s="14"/>
      <c r="I611" s="67"/>
      <c r="J611" s="14"/>
      <c r="K611" s="14"/>
      <c r="L611" s="14"/>
      <c r="M611" s="14"/>
      <c r="AU611" s="81"/>
      <c r="AV611" s="99"/>
      <c r="AW611" s="99"/>
    </row>
    <row r="612" spans="1:49" x14ac:dyDescent="0.25">
      <c r="A612" s="14"/>
      <c r="B612" s="14"/>
      <c r="C612" s="14"/>
      <c r="D612" s="92"/>
      <c r="E612" s="14"/>
      <c r="F612" s="14"/>
      <c r="G612" s="14"/>
      <c r="H612" s="14"/>
      <c r="I612" s="67"/>
      <c r="J612" s="14"/>
      <c r="K612" s="14"/>
      <c r="L612" s="14"/>
      <c r="M612" s="14"/>
      <c r="AU612" s="81"/>
      <c r="AV612" s="99"/>
      <c r="AW612" s="99"/>
    </row>
    <row r="613" spans="1:49" x14ac:dyDescent="0.25">
      <c r="A613" s="14"/>
      <c r="B613" s="14"/>
      <c r="C613" s="14"/>
      <c r="D613" s="92"/>
      <c r="E613" s="14"/>
      <c r="F613" s="14"/>
      <c r="G613" s="14"/>
      <c r="H613" s="14"/>
      <c r="I613" s="67"/>
      <c r="J613" s="14"/>
      <c r="K613" s="14"/>
      <c r="L613" s="14"/>
      <c r="M613" s="14"/>
      <c r="AU613" s="81"/>
      <c r="AV613" s="99"/>
      <c r="AW613" s="99"/>
    </row>
    <row r="614" spans="1:49" x14ac:dyDescent="0.25">
      <c r="A614" s="14"/>
      <c r="B614" s="14"/>
      <c r="C614" s="14"/>
      <c r="D614" s="92"/>
      <c r="E614" s="14"/>
      <c r="F614" s="14"/>
      <c r="G614" s="14"/>
      <c r="H614" s="14"/>
      <c r="I614" s="67"/>
      <c r="J614" s="14"/>
      <c r="K614" s="14"/>
      <c r="L614" s="14"/>
      <c r="M614" s="14"/>
      <c r="AU614" s="81"/>
      <c r="AV614" s="99"/>
      <c r="AW614" s="99"/>
    </row>
    <row r="615" spans="1:49" x14ac:dyDescent="0.25">
      <c r="A615" s="14"/>
      <c r="B615" s="14"/>
      <c r="C615" s="14"/>
      <c r="D615" s="92"/>
      <c r="E615" s="14"/>
      <c r="F615" s="14"/>
      <c r="G615" s="14"/>
      <c r="H615" s="14"/>
      <c r="I615" s="67"/>
      <c r="J615" s="14"/>
      <c r="K615" s="14"/>
      <c r="L615" s="14"/>
      <c r="M615" s="14"/>
      <c r="AU615" s="81"/>
      <c r="AV615" s="99"/>
      <c r="AW615" s="99"/>
    </row>
    <row r="616" spans="1:49" x14ac:dyDescent="0.25">
      <c r="A616" s="14"/>
      <c r="B616" s="14"/>
      <c r="C616" s="14"/>
      <c r="D616" s="92"/>
      <c r="E616" s="14"/>
      <c r="F616" s="14"/>
      <c r="G616" s="14"/>
      <c r="H616" s="14"/>
      <c r="I616" s="67"/>
      <c r="J616" s="14"/>
      <c r="K616" s="14"/>
      <c r="L616" s="14"/>
      <c r="M616" s="14"/>
      <c r="AU616" s="81"/>
      <c r="AV616" s="99"/>
      <c r="AW616" s="99"/>
    </row>
    <row r="617" spans="1:49" x14ac:dyDescent="0.25">
      <c r="A617" s="14"/>
      <c r="B617" s="14"/>
      <c r="C617" s="14"/>
      <c r="D617" s="92"/>
      <c r="E617" s="14"/>
      <c r="F617" s="14"/>
      <c r="G617" s="14"/>
      <c r="H617" s="14"/>
      <c r="I617" s="67"/>
      <c r="J617" s="14"/>
      <c r="K617" s="14"/>
      <c r="L617" s="14"/>
      <c r="M617" s="14"/>
      <c r="AU617" s="81"/>
      <c r="AV617" s="99"/>
      <c r="AW617" s="99"/>
    </row>
    <row r="618" spans="1:49" x14ac:dyDescent="0.25">
      <c r="A618" s="14"/>
      <c r="B618" s="14"/>
      <c r="C618" s="14"/>
      <c r="D618" s="92"/>
      <c r="E618" s="14"/>
      <c r="F618" s="14"/>
      <c r="G618" s="14"/>
      <c r="H618" s="14"/>
      <c r="I618" s="67"/>
      <c r="J618" s="14"/>
      <c r="K618" s="14"/>
      <c r="L618" s="14"/>
      <c r="M618" s="14"/>
      <c r="AU618" s="81"/>
      <c r="AV618" s="99"/>
      <c r="AW618" s="99"/>
    </row>
    <row r="619" spans="1:49" x14ac:dyDescent="0.25">
      <c r="A619" s="14"/>
      <c r="B619" s="14"/>
      <c r="C619" s="14"/>
      <c r="D619" s="92"/>
      <c r="E619" s="14"/>
      <c r="F619" s="14"/>
      <c r="G619" s="14"/>
      <c r="H619" s="14"/>
      <c r="I619" s="67"/>
      <c r="J619" s="14"/>
      <c r="K619" s="14"/>
      <c r="L619" s="14"/>
      <c r="M619" s="14"/>
      <c r="AU619" s="81"/>
      <c r="AV619" s="99"/>
      <c r="AW619" s="99"/>
    </row>
    <row r="620" spans="1:49" x14ac:dyDescent="0.25">
      <c r="A620" s="14"/>
      <c r="B620" s="14"/>
      <c r="C620" s="14"/>
      <c r="D620" s="92"/>
      <c r="E620" s="14"/>
      <c r="F620" s="14"/>
      <c r="G620" s="14"/>
      <c r="H620" s="14"/>
      <c r="I620" s="67"/>
      <c r="J620" s="14"/>
      <c r="K620" s="14"/>
      <c r="L620" s="14"/>
      <c r="M620" s="14"/>
      <c r="AU620" s="81"/>
      <c r="AV620" s="99"/>
      <c r="AW620" s="99"/>
    </row>
    <row r="621" spans="1:49" x14ac:dyDescent="0.25">
      <c r="A621" s="14"/>
      <c r="B621" s="14"/>
      <c r="C621" s="14"/>
      <c r="D621" s="92"/>
      <c r="E621" s="14"/>
      <c r="F621" s="14"/>
      <c r="G621" s="14"/>
      <c r="H621" s="14"/>
      <c r="I621" s="67"/>
      <c r="J621" s="14"/>
      <c r="K621" s="14"/>
      <c r="L621" s="14"/>
      <c r="M621" s="14"/>
      <c r="AU621" s="81"/>
      <c r="AV621" s="99"/>
      <c r="AW621" s="99"/>
    </row>
    <row r="622" spans="1:49" x14ac:dyDescent="0.25">
      <c r="A622" s="14"/>
      <c r="B622" s="14"/>
      <c r="C622" s="14"/>
      <c r="D622" s="92"/>
      <c r="E622" s="14"/>
      <c r="F622" s="14"/>
      <c r="G622" s="14"/>
      <c r="H622" s="14"/>
      <c r="I622" s="67"/>
      <c r="J622" s="14"/>
      <c r="K622" s="14"/>
      <c r="L622" s="14"/>
      <c r="M622" s="14"/>
      <c r="AU622" s="81"/>
      <c r="AV622" s="99"/>
      <c r="AW622" s="99"/>
    </row>
    <row r="623" spans="1:49" x14ac:dyDescent="0.25">
      <c r="A623" s="14"/>
      <c r="B623" s="14"/>
      <c r="C623" s="14"/>
      <c r="D623" s="92"/>
      <c r="E623" s="14"/>
      <c r="F623" s="14"/>
      <c r="G623" s="14"/>
      <c r="H623" s="14"/>
      <c r="I623" s="67"/>
      <c r="J623" s="14"/>
      <c r="K623" s="14"/>
      <c r="L623" s="14"/>
      <c r="M623" s="14"/>
      <c r="AU623" s="81"/>
      <c r="AV623" s="99"/>
      <c r="AW623" s="99"/>
    </row>
    <row r="624" spans="1:49" x14ac:dyDescent="0.25">
      <c r="A624" s="14"/>
      <c r="B624" s="14"/>
      <c r="C624" s="14"/>
      <c r="D624" s="92"/>
      <c r="E624" s="14"/>
      <c r="F624" s="14"/>
      <c r="G624" s="14"/>
      <c r="H624" s="14"/>
      <c r="I624" s="67"/>
      <c r="J624" s="14"/>
      <c r="K624" s="14"/>
      <c r="L624" s="14"/>
      <c r="M624" s="14"/>
      <c r="AU624" s="81"/>
      <c r="AV624" s="99"/>
      <c r="AW624" s="99"/>
    </row>
    <row r="625" spans="1:49" x14ac:dyDescent="0.25">
      <c r="A625" s="14"/>
      <c r="B625" s="14"/>
      <c r="C625" s="14"/>
      <c r="D625" s="92"/>
      <c r="E625" s="14"/>
      <c r="F625" s="14"/>
      <c r="G625" s="14"/>
      <c r="H625" s="14"/>
      <c r="I625" s="67"/>
      <c r="J625" s="14"/>
      <c r="K625" s="14"/>
      <c r="L625" s="14"/>
      <c r="M625" s="14"/>
      <c r="AU625" s="81"/>
      <c r="AV625" s="99"/>
      <c r="AW625" s="99"/>
    </row>
    <row r="626" spans="1:49" x14ac:dyDescent="0.25">
      <c r="A626" s="14"/>
      <c r="B626" s="14"/>
      <c r="C626" s="14"/>
      <c r="D626" s="92"/>
      <c r="E626" s="14"/>
      <c r="F626" s="14"/>
      <c r="G626" s="14"/>
      <c r="H626" s="14"/>
      <c r="I626" s="67"/>
      <c r="J626" s="14"/>
      <c r="K626" s="14"/>
      <c r="L626" s="14"/>
      <c r="M626" s="14"/>
      <c r="AU626" s="81"/>
      <c r="AV626" s="99"/>
      <c r="AW626" s="99"/>
    </row>
    <row r="627" spans="1:49" x14ac:dyDescent="0.25">
      <c r="A627" s="14"/>
      <c r="B627" s="14"/>
      <c r="C627" s="14"/>
      <c r="D627" s="92"/>
      <c r="E627" s="14"/>
      <c r="F627" s="14"/>
      <c r="G627" s="14"/>
      <c r="H627" s="14"/>
      <c r="I627" s="67"/>
      <c r="J627" s="14"/>
      <c r="K627" s="14"/>
      <c r="L627" s="14"/>
      <c r="M627" s="14"/>
      <c r="AU627" s="81"/>
      <c r="AV627" s="99"/>
      <c r="AW627" s="99"/>
    </row>
    <row r="628" spans="1:49" x14ac:dyDescent="0.25">
      <c r="A628" s="14"/>
      <c r="B628" s="14"/>
      <c r="C628" s="14"/>
      <c r="D628" s="92"/>
      <c r="E628" s="14"/>
      <c r="F628" s="14"/>
      <c r="G628" s="14"/>
      <c r="H628" s="14"/>
      <c r="I628" s="67"/>
      <c r="J628" s="14"/>
      <c r="K628" s="14"/>
      <c r="L628" s="14"/>
      <c r="M628" s="14"/>
      <c r="AU628" s="81"/>
      <c r="AV628" s="99"/>
      <c r="AW628" s="99"/>
    </row>
    <row r="629" spans="1:49" x14ac:dyDescent="0.25">
      <c r="A629" s="14"/>
      <c r="B629" s="14"/>
      <c r="C629" s="14"/>
      <c r="D629" s="92"/>
      <c r="E629" s="14"/>
      <c r="F629" s="14"/>
      <c r="G629" s="14"/>
      <c r="H629" s="14"/>
      <c r="I629" s="67"/>
      <c r="J629" s="14"/>
      <c r="K629" s="14"/>
      <c r="L629" s="14"/>
      <c r="M629" s="14"/>
      <c r="AU629" s="81"/>
      <c r="AV629" s="99"/>
      <c r="AW629" s="99"/>
    </row>
    <row r="630" spans="1:49" x14ac:dyDescent="0.25">
      <c r="A630" s="14"/>
      <c r="B630" s="14"/>
      <c r="C630" s="14"/>
      <c r="D630" s="92"/>
      <c r="E630" s="14"/>
      <c r="F630" s="14"/>
      <c r="G630" s="14"/>
      <c r="H630" s="14"/>
      <c r="I630" s="67"/>
      <c r="J630" s="14"/>
      <c r="K630" s="14"/>
      <c r="L630" s="14"/>
      <c r="M630" s="14"/>
      <c r="AU630" s="81"/>
      <c r="AV630" s="99"/>
      <c r="AW630" s="99"/>
    </row>
    <row r="631" spans="1:49" x14ac:dyDescent="0.25">
      <c r="A631" s="14"/>
      <c r="B631" s="14"/>
      <c r="C631" s="14"/>
      <c r="D631" s="92"/>
      <c r="E631" s="14"/>
      <c r="F631" s="14"/>
      <c r="G631" s="14"/>
      <c r="H631" s="14"/>
      <c r="I631" s="67"/>
      <c r="J631" s="14"/>
      <c r="K631" s="14"/>
      <c r="L631" s="14"/>
      <c r="M631" s="14"/>
      <c r="AU631" s="81"/>
      <c r="AV631" s="99"/>
      <c r="AW631" s="99"/>
    </row>
    <row r="632" spans="1:49" x14ac:dyDescent="0.25">
      <c r="A632" s="14"/>
      <c r="B632" s="14"/>
      <c r="C632" s="14"/>
      <c r="D632" s="92"/>
      <c r="E632" s="14"/>
      <c r="F632" s="14"/>
      <c r="G632" s="14"/>
      <c r="H632" s="14"/>
      <c r="I632" s="67"/>
      <c r="J632" s="14"/>
      <c r="K632" s="14"/>
      <c r="L632" s="14"/>
      <c r="M632" s="14"/>
      <c r="AU632" s="81"/>
      <c r="AV632" s="99"/>
      <c r="AW632" s="99"/>
    </row>
    <row r="633" spans="1:49" x14ac:dyDescent="0.25">
      <c r="A633" s="14"/>
      <c r="B633" s="14"/>
      <c r="C633" s="14"/>
      <c r="D633" s="92"/>
      <c r="E633" s="14"/>
      <c r="F633" s="14"/>
      <c r="G633" s="14"/>
      <c r="H633" s="14"/>
      <c r="I633" s="67"/>
      <c r="J633" s="14"/>
      <c r="K633" s="14"/>
      <c r="L633" s="14"/>
      <c r="M633" s="14"/>
      <c r="AU633" s="81"/>
      <c r="AV633" s="99"/>
      <c r="AW633" s="99"/>
    </row>
    <row r="634" spans="1:49" x14ac:dyDescent="0.25">
      <c r="A634" s="14"/>
      <c r="B634" s="14"/>
      <c r="C634" s="14"/>
      <c r="D634" s="92"/>
      <c r="E634" s="14"/>
      <c r="F634" s="14"/>
      <c r="G634" s="14"/>
      <c r="H634" s="14"/>
      <c r="I634" s="67"/>
      <c r="J634" s="14"/>
      <c r="K634" s="14"/>
      <c r="L634" s="14"/>
      <c r="M634" s="14"/>
      <c r="AU634" s="81"/>
      <c r="AV634" s="99"/>
      <c r="AW634" s="99"/>
    </row>
    <row r="635" spans="1:49" x14ac:dyDescent="0.25">
      <c r="A635" s="14"/>
      <c r="B635" s="14"/>
      <c r="C635" s="14"/>
      <c r="D635" s="92"/>
      <c r="E635" s="14"/>
      <c r="F635" s="14"/>
      <c r="G635" s="14"/>
      <c r="H635" s="14"/>
      <c r="I635" s="67"/>
      <c r="J635" s="14"/>
      <c r="K635" s="14"/>
      <c r="L635" s="14"/>
      <c r="M635" s="14"/>
      <c r="AU635" s="81"/>
      <c r="AV635" s="99"/>
      <c r="AW635" s="99"/>
    </row>
    <row r="636" spans="1:49" x14ac:dyDescent="0.25">
      <c r="A636" s="14"/>
      <c r="B636" s="14"/>
      <c r="C636" s="14"/>
      <c r="D636" s="92"/>
      <c r="E636" s="14"/>
      <c r="F636" s="14"/>
      <c r="G636" s="14"/>
      <c r="H636" s="14"/>
      <c r="I636" s="67"/>
      <c r="J636" s="14"/>
      <c r="K636" s="14"/>
      <c r="L636" s="14"/>
      <c r="M636" s="14"/>
      <c r="AU636" s="81"/>
      <c r="AV636" s="99"/>
      <c r="AW636" s="99"/>
    </row>
    <row r="637" spans="1:49" x14ac:dyDescent="0.25">
      <c r="A637" s="14"/>
      <c r="B637" s="14"/>
      <c r="C637" s="14"/>
      <c r="D637" s="92"/>
      <c r="E637" s="14"/>
      <c r="F637" s="14"/>
      <c r="G637" s="14"/>
      <c r="H637" s="14"/>
      <c r="I637" s="67"/>
      <c r="J637" s="14"/>
      <c r="K637" s="14"/>
      <c r="L637" s="14"/>
      <c r="M637" s="14"/>
      <c r="AU637" s="81"/>
      <c r="AV637" s="99"/>
      <c r="AW637" s="99"/>
    </row>
    <row r="638" spans="1:49" x14ac:dyDescent="0.25">
      <c r="A638" s="14"/>
      <c r="B638" s="14"/>
      <c r="C638" s="14"/>
      <c r="D638" s="92"/>
      <c r="E638" s="14"/>
      <c r="F638" s="14"/>
      <c r="G638" s="14"/>
      <c r="H638" s="14"/>
      <c r="I638" s="67"/>
      <c r="J638" s="14"/>
      <c r="K638" s="14"/>
      <c r="L638" s="14"/>
      <c r="M638" s="14"/>
      <c r="AU638" s="81"/>
      <c r="AV638" s="99"/>
      <c r="AW638" s="99"/>
    </row>
    <row r="639" spans="1:49" x14ac:dyDescent="0.25">
      <c r="A639" s="14"/>
      <c r="B639" s="14"/>
      <c r="C639" s="14"/>
      <c r="D639" s="92"/>
      <c r="E639" s="14"/>
      <c r="F639" s="14"/>
      <c r="G639" s="14"/>
      <c r="H639" s="14"/>
      <c r="I639" s="67"/>
      <c r="J639" s="14"/>
      <c r="K639" s="14"/>
      <c r="L639" s="14"/>
      <c r="M639" s="14"/>
      <c r="AU639" s="81"/>
      <c r="AV639" s="99"/>
      <c r="AW639" s="99"/>
    </row>
    <row r="640" spans="1:49" x14ac:dyDescent="0.25">
      <c r="A640" s="14"/>
      <c r="B640" s="14"/>
      <c r="C640" s="14"/>
      <c r="D640" s="92"/>
      <c r="E640" s="14"/>
      <c r="F640" s="14"/>
      <c r="G640" s="14"/>
      <c r="H640" s="14"/>
      <c r="I640" s="67"/>
      <c r="J640" s="14"/>
      <c r="K640" s="14"/>
      <c r="L640" s="14"/>
      <c r="M640" s="14"/>
      <c r="AU640" s="81"/>
      <c r="AV640" s="99"/>
      <c r="AW640" s="99"/>
    </row>
    <row r="641" spans="1:49" x14ac:dyDescent="0.25">
      <c r="A641" s="14"/>
      <c r="B641" s="14"/>
      <c r="C641" s="14"/>
      <c r="D641" s="92"/>
      <c r="E641" s="14"/>
      <c r="F641" s="14"/>
      <c r="G641" s="14"/>
      <c r="H641" s="14"/>
      <c r="I641" s="67"/>
      <c r="J641" s="14"/>
      <c r="K641" s="14"/>
      <c r="L641" s="14"/>
      <c r="M641" s="14"/>
      <c r="AU641" s="81"/>
      <c r="AV641" s="99"/>
      <c r="AW641" s="99"/>
    </row>
    <row r="642" spans="1:49" x14ac:dyDescent="0.25">
      <c r="A642" s="14"/>
      <c r="B642" s="14"/>
      <c r="C642" s="14"/>
      <c r="D642" s="92"/>
      <c r="E642" s="14"/>
      <c r="F642" s="14"/>
      <c r="G642" s="14"/>
      <c r="H642" s="14"/>
      <c r="I642" s="67"/>
      <c r="J642" s="14"/>
      <c r="K642" s="14"/>
      <c r="L642" s="14"/>
      <c r="M642" s="14"/>
      <c r="AU642" s="81"/>
      <c r="AV642" s="99"/>
      <c r="AW642" s="99"/>
    </row>
    <row r="643" spans="1:49" x14ac:dyDescent="0.25">
      <c r="A643" s="14"/>
      <c r="B643" s="14"/>
      <c r="C643" s="14"/>
      <c r="D643" s="92"/>
      <c r="E643" s="14"/>
      <c r="F643" s="14"/>
      <c r="G643" s="14"/>
      <c r="H643" s="14"/>
      <c r="I643" s="67"/>
      <c r="J643" s="14"/>
      <c r="K643" s="14"/>
      <c r="L643" s="14"/>
      <c r="M643" s="14"/>
      <c r="AU643" s="81"/>
      <c r="AV643" s="99"/>
      <c r="AW643" s="99"/>
    </row>
    <row r="644" spans="1:49" x14ac:dyDescent="0.25">
      <c r="A644" s="14"/>
      <c r="B644" s="14"/>
      <c r="C644" s="14"/>
      <c r="D644" s="92"/>
      <c r="E644" s="14"/>
      <c r="F644" s="14"/>
      <c r="G644" s="14"/>
      <c r="H644" s="14"/>
      <c r="I644" s="67"/>
      <c r="J644" s="14"/>
      <c r="K644" s="14"/>
      <c r="L644" s="14"/>
      <c r="M644" s="14"/>
      <c r="AU644" s="81"/>
      <c r="AV644" s="99"/>
      <c r="AW644" s="99"/>
    </row>
    <row r="645" spans="1:49" x14ac:dyDescent="0.25">
      <c r="A645" s="14"/>
      <c r="B645" s="14"/>
      <c r="C645" s="14"/>
      <c r="D645" s="92"/>
      <c r="E645" s="14"/>
      <c r="F645" s="14"/>
      <c r="G645" s="14"/>
      <c r="H645" s="14"/>
      <c r="I645" s="67"/>
      <c r="J645" s="14"/>
      <c r="K645" s="14"/>
      <c r="L645" s="14"/>
      <c r="M645" s="14"/>
      <c r="AU645" s="81"/>
      <c r="AV645" s="99"/>
      <c r="AW645" s="99"/>
    </row>
    <row r="646" spans="1:49" x14ac:dyDescent="0.25">
      <c r="A646" s="14"/>
      <c r="B646" s="14"/>
      <c r="C646" s="14"/>
      <c r="D646" s="92"/>
      <c r="E646" s="14"/>
      <c r="F646" s="14"/>
      <c r="G646" s="14"/>
      <c r="H646" s="14"/>
      <c r="I646" s="67"/>
      <c r="J646" s="14"/>
      <c r="K646" s="14"/>
      <c r="L646" s="14"/>
      <c r="M646" s="14"/>
      <c r="AU646" s="81"/>
      <c r="AV646" s="99"/>
      <c r="AW646" s="99"/>
    </row>
    <row r="647" spans="1:49" x14ac:dyDescent="0.25">
      <c r="A647" s="14"/>
      <c r="B647" s="14"/>
      <c r="C647" s="14"/>
      <c r="D647" s="92"/>
      <c r="E647" s="14"/>
      <c r="F647" s="14"/>
      <c r="G647" s="14"/>
      <c r="H647" s="14"/>
      <c r="I647" s="67"/>
      <c r="J647" s="14"/>
      <c r="K647" s="14"/>
      <c r="L647" s="14"/>
      <c r="M647" s="14"/>
      <c r="AU647" s="81"/>
      <c r="AV647" s="99"/>
      <c r="AW647" s="99"/>
    </row>
    <row r="648" spans="1:49" x14ac:dyDescent="0.25">
      <c r="A648" s="14"/>
      <c r="B648" s="14"/>
      <c r="C648" s="14"/>
      <c r="D648" s="92"/>
      <c r="E648" s="14"/>
      <c r="F648" s="14"/>
      <c r="G648" s="14"/>
      <c r="H648" s="14"/>
      <c r="I648" s="67"/>
      <c r="J648" s="14"/>
      <c r="K648" s="14"/>
      <c r="L648" s="14"/>
      <c r="M648" s="14"/>
      <c r="AU648" s="81"/>
      <c r="AV648" s="99"/>
      <c r="AW648" s="99"/>
    </row>
    <row r="649" spans="1:49" x14ac:dyDescent="0.25">
      <c r="A649" s="14"/>
      <c r="B649" s="14"/>
      <c r="C649" s="14"/>
      <c r="D649" s="92"/>
      <c r="E649" s="14"/>
      <c r="F649" s="14"/>
      <c r="G649" s="14"/>
      <c r="H649" s="14"/>
      <c r="I649" s="67"/>
      <c r="J649" s="14"/>
      <c r="K649" s="14"/>
      <c r="L649" s="14"/>
      <c r="M649" s="14"/>
      <c r="AU649" s="81"/>
      <c r="AV649" s="99"/>
      <c r="AW649" s="99"/>
    </row>
    <row r="650" spans="1:49" x14ac:dyDescent="0.25">
      <c r="A650" s="14"/>
      <c r="B650" s="14"/>
      <c r="C650" s="14"/>
      <c r="D650" s="92"/>
      <c r="E650" s="14"/>
      <c r="F650" s="14"/>
      <c r="G650" s="14"/>
      <c r="H650" s="14"/>
      <c r="I650" s="67"/>
      <c r="J650" s="14"/>
      <c r="K650" s="14"/>
      <c r="L650" s="14"/>
      <c r="M650" s="14"/>
      <c r="AU650" s="81"/>
      <c r="AV650" s="99"/>
      <c r="AW650" s="99"/>
    </row>
    <row r="651" spans="1:49" x14ac:dyDescent="0.25">
      <c r="A651" s="14"/>
      <c r="B651" s="14"/>
      <c r="C651" s="14"/>
      <c r="D651" s="92"/>
      <c r="E651" s="14"/>
      <c r="F651" s="14"/>
      <c r="G651" s="14"/>
      <c r="H651" s="14"/>
      <c r="I651" s="67"/>
      <c r="J651" s="14"/>
      <c r="K651" s="14"/>
      <c r="L651" s="14"/>
      <c r="M651" s="14"/>
      <c r="AU651" s="81"/>
      <c r="AV651" s="99"/>
      <c r="AW651" s="99"/>
    </row>
    <row r="652" spans="1:49" x14ac:dyDescent="0.25">
      <c r="A652" s="14"/>
      <c r="B652" s="14"/>
      <c r="C652" s="14"/>
      <c r="D652" s="92"/>
      <c r="E652" s="14"/>
      <c r="F652" s="14"/>
      <c r="G652" s="14"/>
      <c r="H652" s="14"/>
      <c r="I652" s="67"/>
      <c r="J652" s="14"/>
      <c r="K652" s="14"/>
      <c r="L652" s="14"/>
      <c r="M652" s="14"/>
      <c r="AU652" s="81"/>
      <c r="AV652" s="99"/>
      <c r="AW652" s="99"/>
    </row>
    <row r="653" spans="1:49" x14ac:dyDescent="0.25">
      <c r="A653" s="14"/>
      <c r="B653" s="14"/>
      <c r="C653" s="14"/>
      <c r="D653" s="92"/>
      <c r="E653" s="14"/>
      <c r="F653" s="14"/>
      <c r="G653" s="14"/>
      <c r="H653" s="14"/>
      <c r="I653" s="67"/>
      <c r="J653" s="14"/>
      <c r="K653" s="14"/>
      <c r="L653" s="14"/>
      <c r="M653" s="14"/>
      <c r="AU653" s="81"/>
      <c r="AV653" s="99"/>
      <c r="AW653" s="99"/>
    </row>
    <row r="654" spans="1:49" x14ac:dyDescent="0.25">
      <c r="A654" s="14"/>
      <c r="B654" s="14"/>
      <c r="C654" s="14"/>
      <c r="D654" s="92"/>
      <c r="E654" s="14"/>
      <c r="F654" s="14"/>
      <c r="G654" s="14"/>
      <c r="H654" s="14"/>
      <c r="I654" s="67"/>
      <c r="J654" s="14"/>
      <c r="K654" s="14"/>
      <c r="L654" s="14"/>
      <c r="M654" s="14"/>
      <c r="AU654" s="81"/>
      <c r="AV654" s="99"/>
      <c r="AW654" s="99"/>
    </row>
    <row r="655" spans="1:49" x14ac:dyDescent="0.25">
      <c r="A655" s="14"/>
      <c r="B655" s="14"/>
      <c r="C655" s="14"/>
      <c r="D655" s="92"/>
      <c r="E655" s="14"/>
      <c r="F655" s="14"/>
      <c r="G655" s="14"/>
      <c r="H655" s="14"/>
      <c r="I655" s="67"/>
      <c r="J655" s="14"/>
      <c r="K655" s="14"/>
      <c r="L655" s="14"/>
      <c r="M655" s="14"/>
      <c r="AU655" s="81"/>
      <c r="AV655" s="99"/>
      <c r="AW655" s="99"/>
    </row>
    <row r="656" spans="1:49" x14ac:dyDescent="0.25">
      <c r="A656" s="14"/>
      <c r="B656" s="14"/>
      <c r="C656" s="14"/>
      <c r="D656" s="92"/>
      <c r="E656" s="14"/>
      <c r="F656" s="14"/>
      <c r="G656" s="14"/>
      <c r="H656" s="14"/>
      <c r="I656" s="67"/>
      <c r="J656" s="14"/>
      <c r="K656" s="14"/>
      <c r="L656" s="14"/>
      <c r="M656" s="14"/>
      <c r="AU656" s="81"/>
      <c r="AV656" s="99"/>
      <c r="AW656" s="99"/>
    </row>
    <row r="657" spans="1:49" x14ac:dyDescent="0.25">
      <c r="A657" s="14"/>
      <c r="B657" s="14"/>
      <c r="C657" s="14"/>
      <c r="D657" s="92"/>
      <c r="E657" s="14"/>
      <c r="F657" s="14"/>
      <c r="G657" s="14"/>
      <c r="H657" s="14"/>
      <c r="I657" s="67"/>
      <c r="J657" s="14"/>
      <c r="K657" s="14"/>
      <c r="L657" s="14"/>
      <c r="M657" s="14"/>
      <c r="AU657" s="81"/>
      <c r="AV657" s="99"/>
      <c r="AW657" s="99"/>
    </row>
    <row r="658" spans="1:49" x14ac:dyDescent="0.25">
      <c r="A658" s="14"/>
      <c r="B658" s="14"/>
      <c r="C658" s="14"/>
      <c r="D658" s="92"/>
      <c r="E658" s="14"/>
      <c r="F658" s="14"/>
      <c r="G658" s="14"/>
      <c r="H658" s="14"/>
      <c r="I658" s="67"/>
      <c r="J658" s="14"/>
      <c r="K658" s="14"/>
      <c r="L658" s="14"/>
      <c r="M658" s="14"/>
      <c r="AU658" s="81"/>
      <c r="AV658" s="99"/>
      <c r="AW658" s="99"/>
    </row>
    <row r="659" spans="1:49" x14ac:dyDescent="0.25">
      <c r="A659" s="14"/>
      <c r="B659" s="14"/>
      <c r="C659" s="14"/>
      <c r="D659" s="92"/>
      <c r="E659" s="14"/>
      <c r="F659" s="14"/>
      <c r="G659" s="14"/>
      <c r="H659" s="14"/>
      <c r="I659" s="67"/>
      <c r="J659" s="14"/>
      <c r="K659" s="14"/>
      <c r="L659" s="14"/>
      <c r="M659" s="14"/>
      <c r="AU659" s="81"/>
      <c r="AV659" s="99"/>
      <c r="AW659" s="99"/>
    </row>
    <row r="660" spans="1:49" x14ac:dyDescent="0.25">
      <c r="A660" s="14"/>
      <c r="B660" s="14"/>
      <c r="C660" s="14"/>
      <c r="D660" s="92"/>
      <c r="E660" s="14"/>
      <c r="F660" s="14"/>
      <c r="G660" s="14"/>
      <c r="H660" s="14"/>
      <c r="I660" s="67"/>
      <c r="J660" s="14"/>
      <c r="K660" s="14"/>
      <c r="L660" s="14"/>
      <c r="M660" s="14"/>
      <c r="AU660" s="81"/>
      <c r="AV660" s="99"/>
      <c r="AW660" s="99"/>
    </row>
    <row r="661" spans="1:49" x14ac:dyDescent="0.25">
      <c r="A661" s="14"/>
      <c r="B661" s="14"/>
      <c r="C661" s="14"/>
      <c r="D661" s="92"/>
      <c r="E661" s="14"/>
      <c r="F661" s="14"/>
      <c r="G661" s="14"/>
      <c r="H661" s="14"/>
      <c r="I661" s="67"/>
      <c r="J661" s="14"/>
      <c r="K661" s="14"/>
      <c r="L661" s="14"/>
      <c r="M661" s="14"/>
      <c r="AU661" s="81"/>
      <c r="AV661" s="99"/>
      <c r="AW661" s="99"/>
    </row>
    <row r="662" spans="1:49" x14ac:dyDescent="0.25">
      <c r="A662" s="14"/>
      <c r="B662" s="14"/>
      <c r="C662" s="14"/>
      <c r="D662" s="92"/>
      <c r="E662" s="14"/>
      <c r="F662" s="14"/>
      <c r="G662" s="14"/>
      <c r="H662" s="14"/>
      <c r="I662" s="67"/>
      <c r="J662" s="14"/>
      <c r="K662" s="14"/>
      <c r="L662" s="14"/>
      <c r="M662" s="14"/>
      <c r="AU662" s="81"/>
      <c r="AV662" s="99"/>
      <c r="AW662" s="99"/>
    </row>
    <row r="663" spans="1:49" x14ac:dyDescent="0.25">
      <c r="A663" s="14"/>
      <c r="B663" s="14"/>
      <c r="C663" s="14"/>
      <c r="D663" s="92"/>
      <c r="E663" s="14"/>
      <c r="F663" s="14"/>
      <c r="G663" s="14"/>
      <c r="H663" s="14"/>
      <c r="I663" s="67"/>
      <c r="J663" s="14"/>
      <c r="K663" s="14"/>
      <c r="L663" s="14"/>
      <c r="M663" s="14"/>
      <c r="AU663" s="81"/>
      <c r="AV663" s="99"/>
      <c r="AW663" s="99"/>
    </row>
    <row r="664" spans="1:49" x14ac:dyDescent="0.25">
      <c r="A664" s="14"/>
      <c r="B664" s="14"/>
      <c r="C664" s="14"/>
      <c r="D664" s="92"/>
      <c r="E664" s="14"/>
      <c r="F664" s="14"/>
      <c r="G664" s="14"/>
      <c r="H664" s="14"/>
      <c r="I664" s="67"/>
      <c r="J664" s="14"/>
      <c r="K664" s="14"/>
      <c r="L664" s="14"/>
      <c r="M664" s="14"/>
      <c r="AU664" s="81"/>
      <c r="AV664" s="99"/>
      <c r="AW664" s="99"/>
    </row>
    <row r="665" spans="1:49" x14ac:dyDescent="0.25">
      <c r="A665" s="14"/>
      <c r="B665" s="14"/>
      <c r="C665" s="14"/>
      <c r="D665" s="92"/>
      <c r="E665" s="14"/>
      <c r="F665" s="14"/>
      <c r="G665" s="14"/>
      <c r="H665" s="14"/>
      <c r="I665" s="67"/>
      <c r="J665" s="14"/>
      <c r="K665" s="14"/>
      <c r="L665" s="14"/>
      <c r="M665" s="14"/>
      <c r="AU665" s="81"/>
      <c r="AV665" s="99"/>
      <c r="AW665" s="99"/>
    </row>
    <row r="666" spans="1:49" x14ac:dyDescent="0.25">
      <c r="A666" s="14"/>
      <c r="B666" s="14"/>
      <c r="C666" s="14"/>
      <c r="D666" s="92"/>
      <c r="E666" s="14"/>
      <c r="F666" s="14"/>
      <c r="G666" s="14"/>
      <c r="H666" s="14"/>
      <c r="I666" s="67"/>
      <c r="J666" s="14"/>
      <c r="K666" s="14"/>
      <c r="L666" s="14"/>
      <c r="M666" s="14"/>
      <c r="AU666" s="81"/>
      <c r="AV666" s="99"/>
      <c r="AW666" s="99"/>
    </row>
    <row r="667" spans="1:49" x14ac:dyDescent="0.25">
      <c r="A667" s="14"/>
      <c r="B667" s="14"/>
      <c r="C667" s="14"/>
      <c r="D667" s="92"/>
      <c r="E667" s="14"/>
      <c r="F667" s="14"/>
      <c r="G667" s="14"/>
      <c r="H667" s="14"/>
      <c r="I667" s="67"/>
      <c r="J667" s="14"/>
      <c r="K667" s="14"/>
      <c r="L667" s="14"/>
      <c r="M667" s="14"/>
      <c r="AU667" s="81"/>
      <c r="AV667" s="99"/>
      <c r="AW667" s="99"/>
    </row>
    <row r="668" spans="1:49" x14ac:dyDescent="0.25">
      <c r="A668" s="14"/>
      <c r="B668" s="14"/>
      <c r="C668" s="14"/>
      <c r="D668" s="92"/>
      <c r="E668" s="14"/>
      <c r="F668" s="14"/>
      <c r="G668" s="14"/>
      <c r="H668" s="14"/>
      <c r="I668" s="67"/>
      <c r="J668" s="14"/>
      <c r="K668" s="14"/>
      <c r="L668" s="14"/>
      <c r="M668" s="14"/>
      <c r="AU668" s="81"/>
      <c r="AV668" s="99"/>
      <c r="AW668" s="99"/>
    </row>
    <row r="669" spans="1:49" x14ac:dyDescent="0.25">
      <c r="A669" s="14"/>
      <c r="B669" s="14"/>
      <c r="C669" s="14"/>
      <c r="D669" s="92"/>
      <c r="E669" s="14"/>
      <c r="F669" s="14"/>
      <c r="G669" s="14"/>
      <c r="H669" s="14"/>
      <c r="I669" s="67"/>
      <c r="J669" s="14"/>
      <c r="K669" s="14"/>
      <c r="L669" s="14"/>
      <c r="M669" s="14"/>
      <c r="AU669" s="81"/>
      <c r="AV669" s="99"/>
      <c r="AW669" s="99"/>
    </row>
    <row r="670" spans="1:49" x14ac:dyDescent="0.25">
      <c r="A670" s="14"/>
      <c r="B670" s="14"/>
      <c r="C670" s="14"/>
      <c r="D670" s="92"/>
      <c r="E670" s="14"/>
      <c r="F670" s="14"/>
      <c r="G670" s="14"/>
      <c r="H670" s="14"/>
      <c r="I670" s="67"/>
      <c r="J670" s="14"/>
      <c r="K670" s="14"/>
      <c r="L670" s="14"/>
      <c r="M670" s="14"/>
      <c r="AU670" s="81"/>
      <c r="AV670" s="99"/>
      <c r="AW670" s="99"/>
    </row>
    <row r="671" spans="1:49" x14ac:dyDescent="0.25">
      <c r="A671" s="14"/>
      <c r="B671" s="14"/>
      <c r="C671" s="14"/>
      <c r="D671" s="92"/>
      <c r="E671" s="14"/>
      <c r="F671" s="14"/>
      <c r="G671" s="14"/>
      <c r="H671" s="14"/>
      <c r="I671" s="67"/>
      <c r="J671" s="14"/>
      <c r="K671" s="14"/>
      <c r="L671" s="14"/>
      <c r="M671" s="14"/>
      <c r="AU671" s="81"/>
      <c r="AV671" s="99"/>
      <c r="AW671" s="99"/>
    </row>
    <row r="672" spans="1:49" x14ac:dyDescent="0.25">
      <c r="A672" s="14"/>
      <c r="B672" s="14"/>
      <c r="C672" s="14"/>
      <c r="D672" s="92"/>
      <c r="E672" s="14"/>
      <c r="F672" s="14"/>
      <c r="G672" s="14"/>
      <c r="H672" s="14"/>
      <c r="I672" s="67"/>
      <c r="J672" s="14"/>
      <c r="K672" s="14"/>
      <c r="L672" s="14"/>
      <c r="M672" s="14"/>
      <c r="AU672" s="81"/>
      <c r="AV672" s="99"/>
      <c r="AW672" s="99"/>
    </row>
    <row r="673" spans="1:49" x14ac:dyDescent="0.25">
      <c r="A673" s="14"/>
      <c r="B673" s="14"/>
      <c r="C673" s="14"/>
      <c r="D673" s="92"/>
      <c r="E673" s="14"/>
      <c r="F673" s="14"/>
      <c r="G673" s="14"/>
      <c r="H673" s="14"/>
      <c r="I673" s="67"/>
      <c r="J673" s="14"/>
      <c r="K673" s="14"/>
      <c r="L673" s="14"/>
      <c r="M673" s="14"/>
      <c r="AU673" s="81"/>
      <c r="AV673" s="99"/>
      <c r="AW673" s="99"/>
    </row>
    <row r="674" spans="1:49" x14ac:dyDescent="0.25">
      <c r="A674" s="14"/>
      <c r="B674" s="14"/>
      <c r="C674" s="14"/>
      <c r="D674" s="92"/>
      <c r="E674" s="14"/>
      <c r="F674" s="14"/>
      <c r="G674" s="14"/>
      <c r="H674" s="14"/>
      <c r="I674" s="67"/>
      <c r="J674" s="14"/>
      <c r="K674" s="14"/>
      <c r="L674" s="14"/>
      <c r="M674" s="14"/>
      <c r="AU674" s="81"/>
      <c r="AV674" s="99"/>
      <c r="AW674" s="99"/>
    </row>
    <row r="675" spans="1:49" x14ac:dyDescent="0.25">
      <c r="A675" s="14"/>
      <c r="B675" s="14"/>
      <c r="C675" s="14"/>
      <c r="D675" s="92"/>
      <c r="E675" s="14"/>
      <c r="F675" s="14"/>
      <c r="G675" s="14"/>
      <c r="H675" s="14"/>
      <c r="I675" s="67"/>
      <c r="J675" s="14"/>
      <c r="K675" s="14"/>
      <c r="L675" s="14"/>
      <c r="M675" s="14"/>
      <c r="AU675" s="81"/>
      <c r="AV675" s="99"/>
      <c r="AW675" s="99"/>
    </row>
    <row r="676" spans="1:49" x14ac:dyDescent="0.25">
      <c r="A676" s="14"/>
      <c r="B676" s="14"/>
      <c r="C676" s="14"/>
      <c r="D676" s="92"/>
      <c r="E676" s="14"/>
      <c r="F676" s="14"/>
      <c r="G676" s="14"/>
      <c r="H676" s="14"/>
      <c r="I676" s="67"/>
      <c r="J676" s="14"/>
      <c r="K676" s="14"/>
      <c r="L676" s="14"/>
      <c r="M676" s="14"/>
      <c r="AU676" s="81"/>
      <c r="AV676" s="99"/>
      <c r="AW676" s="99"/>
    </row>
    <row r="677" spans="1:49" x14ac:dyDescent="0.25">
      <c r="A677" s="14"/>
      <c r="B677" s="14"/>
      <c r="C677" s="14"/>
      <c r="D677" s="92"/>
      <c r="E677" s="14"/>
      <c r="F677" s="14"/>
      <c r="G677" s="14"/>
      <c r="H677" s="14"/>
      <c r="I677" s="67"/>
      <c r="J677" s="14"/>
      <c r="K677" s="14"/>
      <c r="L677" s="14"/>
      <c r="M677" s="14"/>
      <c r="AU677" s="81"/>
      <c r="AV677" s="99"/>
      <c r="AW677" s="99"/>
    </row>
    <row r="678" spans="1:49" x14ac:dyDescent="0.25">
      <c r="A678" s="14"/>
      <c r="B678" s="14"/>
      <c r="C678" s="14"/>
      <c r="D678" s="92"/>
      <c r="E678" s="14"/>
      <c r="F678" s="14"/>
      <c r="G678" s="14"/>
      <c r="H678" s="14"/>
      <c r="I678" s="67"/>
      <c r="J678" s="14"/>
      <c r="K678" s="14"/>
      <c r="L678" s="14"/>
      <c r="M678" s="14"/>
      <c r="AU678" s="81"/>
      <c r="AV678" s="99"/>
      <c r="AW678" s="99"/>
    </row>
    <row r="679" spans="1:49" x14ac:dyDescent="0.25">
      <c r="A679" s="14"/>
      <c r="B679" s="14"/>
      <c r="C679" s="14"/>
      <c r="D679" s="92"/>
      <c r="E679" s="14"/>
      <c r="F679" s="14"/>
      <c r="G679" s="14"/>
      <c r="H679" s="14"/>
      <c r="I679" s="67"/>
      <c r="J679" s="14"/>
      <c r="K679" s="14"/>
      <c r="L679" s="14"/>
      <c r="M679" s="14"/>
      <c r="AU679" s="81"/>
      <c r="AV679" s="99"/>
      <c r="AW679" s="99"/>
    </row>
    <row r="680" spans="1:49" x14ac:dyDescent="0.25">
      <c r="A680" s="14"/>
      <c r="B680" s="14"/>
      <c r="C680" s="14"/>
      <c r="D680" s="92"/>
      <c r="E680" s="14"/>
      <c r="F680" s="14"/>
      <c r="G680" s="14"/>
      <c r="H680" s="14"/>
      <c r="I680" s="67"/>
      <c r="J680" s="14"/>
      <c r="K680" s="14"/>
      <c r="L680" s="14"/>
      <c r="M680" s="14"/>
      <c r="AU680" s="81"/>
      <c r="AV680" s="99"/>
      <c r="AW680" s="99"/>
    </row>
    <row r="681" spans="1:49" x14ac:dyDescent="0.25">
      <c r="A681" s="14"/>
      <c r="B681" s="14"/>
      <c r="C681" s="14"/>
      <c r="D681" s="92"/>
      <c r="E681" s="14"/>
      <c r="F681" s="14"/>
      <c r="G681" s="14"/>
      <c r="H681" s="14"/>
      <c r="I681" s="67"/>
      <c r="J681" s="14"/>
      <c r="K681" s="14"/>
      <c r="L681" s="14"/>
      <c r="M681" s="14"/>
      <c r="AU681" s="81"/>
      <c r="AV681" s="99"/>
      <c r="AW681" s="99"/>
    </row>
    <row r="682" spans="1:49" x14ac:dyDescent="0.25">
      <c r="A682" s="14"/>
      <c r="B682" s="14"/>
      <c r="C682" s="14"/>
      <c r="D682" s="92"/>
      <c r="E682" s="14"/>
      <c r="F682" s="14"/>
      <c r="G682" s="14"/>
      <c r="H682" s="14"/>
      <c r="I682" s="67"/>
      <c r="J682" s="14"/>
      <c r="K682" s="14"/>
      <c r="L682" s="14"/>
      <c r="M682" s="14"/>
      <c r="AU682" s="81"/>
      <c r="AV682" s="99"/>
      <c r="AW682" s="99"/>
    </row>
    <row r="683" spans="1:49" x14ac:dyDescent="0.25">
      <c r="A683" s="14"/>
      <c r="B683" s="14"/>
      <c r="C683" s="14"/>
      <c r="D683" s="92"/>
      <c r="E683" s="14"/>
      <c r="F683" s="14"/>
      <c r="G683" s="14"/>
      <c r="H683" s="14"/>
      <c r="I683" s="67"/>
      <c r="J683" s="14"/>
      <c r="K683" s="14"/>
      <c r="L683" s="14"/>
      <c r="M683" s="14"/>
      <c r="AU683" s="81"/>
      <c r="AV683" s="99"/>
      <c r="AW683" s="99"/>
    </row>
    <row r="684" spans="1:49" x14ac:dyDescent="0.25">
      <c r="A684" s="14"/>
      <c r="B684" s="14"/>
      <c r="C684" s="14"/>
      <c r="D684" s="92"/>
      <c r="E684" s="14"/>
      <c r="F684" s="14"/>
      <c r="G684" s="14"/>
      <c r="H684" s="14"/>
      <c r="I684" s="67"/>
      <c r="J684" s="14"/>
      <c r="K684" s="14"/>
      <c r="L684" s="14"/>
      <c r="M684" s="14"/>
      <c r="AU684" s="81"/>
      <c r="AV684" s="99"/>
      <c r="AW684" s="99"/>
    </row>
    <row r="685" spans="1:49" x14ac:dyDescent="0.25">
      <c r="A685" s="14"/>
      <c r="B685" s="14"/>
      <c r="C685" s="14"/>
      <c r="D685" s="92"/>
      <c r="E685" s="14"/>
      <c r="F685" s="14"/>
      <c r="G685" s="14"/>
      <c r="H685" s="14"/>
      <c r="I685" s="67"/>
      <c r="J685" s="14"/>
      <c r="K685" s="14"/>
      <c r="L685" s="14"/>
      <c r="M685" s="14"/>
      <c r="AU685" s="81"/>
      <c r="AV685" s="99"/>
      <c r="AW685" s="99"/>
    </row>
    <row r="686" spans="1:49" x14ac:dyDescent="0.25">
      <c r="A686" s="14"/>
      <c r="B686" s="14"/>
      <c r="C686" s="14"/>
      <c r="D686" s="92"/>
      <c r="E686" s="14"/>
      <c r="F686" s="14"/>
      <c r="G686" s="14"/>
      <c r="H686" s="14"/>
      <c r="I686" s="67"/>
      <c r="J686" s="14"/>
      <c r="K686" s="14"/>
      <c r="L686" s="14"/>
      <c r="M686" s="14"/>
      <c r="AU686" s="81"/>
      <c r="AV686" s="99"/>
      <c r="AW686" s="99"/>
    </row>
    <row r="687" spans="1:49" x14ac:dyDescent="0.25">
      <c r="A687" s="14"/>
      <c r="B687" s="14"/>
      <c r="C687" s="14"/>
      <c r="D687" s="92"/>
      <c r="E687" s="14"/>
      <c r="F687" s="14"/>
      <c r="G687" s="14"/>
      <c r="H687" s="14"/>
      <c r="I687" s="67"/>
      <c r="J687" s="14"/>
      <c r="K687" s="14"/>
      <c r="L687" s="14"/>
      <c r="M687" s="14"/>
      <c r="AU687" s="81"/>
      <c r="AV687" s="99"/>
      <c r="AW687" s="99"/>
    </row>
    <row r="688" spans="1:49" x14ac:dyDescent="0.25">
      <c r="A688" s="14"/>
      <c r="B688" s="14"/>
      <c r="C688" s="14"/>
      <c r="D688" s="92"/>
      <c r="E688" s="14"/>
      <c r="F688" s="14"/>
      <c r="G688" s="14"/>
      <c r="H688" s="14"/>
      <c r="I688" s="67"/>
      <c r="J688" s="14"/>
      <c r="K688" s="14"/>
      <c r="L688" s="14"/>
      <c r="M688" s="14"/>
      <c r="AU688" s="81"/>
      <c r="AV688" s="99"/>
      <c r="AW688" s="99"/>
    </row>
    <row r="689" spans="1:49" x14ac:dyDescent="0.25">
      <c r="A689" s="14"/>
      <c r="B689" s="14"/>
      <c r="C689" s="14"/>
      <c r="D689" s="92"/>
      <c r="E689" s="14"/>
      <c r="F689" s="14"/>
      <c r="G689" s="14"/>
      <c r="H689" s="14"/>
      <c r="I689" s="67"/>
      <c r="J689" s="14"/>
      <c r="K689" s="14"/>
      <c r="L689" s="14"/>
      <c r="M689" s="14"/>
      <c r="AU689" s="81"/>
      <c r="AV689" s="99"/>
      <c r="AW689" s="99"/>
    </row>
    <row r="690" spans="1:49" x14ac:dyDescent="0.25">
      <c r="A690" s="14"/>
      <c r="B690" s="14"/>
      <c r="C690" s="14"/>
      <c r="D690" s="92"/>
      <c r="E690" s="14"/>
      <c r="F690" s="14"/>
      <c r="G690" s="14"/>
      <c r="H690" s="14"/>
      <c r="I690" s="67"/>
      <c r="J690" s="14"/>
      <c r="K690" s="14"/>
      <c r="L690" s="14"/>
      <c r="M690" s="14"/>
      <c r="AU690" s="81"/>
      <c r="AV690" s="99"/>
      <c r="AW690" s="99"/>
    </row>
    <row r="691" spans="1:49" x14ac:dyDescent="0.25">
      <c r="A691" s="14"/>
      <c r="B691" s="14"/>
      <c r="C691" s="14"/>
      <c r="D691" s="92"/>
      <c r="E691" s="14"/>
      <c r="F691" s="14"/>
      <c r="G691" s="14"/>
      <c r="H691" s="14"/>
      <c r="I691" s="67"/>
      <c r="J691" s="14"/>
      <c r="K691" s="14"/>
      <c r="L691" s="14"/>
      <c r="M691" s="14"/>
      <c r="AU691" s="81"/>
      <c r="AV691" s="99"/>
      <c r="AW691" s="99"/>
    </row>
    <row r="692" spans="1:49" x14ac:dyDescent="0.25">
      <c r="A692" s="14"/>
      <c r="B692" s="14"/>
      <c r="C692" s="14"/>
      <c r="D692" s="92"/>
      <c r="E692" s="14"/>
      <c r="F692" s="14"/>
      <c r="G692" s="14"/>
      <c r="H692" s="14"/>
      <c r="I692" s="67"/>
      <c r="J692" s="14"/>
      <c r="K692" s="14"/>
      <c r="L692" s="14"/>
      <c r="M692" s="14"/>
      <c r="AU692" s="81"/>
      <c r="AV692" s="99"/>
      <c r="AW692" s="99"/>
    </row>
    <row r="693" spans="1:49" x14ac:dyDescent="0.25">
      <c r="A693" s="14"/>
      <c r="B693" s="14"/>
      <c r="C693" s="14"/>
      <c r="D693" s="92"/>
      <c r="E693" s="14"/>
      <c r="F693" s="14"/>
      <c r="G693" s="14"/>
      <c r="H693" s="14"/>
      <c r="I693" s="67"/>
      <c r="J693" s="14"/>
      <c r="K693" s="14"/>
      <c r="L693" s="14"/>
      <c r="M693" s="14"/>
      <c r="AU693" s="81"/>
      <c r="AV693" s="99"/>
      <c r="AW693" s="99"/>
    </row>
    <row r="694" spans="1:49" x14ac:dyDescent="0.25">
      <c r="A694" s="14"/>
      <c r="B694" s="14"/>
      <c r="C694" s="14"/>
      <c r="D694" s="92"/>
      <c r="E694" s="14"/>
      <c r="F694" s="14"/>
      <c r="G694" s="14"/>
      <c r="H694" s="14"/>
      <c r="I694" s="67"/>
      <c r="J694" s="14"/>
      <c r="K694" s="14"/>
      <c r="L694" s="14"/>
      <c r="M694" s="14"/>
      <c r="AU694" s="81"/>
      <c r="AV694" s="99"/>
      <c r="AW694" s="99"/>
    </row>
    <row r="695" spans="1:49" x14ac:dyDescent="0.25">
      <c r="A695" s="14"/>
      <c r="B695" s="14"/>
      <c r="C695" s="14"/>
      <c r="D695" s="92"/>
      <c r="E695" s="14"/>
      <c r="F695" s="14"/>
      <c r="G695" s="14"/>
      <c r="H695" s="14"/>
      <c r="I695" s="67"/>
      <c r="J695" s="14"/>
      <c r="K695" s="14"/>
      <c r="L695" s="14"/>
      <c r="M695" s="14"/>
      <c r="AU695" s="81"/>
      <c r="AV695" s="99"/>
      <c r="AW695" s="99"/>
    </row>
    <row r="696" spans="1:49" x14ac:dyDescent="0.25">
      <c r="A696" s="14"/>
      <c r="B696" s="14"/>
      <c r="C696" s="14"/>
      <c r="D696" s="92"/>
      <c r="E696" s="14"/>
      <c r="F696" s="14"/>
      <c r="G696" s="14"/>
      <c r="H696" s="14"/>
      <c r="I696" s="67"/>
      <c r="J696" s="14"/>
      <c r="K696" s="14"/>
      <c r="L696" s="14"/>
      <c r="M696" s="14"/>
      <c r="AU696" s="81"/>
      <c r="AV696" s="99"/>
      <c r="AW696" s="99"/>
    </row>
    <row r="697" spans="1:49" x14ac:dyDescent="0.25">
      <c r="A697" s="14"/>
      <c r="B697" s="14"/>
      <c r="C697" s="14"/>
      <c r="D697" s="92"/>
      <c r="E697" s="14"/>
      <c r="F697" s="14"/>
      <c r="G697" s="14"/>
      <c r="H697" s="14"/>
      <c r="I697" s="67"/>
      <c r="J697" s="14"/>
      <c r="K697" s="14"/>
      <c r="L697" s="14"/>
      <c r="M697" s="14"/>
      <c r="AU697" s="81"/>
      <c r="AV697" s="99"/>
      <c r="AW697" s="99"/>
    </row>
    <row r="698" spans="1:49" x14ac:dyDescent="0.25">
      <c r="A698" s="14"/>
      <c r="B698" s="14"/>
      <c r="C698" s="14"/>
      <c r="D698" s="92"/>
      <c r="E698" s="14"/>
      <c r="F698" s="14"/>
      <c r="G698" s="14"/>
      <c r="H698" s="14"/>
      <c r="I698" s="67"/>
      <c r="J698" s="14"/>
      <c r="K698" s="14"/>
      <c r="L698" s="14"/>
      <c r="M698" s="14"/>
      <c r="AU698" s="81"/>
      <c r="AV698" s="99"/>
      <c r="AW698" s="99"/>
    </row>
    <row r="699" spans="1:49" x14ac:dyDescent="0.25">
      <c r="A699" s="14"/>
      <c r="B699" s="14"/>
      <c r="C699" s="14"/>
      <c r="D699" s="92"/>
      <c r="E699" s="14"/>
      <c r="F699" s="14"/>
      <c r="G699" s="14"/>
      <c r="H699" s="14"/>
      <c r="I699" s="67"/>
      <c r="J699" s="14"/>
      <c r="K699" s="14"/>
      <c r="L699" s="14"/>
      <c r="M699" s="14"/>
      <c r="AU699" s="81"/>
      <c r="AV699" s="99"/>
      <c r="AW699" s="99"/>
    </row>
    <row r="700" spans="1:49" x14ac:dyDescent="0.25">
      <c r="A700" s="14"/>
      <c r="B700" s="14"/>
      <c r="C700" s="14"/>
      <c r="D700" s="92"/>
      <c r="E700" s="14"/>
      <c r="F700" s="14"/>
      <c r="G700" s="14"/>
      <c r="H700" s="14"/>
      <c r="I700" s="67"/>
      <c r="J700" s="14"/>
      <c r="K700" s="14"/>
      <c r="L700" s="14"/>
      <c r="M700" s="14"/>
      <c r="AU700" s="81"/>
      <c r="AV700" s="99"/>
      <c r="AW700" s="99"/>
    </row>
    <row r="701" spans="1:49" x14ac:dyDescent="0.25">
      <c r="A701" s="14"/>
      <c r="B701" s="14"/>
      <c r="C701" s="14"/>
      <c r="D701" s="92"/>
      <c r="E701" s="14"/>
      <c r="F701" s="14"/>
      <c r="G701" s="14"/>
      <c r="H701" s="14"/>
      <c r="I701" s="67"/>
      <c r="J701" s="14"/>
      <c r="K701" s="14"/>
      <c r="L701" s="14"/>
      <c r="M701" s="14"/>
      <c r="AU701" s="81"/>
      <c r="AV701" s="99"/>
      <c r="AW701" s="99"/>
    </row>
    <row r="702" spans="1:49" x14ac:dyDescent="0.25">
      <c r="A702" s="14"/>
      <c r="B702" s="14"/>
      <c r="C702" s="14"/>
      <c r="D702" s="92"/>
      <c r="E702" s="14"/>
      <c r="F702" s="14"/>
      <c r="G702" s="14"/>
      <c r="H702" s="14"/>
      <c r="I702" s="67"/>
      <c r="J702" s="14"/>
      <c r="K702" s="14"/>
      <c r="L702" s="14"/>
      <c r="M702" s="14"/>
      <c r="AU702" s="81"/>
      <c r="AV702" s="99"/>
      <c r="AW702" s="99"/>
    </row>
    <row r="703" spans="1:49" x14ac:dyDescent="0.25">
      <c r="A703" s="14"/>
      <c r="B703" s="14"/>
      <c r="C703" s="14"/>
      <c r="D703" s="92"/>
      <c r="E703" s="14"/>
      <c r="F703" s="14"/>
      <c r="G703" s="14"/>
      <c r="H703" s="14"/>
      <c r="I703" s="67"/>
      <c r="J703" s="14"/>
      <c r="K703" s="14"/>
      <c r="L703" s="14"/>
      <c r="M703" s="14"/>
      <c r="AU703" s="81"/>
      <c r="AV703" s="99"/>
      <c r="AW703" s="99"/>
    </row>
    <row r="704" spans="1:49" x14ac:dyDescent="0.25">
      <c r="A704" s="14"/>
      <c r="B704" s="14"/>
      <c r="C704" s="14"/>
      <c r="D704" s="92"/>
      <c r="E704" s="14"/>
      <c r="F704" s="14"/>
      <c r="G704" s="14"/>
      <c r="H704" s="14"/>
      <c r="I704" s="67"/>
      <c r="J704" s="14"/>
      <c r="K704" s="14"/>
      <c r="L704" s="14"/>
      <c r="M704" s="14"/>
      <c r="AU704" s="81"/>
      <c r="AV704" s="99"/>
      <c r="AW704" s="99"/>
    </row>
    <row r="705" spans="1:49" x14ac:dyDescent="0.25">
      <c r="A705" s="14"/>
      <c r="B705" s="14"/>
      <c r="C705" s="14"/>
      <c r="D705" s="92"/>
      <c r="E705" s="14"/>
      <c r="F705" s="14"/>
      <c r="G705" s="14"/>
      <c r="H705" s="14"/>
      <c r="I705" s="67"/>
      <c r="J705" s="14"/>
      <c r="K705" s="14"/>
      <c r="L705" s="14"/>
      <c r="M705" s="14"/>
      <c r="AU705" s="81"/>
      <c r="AV705" s="99"/>
      <c r="AW705" s="99"/>
    </row>
    <row r="706" spans="1:49" x14ac:dyDescent="0.25">
      <c r="A706" s="14"/>
      <c r="B706" s="14"/>
      <c r="C706" s="14"/>
      <c r="D706" s="92"/>
      <c r="E706" s="14"/>
      <c r="F706" s="14"/>
      <c r="G706" s="14"/>
      <c r="H706" s="14"/>
      <c r="I706" s="67"/>
      <c r="J706" s="14"/>
      <c r="K706" s="14"/>
      <c r="L706" s="14"/>
      <c r="M706" s="14"/>
      <c r="AU706" s="81"/>
      <c r="AV706" s="99"/>
      <c r="AW706" s="99"/>
    </row>
    <row r="707" spans="1:49" x14ac:dyDescent="0.25">
      <c r="A707" s="14"/>
      <c r="B707" s="14"/>
      <c r="C707" s="14"/>
      <c r="D707" s="92"/>
      <c r="E707" s="14"/>
      <c r="F707" s="14"/>
      <c r="G707" s="14"/>
      <c r="H707" s="14"/>
      <c r="I707" s="67"/>
      <c r="J707" s="14"/>
      <c r="K707" s="14"/>
      <c r="L707" s="14"/>
      <c r="M707" s="14"/>
      <c r="AU707" s="81"/>
      <c r="AV707" s="99"/>
      <c r="AW707" s="99"/>
    </row>
    <row r="708" spans="1:49" x14ac:dyDescent="0.25">
      <c r="A708" s="14"/>
      <c r="B708" s="14"/>
      <c r="C708" s="14"/>
      <c r="D708" s="92"/>
      <c r="E708" s="14"/>
      <c r="F708" s="14"/>
      <c r="G708" s="14"/>
      <c r="H708" s="14"/>
      <c r="I708" s="67"/>
      <c r="J708" s="14"/>
      <c r="K708" s="14"/>
      <c r="L708" s="14"/>
      <c r="M708" s="14"/>
      <c r="AU708" s="81"/>
      <c r="AV708" s="99"/>
      <c r="AW708" s="99"/>
    </row>
    <row r="709" spans="1:49" x14ac:dyDescent="0.25">
      <c r="A709" s="14"/>
      <c r="B709" s="14"/>
      <c r="C709" s="14"/>
      <c r="D709" s="92"/>
      <c r="E709" s="14"/>
      <c r="F709" s="14"/>
      <c r="G709" s="14"/>
      <c r="H709" s="14"/>
      <c r="I709" s="67"/>
      <c r="J709" s="14"/>
      <c r="K709" s="14"/>
      <c r="L709" s="14"/>
      <c r="M709" s="14"/>
      <c r="AU709" s="81"/>
      <c r="AV709" s="99"/>
      <c r="AW709" s="99"/>
    </row>
    <row r="710" spans="1:49" x14ac:dyDescent="0.25">
      <c r="A710" s="14"/>
      <c r="B710" s="14"/>
      <c r="C710" s="14"/>
      <c r="D710" s="92"/>
      <c r="E710" s="14"/>
      <c r="F710" s="14"/>
      <c r="G710" s="14"/>
      <c r="H710" s="14"/>
      <c r="I710" s="67"/>
      <c r="J710" s="14"/>
      <c r="K710" s="14"/>
      <c r="L710" s="14"/>
      <c r="M710" s="14"/>
      <c r="AU710" s="81"/>
      <c r="AV710" s="99"/>
      <c r="AW710" s="99"/>
    </row>
    <row r="711" spans="1:49" x14ac:dyDescent="0.25">
      <c r="A711" s="14"/>
      <c r="B711" s="14"/>
      <c r="C711" s="14"/>
      <c r="D711" s="92"/>
      <c r="E711" s="14"/>
      <c r="F711" s="14"/>
      <c r="G711" s="14"/>
      <c r="H711" s="14"/>
      <c r="I711" s="67"/>
      <c r="J711" s="14"/>
      <c r="K711" s="14"/>
      <c r="L711" s="14"/>
      <c r="M711" s="14"/>
      <c r="AU711" s="81"/>
      <c r="AV711" s="99"/>
      <c r="AW711" s="99"/>
    </row>
    <row r="712" spans="1:49" x14ac:dyDescent="0.25">
      <c r="A712" s="14"/>
      <c r="B712" s="14"/>
      <c r="C712" s="14"/>
      <c r="D712" s="92"/>
      <c r="E712" s="14"/>
      <c r="F712" s="14"/>
      <c r="G712" s="14"/>
      <c r="H712" s="14"/>
      <c r="I712" s="67"/>
      <c r="J712" s="14"/>
      <c r="K712" s="14"/>
      <c r="L712" s="14"/>
      <c r="M712" s="14"/>
      <c r="AU712" s="81"/>
      <c r="AV712" s="99"/>
      <c r="AW712" s="99"/>
    </row>
    <row r="713" spans="1:49" x14ac:dyDescent="0.25">
      <c r="A713" s="14"/>
      <c r="B713" s="14"/>
      <c r="C713" s="14"/>
      <c r="D713" s="92"/>
      <c r="E713" s="14"/>
      <c r="F713" s="14"/>
      <c r="G713" s="14"/>
      <c r="H713" s="14"/>
      <c r="I713" s="67"/>
      <c r="J713" s="14"/>
      <c r="K713" s="14"/>
      <c r="L713" s="14"/>
      <c r="M713" s="14"/>
      <c r="AU713" s="81"/>
      <c r="AV713" s="99"/>
      <c r="AW713" s="99"/>
    </row>
    <row r="714" spans="1:49" x14ac:dyDescent="0.25">
      <c r="A714" s="14"/>
      <c r="B714" s="14"/>
      <c r="C714" s="14"/>
      <c r="D714" s="92"/>
      <c r="E714" s="14"/>
      <c r="F714" s="14"/>
      <c r="G714" s="14"/>
      <c r="H714" s="14"/>
      <c r="I714" s="67"/>
      <c r="J714" s="14"/>
      <c r="K714" s="14"/>
      <c r="L714" s="14"/>
      <c r="M714" s="14"/>
      <c r="AU714" s="81"/>
      <c r="AV714" s="99"/>
      <c r="AW714" s="99"/>
    </row>
    <row r="715" spans="1:49" x14ac:dyDescent="0.25">
      <c r="A715" s="14"/>
      <c r="B715" s="14"/>
      <c r="C715" s="14"/>
      <c r="D715" s="92"/>
      <c r="E715" s="14"/>
      <c r="F715" s="14"/>
      <c r="G715" s="14"/>
      <c r="H715" s="14"/>
      <c r="I715" s="67"/>
      <c r="J715" s="14"/>
      <c r="K715" s="14"/>
      <c r="L715" s="14"/>
      <c r="M715" s="14"/>
      <c r="AU715" s="81"/>
      <c r="AV715" s="99"/>
      <c r="AW715" s="99"/>
    </row>
    <row r="716" spans="1:49" x14ac:dyDescent="0.25">
      <c r="A716" s="14"/>
      <c r="B716" s="14"/>
      <c r="C716" s="14"/>
      <c r="D716" s="92"/>
      <c r="E716" s="14"/>
      <c r="F716" s="14"/>
      <c r="G716" s="14"/>
      <c r="H716" s="14"/>
      <c r="I716" s="67"/>
      <c r="J716" s="14"/>
      <c r="K716" s="14"/>
      <c r="L716" s="14"/>
      <c r="M716" s="14"/>
      <c r="AU716" s="81"/>
      <c r="AV716" s="99"/>
      <c r="AW716" s="99"/>
    </row>
    <row r="717" spans="1:49" x14ac:dyDescent="0.25">
      <c r="A717" s="14"/>
      <c r="B717" s="14"/>
      <c r="C717" s="14"/>
      <c r="D717" s="92"/>
      <c r="E717" s="14"/>
      <c r="F717" s="14"/>
      <c r="G717" s="14"/>
      <c r="H717" s="14"/>
      <c r="I717" s="67"/>
      <c r="J717" s="14"/>
      <c r="K717" s="14"/>
      <c r="L717" s="14"/>
      <c r="M717" s="14"/>
      <c r="AU717" s="81"/>
      <c r="AV717" s="99"/>
      <c r="AW717" s="99"/>
    </row>
    <row r="718" spans="1:49" x14ac:dyDescent="0.25">
      <c r="A718" s="14"/>
      <c r="B718" s="14"/>
      <c r="C718" s="14"/>
      <c r="D718" s="92"/>
      <c r="E718" s="14"/>
      <c r="F718" s="14"/>
      <c r="G718" s="14"/>
      <c r="H718" s="14"/>
      <c r="I718" s="67"/>
      <c r="J718" s="14"/>
      <c r="K718" s="14"/>
      <c r="L718" s="14"/>
      <c r="M718" s="14"/>
      <c r="AU718" s="81"/>
      <c r="AV718" s="99"/>
      <c r="AW718" s="99"/>
    </row>
    <row r="719" spans="1:49" x14ac:dyDescent="0.25">
      <c r="A719" s="14"/>
      <c r="B719" s="14"/>
      <c r="C719" s="14"/>
      <c r="D719" s="92"/>
      <c r="E719" s="14"/>
      <c r="F719" s="14"/>
      <c r="G719" s="14"/>
      <c r="H719" s="14"/>
      <c r="I719" s="67"/>
      <c r="J719" s="14"/>
      <c r="K719" s="14"/>
      <c r="L719" s="14"/>
      <c r="M719" s="14"/>
      <c r="AU719" s="81"/>
      <c r="AV719" s="99"/>
      <c r="AW719" s="99"/>
    </row>
    <row r="720" spans="1:49" x14ac:dyDescent="0.25">
      <c r="A720" s="14"/>
      <c r="B720" s="14"/>
      <c r="C720" s="14"/>
      <c r="D720" s="92"/>
      <c r="E720" s="14"/>
      <c r="F720" s="14"/>
      <c r="G720" s="14"/>
      <c r="H720" s="14"/>
      <c r="I720" s="67"/>
      <c r="J720" s="14"/>
      <c r="K720" s="14"/>
      <c r="L720" s="14"/>
      <c r="M720" s="14"/>
      <c r="AU720" s="81"/>
      <c r="AV720" s="99"/>
      <c r="AW720" s="99"/>
    </row>
    <row r="721" spans="1:49" x14ac:dyDescent="0.25">
      <c r="A721" s="14"/>
      <c r="B721" s="14"/>
      <c r="C721" s="14"/>
      <c r="D721" s="92"/>
      <c r="E721" s="14"/>
      <c r="F721" s="14"/>
      <c r="G721" s="14"/>
      <c r="H721" s="14"/>
      <c r="I721" s="67"/>
      <c r="J721" s="14"/>
      <c r="K721" s="14"/>
      <c r="L721" s="14"/>
      <c r="M721" s="14"/>
      <c r="AU721" s="81"/>
      <c r="AV721" s="99"/>
      <c r="AW721" s="99"/>
    </row>
    <row r="722" spans="1:49" x14ac:dyDescent="0.25">
      <c r="A722" s="14"/>
      <c r="B722" s="14"/>
      <c r="C722" s="14"/>
      <c r="D722" s="92"/>
      <c r="E722" s="14"/>
      <c r="F722" s="14"/>
      <c r="G722" s="14"/>
      <c r="H722" s="14"/>
      <c r="I722" s="67"/>
      <c r="J722" s="14"/>
      <c r="K722" s="14"/>
      <c r="L722" s="14"/>
      <c r="M722" s="14"/>
      <c r="AU722" s="81"/>
      <c r="AV722" s="99"/>
      <c r="AW722" s="99"/>
    </row>
    <row r="723" spans="1:49" x14ac:dyDescent="0.25">
      <c r="A723" s="14"/>
      <c r="B723" s="14"/>
      <c r="C723" s="14"/>
      <c r="D723" s="92"/>
      <c r="E723" s="14"/>
      <c r="F723" s="14"/>
      <c r="G723" s="14"/>
      <c r="H723" s="14"/>
      <c r="I723" s="67"/>
      <c r="J723" s="14"/>
      <c r="K723" s="14"/>
      <c r="L723" s="14"/>
      <c r="M723" s="14"/>
      <c r="AU723" s="81"/>
      <c r="AV723" s="99"/>
      <c r="AW723" s="99"/>
    </row>
    <row r="724" spans="1:49" x14ac:dyDescent="0.25">
      <c r="A724" s="14"/>
      <c r="B724" s="14"/>
      <c r="C724" s="14"/>
      <c r="D724" s="92"/>
      <c r="E724" s="14"/>
      <c r="F724" s="14"/>
      <c r="G724" s="14"/>
      <c r="H724" s="14"/>
      <c r="I724" s="67"/>
      <c r="J724" s="14"/>
      <c r="K724" s="14"/>
      <c r="L724" s="14"/>
      <c r="M724" s="14"/>
      <c r="AU724" s="81"/>
      <c r="AV724" s="99"/>
      <c r="AW724" s="99"/>
    </row>
    <row r="725" spans="1:49" x14ac:dyDescent="0.25">
      <c r="A725" s="14"/>
      <c r="B725" s="14"/>
      <c r="C725" s="14"/>
      <c r="D725" s="92"/>
      <c r="E725" s="14"/>
      <c r="F725" s="14"/>
      <c r="G725" s="14"/>
      <c r="H725" s="14"/>
      <c r="I725" s="67"/>
      <c r="J725" s="14"/>
      <c r="K725" s="14"/>
      <c r="L725" s="14"/>
      <c r="M725" s="14"/>
      <c r="AU725" s="81"/>
      <c r="AV725" s="99"/>
      <c r="AW725" s="99"/>
    </row>
    <row r="726" spans="1:49" x14ac:dyDescent="0.25">
      <c r="A726" s="14"/>
      <c r="B726" s="14"/>
      <c r="C726" s="14"/>
      <c r="D726" s="92"/>
      <c r="E726" s="14"/>
      <c r="F726" s="14"/>
      <c r="G726" s="14"/>
      <c r="H726" s="14"/>
      <c r="I726" s="67"/>
      <c r="J726" s="14"/>
      <c r="K726" s="14"/>
      <c r="L726" s="14"/>
      <c r="M726" s="14"/>
      <c r="AU726" s="81"/>
      <c r="AV726" s="99"/>
      <c r="AW726" s="99"/>
    </row>
    <row r="727" spans="1:49" x14ac:dyDescent="0.25">
      <c r="A727" s="14"/>
      <c r="B727" s="14"/>
      <c r="C727" s="14"/>
      <c r="D727" s="92"/>
      <c r="E727" s="14"/>
      <c r="F727" s="14"/>
      <c r="G727" s="14"/>
      <c r="H727" s="14"/>
      <c r="I727" s="67"/>
      <c r="J727" s="14"/>
      <c r="K727" s="14"/>
      <c r="L727" s="14"/>
      <c r="M727" s="14"/>
      <c r="AU727" s="81"/>
      <c r="AV727" s="99"/>
      <c r="AW727" s="99"/>
    </row>
    <row r="728" spans="1:49" x14ac:dyDescent="0.25">
      <c r="A728" s="14"/>
      <c r="B728" s="14"/>
      <c r="C728" s="14"/>
      <c r="D728" s="92"/>
      <c r="E728" s="14"/>
      <c r="F728" s="14"/>
      <c r="G728" s="14"/>
      <c r="H728" s="14"/>
      <c r="I728" s="67"/>
      <c r="J728" s="14"/>
      <c r="K728" s="14"/>
      <c r="L728" s="14"/>
      <c r="M728" s="14"/>
      <c r="AU728" s="81"/>
      <c r="AV728" s="99"/>
      <c r="AW728" s="99"/>
    </row>
    <row r="729" spans="1:49" x14ac:dyDescent="0.25">
      <c r="A729" s="14"/>
      <c r="B729" s="14"/>
      <c r="C729" s="14"/>
      <c r="D729" s="92"/>
      <c r="E729" s="14"/>
      <c r="F729" s="14"/>
      <c r="G729" s="14"/>
      <c r="H729" s="14"/>
      <c r="I729" s="67"/>
      <c r="J729" s="14"/>
      <c r="K729" s="14"/>
      <c r="L729" s="14"/>
      <c r="M729" s="14"/>
      <c r="AU729" s="81"/>
      <c r="AV729" s="99"/>
      <c r="AW729" s="99"/>
    </row>
    <row r="730" spans="1:49" x14ac:dyDescent="0.25">
      <c r="A730" s="14"/>
      <c r="B730" s="14"/>
      <c r="C730" s="14"/>
      <c r="D730" s="92"/>
      <c r="E730" s="14"/>
      <c r="F730" s="14"/>
      <c r="G730" s="14"/>
      <c r="H730" s="14"/>
      <c r="I730" s="67"/>
      <c r="J730" s="14"/>
      <c r="K730" s="14"/>
      <c r="L730" s="14"/>
      <c r="M730" s="14"/>
      <c r="AU730" s="81"/>
      <c r="AV730" s="99"/>
      <c r="AW730" s="99"/>
    </row>
    <row r="731" spans="1:49" x14ac:dyDescent="0.25">
      <c r="A731" s="14"/>
      <c r="B731" s="14"/>
      <c r="C731" s="14"/>
      <c r="D731" s="92"/>
      <c r="E731" s="14"/>
      <c r="F731" s="14"/>
      <c r="G731" s="14"/>
      <c r="H731" s="14"/>
      <c r="I731" s="67"/>
      <c r="J731" s="14"/>
      <c r="K731" s="14"/>
      <c r="L731" s="14"/>
      <c r="M731" s="14"/>
      <c r="AU731" s="81"/>
      <c r="AV731" s="99"/>
      <c r="AW731" s="99"/>
    </row>
    <row r="732" spans="1:49" x14ac:dyDescent="0.25">
      <c r="A732" s="14"/>
      <c r="B732" s="14"/>
      <c r="C732" s="14"/>
      <c r="D732" s="92"/>
      <c r="E732" s="14"/>
      <c r="F732" s="14"/>
      <c r="G732" s="14"/>
      <c r="H732" s="14"/>
      <c r="I732" s="67"/>
      <c r="J732" s="14"/>
      <c r="K732" s="14"/>
      <c r="L732" s="14"/>
      <c r="M732" s="14"/>
      <c r="AU732" s="81"/>
      <c r="AV732" s="99"/>
      <c r="AW732" s="99"/>
    </row>
    <row r="733" spans="1:49" x14ac:dyDescent="0.25">
      <c r="A733" s="14"/>
      <c r="B733" s="14"/>
      <c r="C733" s="14"/>
      <c r="D733" s="92"/>
      <c r="E733" s="14"/>
      <c r="F733" s="14"/>
      <c r="G733" s="14"/>
      <c r="H733" s="14"/>
      <c r="I733" s="67"/>
      <c r="J733" s="14"/>
      <c r="K733" s="14"/>
      <c r="L733" s="14"/>
      <c r="M733" s="14"/>
      <c r="AU733" s="81"/>
      <c r="AV733" s="99"/>
      <c r="AW733" s="99"/>
    </row>
    <row r="734" spans="1:49" x14ac:dyDescent="0.25">
      <c r="A734" s="14"/>
      <c r="B734" s="14"/>
      <c r="C734" s="14"/>
      <c r="D734" s="92"/>
      <c r="E734" s="14"/>
      <c r="F734" s="14"/>
      <c r="G734" s="14"/>
      <c r="H734" s="14"/>
      <c r="I734" s="67"/>
      <c r="J734" s="14"/>
      <c r="K734" s="14"/>
      <c r="L734" s="14"/>
      <c r="M734" s="14"/>
      <c r="AU734" s="81"/>
      <c r="AV734" s="99"/>
      <c r="AW734" s="99"/>
    </row>
    <row r="735" spans="1:49" x14ac:dyDescent="0.25">
      <c r="A735" s="14"/>
      <c r="B735" s="14"/>
      <c r="C735" s="14"/>
      <c r="D735" s="92"/>
      <c r="E735" s="14"/>
      <c r="F735" s="14"/>
      <c r="G735" s="14"/>
      <c r="H735" s="14"/>
      <c r="I735" s="67"/>
      <c r="J735" s="14"/>
      <c r="K735" s="14"/>
      <c r="L735" s="14"/>
      <c r="M735" s="14"/>
      <c r="AU735" s="81"/>
      <c r="AV735" s="99"/>
      <c r="AW735" s="99"/>
    </row>
    <row r="736" spans="1:49" x14ac:dyDescent="0.25">
      <c r="A736" s="14"/>
      <c r="B736" s="14"/>
      <c r="C736" s="14"/>
      <c r="D736" s="92"/>
      <c r="E736" s="14"/>
      <c r="F736" s="14"/>
      <c r="G736" s="14"/>
      <c r="H736" s="14"/>
      <c r="I736" s="67"/>
      <c r="J736" s="14"/>
      <c r="K736" s="14"/>
      <c r="L736" s="14"/>
      <c r="M736" s="14"/>
      <c r="AU736" s="81"/>
      <c r="AV736" s="99"/>
      <c r="AW736" s="99"/>
    </row>
    <row r="737" spans="1:49" x14ac:dyDescent="0.25">
      <c r="A737" s="14"/>
      <c r="B737" s="14"/>
      <c r="C737" s="14"/>
      <c r="D737" s="92"/>
      <c r="E737" s="14"/>
      <c r="F737" s="14"/>
      <c r="G737" s="14"/>
      <c r="H737" s="14"/>
      <c r="I737" s="67"/>
      <c r="J737" s="14"/>
      <c r="K737" s="14"/>
      <c r="L737" s="14"/>
      <c r="M737" s="14"/>
      <c r="AU737" s="81"/>
      <c r="AV737" s="99"/>
      <c r="AW737" s="99"/>
    </row>
    <row r="738" spans="1:49" x14ac:dyDescent="0.25">
      <c r="A738" s="14"/>
      <c r="B738" s="14"/>
      <c r="C738" s="14"/>
      <c r="D738" s="92"/>
      <c r="E738" s="14"/>
      <c r="F738" s="14"/>
      <c r="G738" s="14"/>
      <c r="H738" s="14"/>
      <c r="I738" s="67"/>
      <c r="J738" s="14"/>
      <c r="K738" s="14"/>
      <c r="L738" s="14"/>
      <c r="M738" s="14"/>
      <c r="AU738" s="81"/>
      <c r="AV738" s="99"/>
      <c r="AW738" s="99"/>
    </row>
    <row r="739" spans="1:49" x14ac:dyDescent="0.25">
      <c r="A739" s="14"/>
      <c r="B739" s="14"/>
      <c r="C739" s="14"/>
      <c r="D739" s="92"/>
      <c r="E739" s="14"/>
      <c r="F739" s="14"/>
      <c r="G739" s="14"/>
      <c r="H739" s="14"/>
      <c r="I739" s="67"/>
      <c r="J739" s="14"/>
      <c r="K739" s="14"/>
      <c r="L739" s="14"/>
      <c r="M739" s="14"/>
      <c r="AU739" s="81"/>
      <c r="AV739" s="99"/>
      <c r="AW739" s="99"/>
    </row>
    <row r="740" spans="1:49" x14ac:dyDescent="0.25">
      <c r="A740" s="14"/>
      <c r="B740" s="14"/>
      <c r="C740" s="14"/>
      <c r="D740" s="92"/>
      <c r="E740" s="14"/>
      <c r="F740" s="14"/>
      <c r="G740" s="14"/>
      <c r="H740" s="14"/>
      <c r="I740" s="67"/>
      <c r="J740" s="14"/>
      <c r="K740" s="14"/>
      <c r="L740" s="14"/>
      <c r="M740" s="14"/>
      <c r="AU740" s="81"/>
      <c r="AV740" s="99"/>
      <c r="AW740" s="99"/>
    </row>
    <row r="741" spans="1:49" x14ac:dyDescent="0.25">
      <c r="A741" s="14"/>
      <c r="B741" s="14"/>
      <c r="C741" s="14"/>
      <c r="D741" s="92"/>
      <c r="E741" s="14"/>
      <c r="F741" s="14"/>
      <c r="G741" s="14"/>
      <c r="H741" s="14"/>
      <c r="I741" s="67"/>
      <c r="J741" s="14"/>
      <c r="K741" s="14"/>
      <c r="L741" s="14"/>
      <c r="M741" s="14"/>
      <c r="AU741" s="81"/>
      <c r="AV741" s="99"/>
      <c r="AW741" s="99"/>
    </row>
    <row r="742" spans="1:49" x14ac:dyDescent="0.25">
      <c r="A742" s="14"/>
      <c r="B742" s="14"/>
      <c r="C742" s="14"/>
      <c r="D742" s="92"/>
      <c r="E742" s="14"/>
      <c r="F742" s="14"/>
      <c r="G742" s="14"/>
      <c r="H742" s="14"/>
      <c r="I742" s="67"/>
      <c r="J742" s="14"/>
      <c r="K742" s="14"/>
      <c r="L742" s="14"/>
      <c r="M742" s="14"/>
      <c r="AU742" s="81"/>
      <c r="AV742" s="99"/>
      <c r="AW742" s="99"/>
    </row>
    <row r="743" spans="1:49" x14ac:dyDescent="0.25">
      <c r="A743" s="14"/>
      <c r="B743" s="14"/>
      <c r="C743" s="14"/>
      <c r="D743" s="92"/>
      <c r="E743" s="14"/>
      <c r="F743" s="14"/>
      <c r="G743" s="14"/>
      <c r="H743" s="14"/>
      <c r="I743" s="67"/>
      <c r="J743" s="14"/>
      <c r="K743" s="14"/>
      <c r="L743" s="14"/>
      <c r="M743" s="14"/>
      <c r="AU743" s="81"/>
      <c r="AV743" s="99"/>
      <c r="AW743" s="99"/>
    </row>
    <row r="744" spans="1:49" x14ac:dyDescent="0.25">
      <c r="A744" s="14"/>
      <c r="B744" s="14"/>
      <c r="C744" s="14"/>
      <c r="D744" s="92"/>
      <c r="E744" s="14"/>
      <c r="F744" s="14"/>
      <c r="G744" s="14"/>
      <c r="H744" s="14"/>
      <c r="I744" s="67"/>
      <c r="J744" s="14"/>
      <c r="K744" s="14"/>
      <c r="L744" s="14"/>
      <c r="M744" s="14"/>
      <c r="AU744" s="81"/>
      <c r="AV744" s="99"/>
      <c r="AW744" s="99"/>
    </row>
    <row r="745" spans="1:49" x14ac:dyDescent="0.25">
      <c r="A745" s="14"/>
      <c r="B745" s="14"/>
      <c r="C745" s="14"/>
      <c r="D745" s="92"/>
      <c r="E745" s="14"/>
      <c r="F745" s="14"/>
      <c r="G745" s="14"/>
      <c r="H745" s="14"/>
      <c r="I745" s="67"/>
      <c r="J745" s="14"/>
      <c r="K745" s="14"/>
      <c r="L745" s="14"/>
      <c r="M745" s="14"/>
      <c r="AU745" s="81"/>
      <c r="AV745" s="99"/>
      <c r="AW745" s="99"/>
    </row>
    <row r="746" spans="1:49" x14ac:dyDescent="0.25">
      <c r="A746" s="14"/>
      <c r="B746" s="14"/>
      <c r="C746" s="14"/>
      <c r="D746" s="92"/>
      <c r="E746" s="14"/>
      <c r="F746" s="14"/>
      <c r="G746" s="14"/>
      <c r="H746" s="14"/>
      <c r="I746" s="67"/>
      <c r="J746" s="14"/>
      <c r="K746" s="14"/>
      <c r="L746" s="14"/>
      <c r="M746" s="14"/>
      <c r="AU746" s="81"/>
      <c r="AV746" s="99"/>
      <c r="AW746" s="99"/>
    </row>
    <row r="747" spans="1:49" x14ac:dyDescent="0.25">
      <c r="A747" s="14"/>
      <c r="B747" s="14"/>
      <c r="C747" s="14"/>
      <c r="D747" s="92"/>
      <c r="E747" s="14"/>
      <c r="F747" s="14"/>
      <c r="G747" s="14"/>
      <c r="H747" s="14"/>
      <c r="I747" s="67"/>
      <c r="J747" s="14"/>
      <c r="K747" s="14"/>
      <c r="L747" s="14"/>
      <c r="M747" s="14"/>
      <c r="AU747" s="81"/>
      <c r="AV747" s="99"/>
      <c r="AW747" s="99"/>
    </row>
    <row r="748" spans="1:49" x14ac:dyDescent="0.25">
      <c r="A748" s="14"/>
      <c r="B748" s="14"/>
      <c r="C748" s="14"/>
      <c r="D748" s="92"/>
      <c r="E748" s="14"/>
      <c r="F748" s="14"/>
      <c r="G748" s="14"/>
      <c r="H748" s="14"/>
      <c r="I748" s="67"/>
      <c r="J748" s="14"/>
      <c r="K748" s="14"/>
      <c r="L748" s="14"/>
      <c r="M748" s="14"/>
      <c r="AU748" s="81"/>
      <c r="AV748" s="99"/>
      <c r="AW748" s="99"/>
    </row>
    <row r="749" spans="1:49" x14ac:dyDescent="0.25">
      <c r="A749" s="14"/>
      <c r="B749" s="14"/>
      <c r="C749" s="14"/>
      <c r="D749" s="92"/>
      <c r="E749" s="14"/>
      <c r="F749" s="14"/>
      <c r="G749" s="14"/>
      <c r="H749" s="14"/>
      <c r="I749" s="67"/>
      <c r="J749" s="14"/>
      <c r="K749" s="14"/>
      <c r="L749" s="14"/>
      <c r="M749" s="14"/>
      <c r="AU749" s="81"/>
      <c r="AV749" s="99"/>
      <c r="AW749" s="99"/>
    </row>
    <row r="750" spans="1:49" x14ac:dyDescent="0.25">
      <c r="A750" s="14"/>
      <c r="B750" s="14"/>
      <c r="C750" s="14"/>
      <c r="D750" s="92"/>
      <c r="E750" s="14"/>
      <c r="F750" s="14"/>
      <c r="G750" s="14"/>
      <c r="H750" s="14"/>
      <c r="I750" s="67"/>
      <c r="J750" s="14"/>
      <c r="K750" s="14"/>
      <c r="L750" s="14"/>
      <c r="M750" s="14"/>
      <c r="AU750" s="81"/>
      <c r="AV750" s="99"/>
      <c r="AW750" s="99"/>
    </row>
    <row r="751" spans="1:49" x14ac:dyDescent="0.25">
      <c r="A751" s="14"/>
      <c r="B751" s="14"/>
      <c r="C751" s="14"/>
      <c r="D751" s="92"/>
      <c r="E751" s="14"/>
      <c r="F751" s="14"/>
      <c r="G751" s="14"/>
      <c r="H751" s="14"/>
      <c r="I751" s="67"/>
      <c r="J751" s="14"/>
      <c r="K751" s="14"/>
      <c r="L751" s="14"/>
      <c r="M751" s="14"/>
      <c r="AU751" s="81"/>
      <c r="AV751" s="99"/>
      <c r="AW751" s="99"/>
    </row>
    <row r="752" spans="1:49" x14ac:dyDescent="0.25">
      <c r="A752" s="14"/>
      <c r="B752" s="14"/>
      <c r="C752" s="14"/>
      <c r="D752" s="92"/>
      <c r="E752" s="14"/>
      <c r="F752" s="14"/>
      <c r="G752" s="14"/>
      <c r="H752" s="14"/>
      <c r="I752" s="67"/>
      <c r="J752" s="14"/>
      <c r="K752" s="14"/>
      <c r="L752" s="14"/>
      <c r="M752" s="14"/>
      <c r="AU752" s="81"/>
      <c r="AV752" s="99"/>
      <c r="AW752" s="99"/>
    </row>
    <row r="753" spans="1:49" x14ac:dyDescent="0.25">
      <c r="A753" s="14"/>
      <c r="B753" s="14"/>
      <c r="C753" s="14"/>
      <c r="D753" s="92"/>
      <c r="E753" s="14"/>
      <c r="F753" s="14"/>
      <c r="G753" s="14"/>
      <c r="H753" s="14"/>
      <c r="I753" s="67"/>
      <c r="J753" s="14"/>
      <c r="K753" s="14"/>
      <c r="L753" s="14"/>
      <c r="M753" s="14"/>
      <c r="AU753" s="81"/>
      <c r="AV753" s="99"/>
      <c r="AW753" s="99"/>
    </row>
    <row r="754" spans="1:49" x14ac:dyDescent="0.25">
      <c r="A754" s="14"/>
      <c r="B754" s="14"/>
      <c r="C754" s="14"/>
      <c r="D754" s="92"/>
      <c r="E754" s="14"/>
      <c r="F754" s="14"/>
      <c r="G754" s="14"/>
      <c r="H754" s="14"/>
      <c r="I754" s="67"/>
      <c r="J754" s="14"/>
      <c r="K754" s="14"/>
      <c r="L754" s="14"/>
      <c r="M754" s="14"/>
      <c r="AU754" s="81"/>
      <c r="AV754" s="99"/>
      <c r="AW754" s="99"/>
    </row>
    <row r="755" spans="1:49" x14ac:dyDescent="0.25">
      <c r="A755" s="14"/>
      <c r="B755" s="14"/>
      <c r="C755" s="14"/>
      <c r="D755" s="92"/>
      <c r="E755" s="14"/>
      <c r="F755" s="14"/>
      <c r="G755" s="14"/>
      <c r="H755" s="14"/>
      <c r="I755" s="67"/>
      <c r="J755" s="14"/>
      <c r="K755" s="14"/>
      <c r="L755" s="14"/>
      <c r="M755" s="14"/>
      <c r="AU755" s="81"/>
      <c r="AV755" s="99"/>
      <c r="AW755" s="99"/>
    </row>
    <row r="756" spans="1:49" x14ac:dyDescent="0.25">
      <c r="A756" s="14"/>
      <c r="B756" s="14"/>
      <c r="C756" s="14"/>
      <c r="D756" s="92"/>
      <c r="E756" s="14"/>
      <c r="F756" s="14"/>
      <c r="G756" s="14"/>
      <c r="H756" s="14"/>
      <c r="I756" s="67"/>
      <c r="J756" s="14"/>
      <c r="K756" s="14"/>
      <c r="L756" s="14"/>
      <c r="M756" s="14"/>
      <c r="AU756" s="81"/>
      <c r="AV756" s="99"/>
      <c r="AW756" s="99"/>
    </row>
    <row r="757" spans="1:49" x14ac:dyDescent="0.25">
      <c r="A757" s="14"/>
      <c r="B757" s="14"/>
      <c r="C757" s="14"/>
      <c r="D757" s="92"/>
      <c r="E757" s="14"/>
      <c r="F757" s="14"/>
      <c r="G757" s="14"/>
      <c r="H757" s="14"/>
      <c r="I757" s="67"/>
      <c r="J757" s="14"/>
      <c r="K757" s="14"/>
      <c r="L757" s="14"/>
      <c r="M757" s="14"/>
      <c r="AU757" s="81"/>
      <c r="AV757" s="99"/>
      <c r="AW757" s="99"/>
    </row>
    <row r="758" spans="1:49" x14ac:dyDescent="0.25">
      <c r="A758" s="14"/>
      <c r="B758" s="14"/>
      <c r="C758" s="14"/>
      <c r="D758" s="92"/>
      <c r="E758" s="14"/>
      <c r="F758" s="14"/>
      <c r="G758" s="14"/>
      <c r="H758" s="14"/>
      <c r="I758" s="67"/>
      <c r="J758" s="14"/>
      <c r="K758" s="14"/>
      <c r="L758" s="14"/>
      <c r="M758" s="14"/>
      <c r="AU758" s="81"/>
      <c r="AV758" s="99"/>
      <c r="AW758" s="99"/>
    </row>
    <row r="759" spans="1:49" x14ac:dyDescent="0.25">
      <c r="A759" s="14"/>
      <c r="B759" s="14"/>
      <c r="C759" s="14"/>
      <c r="D759" s="92"/>
      <c r="E759" s="14"/>
      <c r="F759" s="14"/>
      <c r="G759" s="14"/>
      <c r="H759" s="14"/>
      <c r="I759" s="67"/>
      <c r="J759" s="14"/>
      <c r="K759" s="14"/>
      <c r="L759" s="14"/>
      <c r="M759" s="14"/>
      <c r="AU759" s="81"/>
      <c r="AV759" s="99"/>
      <c r="AW759" s="99"/>
    </row>
    <row r="760" spans="1:49" x14ac:dyDescent="0.25">
      <c r="A760" s="14"/>
      <c r="B760" s="14"/>
      <c r="C760" s="14"/>
      <c r="D760" s="92"/>
      <c r="E760" s="14"/>
      <c r="F760" s="14"/>
      <c r="G760" s="14"/>
      <c r="H760" s="14"/>
      <c r="I760" s="67"/>
      <c r="J760" s="14"/>
      <c r="K760" s="14"/>
      <c r="L760" s="14"/>
      <c r="M760" s="14"/>
      <c r="AU760" s="81"/>
      <c r="AV760" s="99"/>
      <c r="AW760" s="99"/>
    </row>
    <row r="761" spans="1:49" x14ac:dyDescent="0.25">
      <c r="A761" s="14"/>
      <c r="B761" s="14"/>
      <c r="C761" s="14"/>
      <c r="D761" s="92"/>
      <c r="E761" s="14"/>
      <c r="F761" s="14"/>
      <c r="G761" s="14"/>
      <c r="H761" s="14"/>
      <c r="I761" s="67"/>
      <c r="J761" s="14"/>
      <c r="K761" s="14"/>
      <c r="L761" s="14"/>
      <c r="M761" s="14"/>
      <c r="AU761" s="81"/>
      <c r="AV761" s="99"/>
      <c r="AW761" s="99"/>
    </row>
    <row r="762" spans="1:49" x14ac:dyDescent="0.25">
      <c r="A762" s="14"/>
      <c r="B762" s="14"/>
      <c r="C762" s="14"/>
      <c r="D762" s="92"/>
      <c r="E762" s="14"/>
      <c r="F762" s="14"/>
      <c r="G762" s="14"/>
      <c r="H762" s="14"/>
      <c r="I762" s="67"/>
      <c r="J762" s="14"/>
      <c r="K762" s="14"/>
      <c r="L762" s="14"/>
      <c r="M762" s="14"/>
      <c r="AU762" s="81"/>
      <c r="AV762" s="99"/>
      <c r="AW762" s="99"/>
    </row>
    <row r="763" spans="1:49" x14ac:dyDescent="0.25">
      <c r="A763" s="14"/>
      <c r="B763" s="14"/>
      <c r="C763" s="14"/>
      <c r="D763" s="92"/>
      <c r="E763" s="14"/>
      <c r="F763" s="14"/>
      <c r="G763" s="14"/>
      <c r="H763" s="14"/>
      <c r="I763" s="67"/>
      <c r="J763" s="14"/>
      <c r="K763" s="14"/>
      <c r="L763" s="14"/>
      <c r="M763" s="14"/>
      <c r="AU763" s="81"/>
      <c r="AV763" s="99"/>
      <c r="AW763" s="99"/>
    </row>
    <row r="764" spans="1:49" x14ac:dyDescent="0.25">
      <c r="A764" s="14"/>
      <c r="B764" s="14"/>
      <c r="C764" s="14"/>
      <c r="D764" s="92"/>
      <c r="E764" s="14"/>
      <c r="F764" s="14"/>
      <c r="G764" s="14"/>
      <c r="H764" s="14"/>
      <c r="I764" s="67"/>
      <c r="J764" s="14"/>
      <c r="K764" s="14"/>
      <c r="L764" s="14"/>
      <c r="M764" s="14"/>
      <c r="AU764" s="81"/>
      <c r="AV764" s="99"/>
      <c r="AW764" s="99"/>
    </row>
    <row r="765" spans="1:49" x14ac:dyDescent="0.25">
      <c r="A765" s="14"/>
      <c r="B765" s="14"/>
      <c r="C765" s="14"/>
      <c r="D765" s="92"/>
      <c r="E765" s="14"/>
      <c r="F765" s="14"/>
      <c r="G765" s="14"/>
      <c r="H765" s="14"/>
      <c r="I765" s="67"/>
      <c r="J765" s="14"/>
      <c r="K765" s="14"/>
      <c r="L765" s="14"/>
      <c r="M765" s="14"/>
      <c r="AU765" s="81"/>
      <c r="AV765" s="99"/>
      <c r="AW765" s="99"/>
    </row>
    <row r="766" spans="1:49" x14ac:dyDescent="0.25">
      <c r="A766" s="14"/>
      <c r="B766" s="14"/>
      <c r="C766" s="14"/>
      <c r="D766" s="92"/>
      <c r="E766" s="14"/>
      <c r="F766" s="14"/>
      <c r="G766" s="14"/>
      <c r="H766" s="14"/>
      <c r="I766" s="67"/>
      <c r="J766" s="14"/>
      <c r="K766" s="14"/>
      <c r="L766" s="14"/>
      <c r="M766" s="14"/>
      <c r="AU766" s="81"/>
      <c r="AV766" s="99"/>
      <c r="AW766" s="99"/>
    </row>
    <row r="767" spans="1:49" x14ac:dyDescent="0.25">
      <c r="A767" s="14"/>
      <c r="B767" s="14"/>
      <c r="C767" s="14"/>
      <c r="D767" s="92"/>
      <c r="E767" s="14"/>
      <c r="F767" s="14"/>
      <c r="G767" s="14"/>
      <c r="H767" s="14"/>
      <c r="I767" s="67"/>
      <c r="J767" s="14"/>
      <c r="K767" s="14"/>
      <c r="L767" s="14"/>
      <c r="M767" s="14"/>
      <c r="AU767" s="81"/>
      <c r="AV767" s="99"/>
      <c r="AW767" s="99"/>
    </row>
    <row r="768" spans="1:49" x14ac:dyDescent="0.25">
      <c r="A768" s="14"/>
      <c r="B768" s="14"/>
      <c r="C768" s="14"/>
      <c r="D768" s="92"/>
      <c r="E768" s="14"/>
      <c r="F768" s="14"/>
      <c r="G768" s="14"/>
      <c r="H768" s="14"/>
      <c r="I768" s="67"/>
      <c r="J768" s="14"/>
      <c r="K768" s="14"/>
      <c r="L768" s="14"/>
      <c r="M768" s="14"/>
      <c r="AU768" s="81"/>
      <c r="AV768" s="99"/>
      <c r="AW768" s="99"/>
    </row>
    <row r="769" spans="1:49" x14ac:dyDescent="0.25">
      <c r="A769" s="14"/>
      <c r="B769" s="14"/>
      <c r="C769" s="14"/>
      <c r="D769" s="92"/>
      <c r="E769" s="14"/>
      <c r="F769" s="14"/>
      <c r="G769" s="14"/>
      <c r="H769" s="14"/>
      <c r="I769" s="67"/>
      <c r="J769" s="14"/>
      <c r="K769" s="14"/>
      <c r="L769" s="14"/>
      <c r="M769" s="14"/>
      <c r="AU769" s="81"/>
      <c r="AV769" s="99"/>
      <c r="AW769" s="99"/>
    </row>
    <row r="770" spans="1:49" x14ac:dyDescent="0.25">
      <c r="A770" s="14"/>
      <c r="B770" s="14"/>
      <c r="C770" s="14"/>
      <c r="D770" s="92"/>
      <c r="E770" s="14"/>
      <c r="F770" s="14"/>
      <c r="G770" s="14"/>
      <c r="H770" s="14"/>
      <c r="I770" s="67"/>
      <c r="J770" s="14"/>
      <c r="K770" s="14"/>
      <c r="L770" s="14"/>
      <c r="M770" s="14"/>
      <c r="AU770" s="81"/>
      <c r="AV770" s="99"/>
      <c r="AW770" s="99"/>
    </row>
    <row r="771" spans="1:49" x14ac:dyDescent="0.25">
      <c r="A771" s="14"/>
      <c r="B771" s="14"/>
      <c r="C771" s="14"/>
      <c r="D771" s="92"/>
      <c r="E771" s="14"/>
      <c r="F771" s="14"/>
      <c r="G771" s="14"/>
      <c r="H771" s="14"/>
      <c r="I771" s="67"/>
      <c r="J771" s="14"/>
      <c r="K771" s="14"/>
      <c r="L771" s="14"/>
      <c r="M771" s="14"/>
      <c r="AU771" s="81"/>
      <c r="AV771" s="99"/>
      <c r="AW771" s="99"/>
    </row>
    <row r="772" spans="1:49" x14ac:dyDescent="0.25">
      <c r="A772" s="14"/>
      <c r="B772" s="14"/>
      <c r="C772" s="14"/>
      <c r="D772" s="92"/>
      <c r="E772" s="14"/>
      <c r="F772" s="14"/>
      <c r="G772" s="14"/>
      <c r="H772" s="14"/>
      <c r="I772" s="67"/>
      <c r="J772" s="14"/>
      <c r="K772" s="14"/>
      <c r="L772" s="14"/>
      <c r="M772" s="14"/>
      <c r="AU772" s="81"/>
      <c r="AV772" s="99"/>
      <c r="AW772" s="99"/>
    </row>
    <row r="773" spans="1:49" x14ac:dyDescent="0.25">
      <c r="A773" s="14"/>
      <c r="B773" s="14"/>
      <c r="C773" s="14"/>
      <c r="D773" s="92"/>
      <c r="E773" s="14"/>
      <c r="F773" s="14"/>
      <c r="G773" s="14"/>
      <c r="H773" s="14"/>
      <c r="I773" s="67"/>
      <c r="J773" s="14"/>
      <c r="K773" s="14"/>
      <c r="L773" s="14"/>
      <c r="M773" s="14"/>
      <c r="AU773" s="81"/>
      <c r="AV773" s="99"/>
      <c r="AW773" s="99"/>
    </row>
    <row r="774" spans="1:49" x14ac:dyDescent="0.25">
      <c r="A774" s="14"/>
      <c r="B774" s="14"/>
      <c r="C774" s="14"/>
      <c r="D774" s="92"/>
      <c r="E774" s="14"/>
      <c r="F774" s="14"/>
      <c r="G774" s="14"/>
      <c r="H774" s="14"/>
      <c r="I774" s="67"/>
      <c r="J774" s="14"/>
      <c r="K774" s="14"/>
      <c r="L774" s="14"/>
      <c r="M774" s="14"/>
      <c r="AU774" s="81"/>
      <c r="AV774" s="99"/>
      <c r="AW774" s="99"/>
    </row>
    <row r="775" spans="1:49" x14ac:dyDescent="0.25">
      <c r="A775" s="14"/>
      <c r="B775" s="14"/>
      <c r="C775" s="14"/>
      <c r="D775" s="92"/>
      <c r="E775" s="14"/>
      <c r="F775" s="14"/>
      <c r="G775" s="14"/>
      <c r="H775" s="14"/>
      <c r="I775" s="67"/>
      <c r="J775" s="14"/>
      <c r="K775" s="14"/>
      <c r="L775" s="14"/>
      <c r="M775" s="14"/>
      <c r="AU775" s="81"/>
      <c r="AV775" s="99"/>
      <c r="AW775" s="99"/>
    </row>
    <row r="776" spans="1:49" x14ac:dyDescent="0.25">
      <c r="A776" s="14"/>
      <c r="B776" s="14"/>
      <c r="C776" s="14"/>
      <c r="D776" s="92"/>
      <c r="E776" s="14"/>
      <c r="F776" s="14"/>
      <c r="G776" s="14"/>
      <c r="H776" s="14"/>
      <c r="I776" s="67"/>
      <c r="J776" s="14"/>
      <c r="K776" s="14"/>
      <c r="L776" s="14"/>
      <c r="M776" s="14"/>
      <c r="AU776" s="81"/>
      <c r="AV776" s="99"/>
      <c r="AW776" s="99"/>
    </row>
    <row r="777" spans="1:49" x14ac:dyDescent="0.25">
      <c r="A777" s="14"/>
      <c r="B777" s="14"/>
      <c r="C777" s="14"/>
      <c r="D777" s="92"/>
      <c r="E777" s="14"/>
      <c r="F777" s="14"/>
      <c r="G777" s="14"/>
      <c r="H777" s="14"/>
      <c r="I777" s="67"/>
      <c r="J777" s="14"/>
      <c r="K777" s="14"/>
      <c r="L777" s="14"/>
      <c r="M777" s="14"/>
      <c r="AU777" s="81"/>
      <c r="AV777" s="99"/>
      <c r="AW777" s="99"/>
    </row>
    <row r="778" spans="1:49" x14ac:dyDescent="0.25">
      <c r="A778" s="14"/>
      <c r="B778" s="14"/>
      <c r="C778" s="14"/>
      <c r="D778" s="92"/>
      <c r="E778" s="14"/>
      <c r="F778" s="14"/>
      <c r="G778" s="14"/>
      <c r="H778" s="14"/>
      <c r="I778" s="67"/>
      <c r="J778" s="14"/>
      <c r="K778" s="14"/>
      <c r="L778" s="14"/>
      <c r="M778" s="14"/>
      <c r="AU778" s="81"/>
      <c r="AV778" s="99"/>
      <c r="AW778" s="99"/>
    </row>
    <row r="779" spans="1:49" x14ac:dyDescent="0.25">
      <c r="A779" s="14"/>
      <c r="B779" s="14"/>
      <c r="C779" s="14"/>
      <c r="D779" s="92"/>
      <c r="E779" s="14"/>
      <c r="F779" s="14"/>
      <c r="G779" s="14"/>
      <c r="H779" s="14"/>
      <c r="I779" s="67"/>
      <c r="J779" s="14"/>
      <c r="K779" s="14"/>
      <c r="L779" s="14"/>
      <c r="M779" s="14"/>
    </row>
    <row r="780" spans="1:49" x14ac:dyDescent="0.25">
      <c r="A780" s="14"/>
      <c r="B780" s="14"/>
      <c r="C780" s="14"/>
      <c r="D780" s="92"/>
      <c r="E780" s="14"/>
      <c r="F780" s="14"/>
      <c r="G780" s="14"/>
      <c r="H780" s="14"/>
      <c r="I780" s="67"/>
      <c r="J780" s="14"/>
      <c r="K780" s="14"/>
      <c r="L780" s="14"/>
      <c r="M780" s="14"/>
    </row>
    <row r="781" spans="1:49" x14ac:dyDescent="0.25">
      <c r="A781" s="14"/>
      <c r="B781" s="14"/>
      <c r="C781" s="14"/>
      <c r="D781" s="92"/>
      <c r="E781" s="14"/>
      <c r="F781" s="14"/>
      <c r="G781" s="14"/>
      <c r="H781" s="14"/>
      <c r="I781" s="67"/>
      <c r="J781" s="14"/>
      <c r="K781" s="14"/>
      <c r="L781" s="14"/>
      <c r="M781" s="14"/>
    </row>
    <row r="782" spans="1:49" x14ac:dyDescent="0.25">
      <c r="A782" s="14"/>
      <c r="B782" s="14"/>
      <c r="C782" s="14"/>
      <c r="D782" s="92"/>
      <c r="E782" s="14"/>
      <c r="F782" s="14"/>
      <c r="G782" s="14"/>
      <c r="H782" s="14"/>
      <c r="I782" s="67"/>
      <c r="J782" s="14"/>
      <c r="K782" s="14"/>
      <c r="L782" s="14"/>
      <c r="M782" s="14"/>
    </row>
    <row r="783" spans="1:49" x14ac:dyDescent="0.25">
      <c r="A783" s="14"/>
      <c r="B783" s="14"/>
      <c r="C783" s="14"/>
      <c r="D783" s="92"/>
      <c r="E783" s="14"/>
      <c r="F783" s="14"/>
      <c r="G783" s="14"/>
      <c r="H783" s="14"/>
      <c r="I783" s="67"/>
      <c r="J783" s="14"/>
      <c r="K783" s="14"/>
      <c r="L783" s="14"/>
      <c r="M783" s="14"/>
    </row>
    <row r="784" spans="1:49" x14ac:dyDescent="0.25">
      <c r="A784" s="14"/>
      <c r="B784" s="14"/>
      <c r="C784" s="14"/>
      <c r="D784" s="92"/>
      <c r="E784" s="14"/>
      <c r="F784" s="14"/>
      <c r="G784" s="14"/>
      <c r="H784" s="14"/>
      <c r="I784" s="67"/>
      <c r="J784" s="14"/>
      <c r="K784" s="14"/>
      <c r="L784" s="14"/>
      <c r="M784" s="14"/>
    </row>
    <row r="785" spans="1:13" x14ac:dyDescent="0.25">
      <c r="A785" s="14"/>
      <c r="B785" s="14"/>
      <c r="C785" s="14"/>
      <c r="D785" s="92"/>
      <c r="E785" s="14"/>
      <c r="F785" s="14"/>
      <c r="G785" s="14"/>
      <c r="H785" s="14"/>
      <c r="I785" s="67"/>
      <c r="J785" s="14"/>
      <c r="K785" s="14"/>
      <c r="L785" s="14"/>
      <c r="M785" s="14"/>
    </row>
    <row r="786" spans="1:13" x14ac:dyDescent="0.25">
      <c r="A786" s="14"/>
      <c r="B786" s="14"/>
      <c r="C786" s="14"/>
      <c r="D786" s="92"/>
      <c r="E786" s="14"/>
      <c r="F786" s="14"/>
      <c r="G786" s="14"/>
      <c r="H786" s="14"/>
      <c r="I786" s="67"/>
      <c r="J786" s="14"/>
      <c r="K786" s="14"/>
      <c r="L786" s="14"/>
      <c r="M786" s="14"/>
    </row>
    <row r="787" spans="1:13" x14ac:dyDescent="0.25">
      <c r="A787" s="14"/>
      <c r="B787" s="14"/>
      <c r="C787" s="14"/>
      <c r="D787" s="92"/>
      <c r="E787" s="14"/>
      <c r="F787" s="14"/>
      <c r="G787" s="14"/>
      <c r="H787" s="14"/>
      <c r="I787" s="67"/>
      <c r="J787" s="14"/>
      <c r="K787" s="14"/>
      <c r="L787" s="14"/>
      <c r="M787" s="14"/>
    </row>
    <row r="788" spans="1:13" x14ac:dyDescent="0.25">
      <c r="A788" s="14"/>
      <c r="B788" s="14"/>
      <c r="C788" s="14"/>
      <c r="D788" s="92"/>
      <c r="E788" s="14"/>
      <c r="F788" s="14"/>
      <c r="G788" s="14"/>
      <c r="H788" s="14"/>
      <c r="I788" s="67"/>
      <c r="J788" s="14"/>
      <c r="K788" s="14"/>
      <c r="L788" s="14"/>
      <c r="M788" s="14"/>
    </row>
    <row r="789" spans="1:13" x14ac:dyDescent="0.25">
      <c r="A789" s="14"/>
      <c r="B789" s="14"/>
      <c r="C789" s="14"/>
      <c r="D789" s="92"/>
      <c r="E789" s="14"/>
      <c r="F789" s="14"/>
      <c r="G789" s="14"/>
      <c r="H789" s="14"/>
      <c r="I789" s="67"/>
      <c r="J789" s="14"/>
      <c r="K789" s="14"/>
      <c r="L789" s="14"/>
      <c r="M789" s="14"/>
    </row>
    <row r="790" spans="1:13" x14ac:dyDescent="0.25">
      <c r="A790" s="14"/>
      <c r="B790" s="14"/>
      <c r="C790" s="14"/>
      <c r="D790" s="92"/>
      <c r="E790" s="14"/>
      <c r="F790" s="14"/>
      <c r="G790" s="14"/>
      <c r="H790" s="14"/>
      <c r="I790" s="67"/>
      <c r="J790" s="14"/>
      <c r="K790" s="14"/>
      <c r="L790" s="14"/>
      <c r="M790" s="14"/>
    </row>
    <row r="791" spans="1:13" x14ac:dyDescent="0.25">
      <c r="A791" s="14"/>
      <c r="B791" s="14"/>
      <c r="C791" s="14"/>
      <c r="D791" s="92"/>
      <c r="E791" s="14"/>
      <c r="F791" s="14"/>
      <c r="G791" s="14"/>
      <c r="H791" s="14"/>
      <c r="I791" s="67"/>
      <c r="J791" s="14"/>
      <c r="K791" s="14"/>
      <c r="L791" s="14"/>
      <c r="M791" s="14"/>
    </row>
    <row r="792" spans="1:13" x14ac:dyDescent="0.25">
      <c r="A792" s="14"/>
      <c r="B792" s="14"/>
      <c r="C792" s="14"/>
      <c r="D792" s="92"/>
      <c r="E792" s="14"/>
      <c r="F792" s="14"/>
      <c r="G792" s="14"/>
      <c r="H792" s="14"/>
      <c r="I792" s="67"/>
      <c r="J792" s="14"/>
      <c r="K792" s="14"/>
      <c r="L792" s="14"/>
      <c r="M792" s="14"/>
    </row>
    <row r="793" spans="1:13" x14ac:dyDescent="0.25">
      <c r="A793" s="14"/>
      <c r="B793" s="14"/>
      <c r="C793" s="14"/>
      <c r="D793" s="92"/>
      <c r="E793" s="14"/>
      <c r="F793" s="14"/>
      <c r="G793" s="14"/>
      <c r="H793" s="14"/>
      <c r="I793" s="67"/>
      <c r="J793" s="14"/>
      <c r="K793" s="14"/>
      <c r="L793" s="14"/>
      <c r="M793" s="14"/>
    </row>
    <row r="794" spans="1:13" x14ac:dyDescent="0.25">
      <c r="A794" s="14"/>
      <c r="B794" s="14"/>
      <c r="C794" s="14"/>
      <c r="D794" s="92"/>
      <c r="E794" s="14"/>
      <c r="F794" s="14"/>
      <c r="G794" s="14"/>
      <c r="H794" s="14"/>
      <c r="I794" s="67"/>
      <c r="J794" s="14"/>
      <c r="K794" s="14"/>
      <c r="L794" s="14"/>
      <c r="M794" s="14"/>
    </row>
    <row r="795" spans="1:13" x14ac:dyDescent="0.25">
      <c r="A795" s="14"/>
      <c r="B795" s="14"/>
      <c r="C795" s="14"/>
      <c r="D795" s="92"/>
      <c r="E795" s="14"/>
      <c r="F795" s="14"/>
      <c r="G795" s="14"/>
      <c r="H795" s="14"/>
      <c r="I795" s="67"/>
      <c r="J795" s="14"/>
      <c r="K795" s="14"/>
      <c r="L795" s="14"/>
      <c r="M795" s="14"/>
    </row>
    <row r="796" spans="1:13" x14ac:dyDescent="0.25">
      <c r="A796" s="14"/>
      <c r="B796" s="14"/>
      <c r="C796" s="14"/>
      <c r="D796" s="92"/>
      <c r="E796" s="14"/>
      <c r="F796" s="14"/>
      <c r="G796" s="14"/>
      <c r="H796" s="14"/>
      <c r="I796" s="67"/>
      <c r="J796" s="14"/>
      <c r="K796" s="14"/>
      <c r="L796" s="14"/>
      <c r="M796" s="14"/>
    </row>
    <row r="797" spans="1:13" x14ac:dyDescent="0.25">
      <c r="A797" s="14"/>
      <c r="B797" s="14"/>
      <c r="C797" s="14"/>
      <c r="D797" s="92"/>
      <c r="E797" s="14"/>
      <c r="F797" s="14"/>
      <c r="G797" s="14"/>
      <c r="H797" s="14"/>
      <c r="I797" s="67"/>
      <c r="J797" s="14"/>
      <c r="K797" s="14"/>
      <c r="L797" s="14"/>
      <c r="M797" s="14"/>
    </row>
    <row r="798" spans="1:13" x14ac:dyDescent="0.25">
      <c r="A798" s="14"/>
      <c r="B798" s="14"/>
      <c r="C798" s="14"/>
      <c r="D798" s="92"/>
      <c r="E798" s="14"/>
      <c r="F798" s="14"/>
      <c r="G798" s="14"/>
      <c r="H798" s="14"/>
      <c r="I798" s="67"/>
      <c r="J798" s="14"/>
      <c r="K798" s="14"/>
      <c r="L798" s="14"/>
      <c r="M798" s="14"/>
    </row>
    <row r="799" spans="1:13" x14ac:dyDescent="0.25">
      <c r="A799" s="14"/>
      <c r="B799" s="14"/>
      <c r="C799" s="14"/>
      <c r="D799" s="92"/>
      <c r="E799" s="14"/>
      <c r="F799" s="14"/>
      <c r="G799" s="14"/>
      <c r="H799" s="14"/>
      <c r="I799" s="67"/>
      <c r="J799" s="14"/>
      <c r="K799" s="14"/>
      <c r="L799" s="14"/>
      <c r="M799" s="14"/>
    </row>
    <row r="800" spans="1:13" x14ac:dyDescent="0.25">
      <c r="A800" s="14"/>
      <c r="B800" s="14"/>
      <c r="C800" s="14"/>
      <c r="D800" s="92"/>
      <c r="E800" s="14"/>
      <c r="F800" s="14"/>
      <c r="G800" s="14"/>
      <c r="H800" s="14"/>
      <c r="I800" s="67"/>
      <c r="J800" s="14"/>
      <c r="K800" s="14"/>
      <c r="L800" s="14"/>
      <c r="M800" s="14"/>
    </row>
    <row r="801" spans="1:13" x14ac:dyDescent="0.25">
      <c r="A801" s="14"/>
      <c r="B801" s="14"/>
      <c r="C801" s="14"/>
      <c r="D801" s="92"/>
      <c r="E801" s="14"/>
      <c r="F801" s="14"/>
      <c r="G801" s="14"/>
      <c r="H801" s="14"/>
      <c r="I801" s="67"/>
      <c r="J801" s="14"/>
      <c r="K801" s="14"/>
      <c r="L801" s="14"/>
      <c r="M801" s="14"/>
    </row>
    <row r="802" spans="1:13" x14ac:dyDescent="0.25">
      <c r="A802" s="14"/>
      <c r="B802" s="14"/>
      <c r="C802" s="14"/>
      <c r="D802" s="92"/>
      <c r="E802" s="14"/>
      <c r="F802" s="14"/>
      <c r="G802" s="14"/>
      <c r="H802" s="14"/>
      <c r="I802" s="67"/>
      <c r="J802" s="14"/>
      <c r="K802" s="14"/>
      <c r="L802" s="14"/>
      <c r="M802" s="14"/>
    </row>
    <row r="803" spans="1:13" x14ac:dyDescent="0.25">
      <c r="A803" s="14"/>
      <c r="B803" s="14"/>
      <c r="C803" s="14"/>
      <c r="D803" s="92"/>
      <c r="E803" s="14"/>
      <c r="F803" s="14"/>
      <c r="G803" s="14"/>
      <c r="H803" s="14"/>
      <c r="I803" s="67"/>
      <c r="J803" s="14"/>
      <c r="K803" s="14"/>
      <c r="L803" s="14"/>
      <c r="M803" s="14"/>
    </row>
    <row r="804" spans="1:13" x14ac:dyDescent="0.25">
      <c r="A804" s="14"/>
      <c r="B804" s="14"/>
      <c r="C804" s="14"/>
      <c r="D804" s="92"/>
      <c r="E804" s="14"/>
      <c r="F804" s="14"/>
      <c r="G804" s="14"/>
      <c r="H804" s="14"/>
      <c r="I804" s="67"/>
      <c r="J804" s="14"/>
      <c r="K804" s="14"/>
      <c r="L804" s="14"/>
      <c r="M804" s="14"/>
    </row>
    <row r="805" spans="1:13" x14ac:dyDescent="0.25">
      <c r="A805" s="14"/>
      <c r="B805" s="14"/>
      <c r="C805" s="14"/>
      <c r="D805" s="92"/>
      <c r="E805" s="14"/>
      <c r="F805" s="14"/>
      <c r="G805" s="14"/>
      <c r="H805" s="14"/>
      <c r="I805" s="67"/>
      <c r="J805" s="14"/>
      <c r="K805" s="14"/>
      <c r="L805" s="14"/>
      <c r="M805" s="14"/>
    </row>
    <row r="806" spans="1:13" x14ac:dyDescent="0.25">
      <c r="A806" s="14"/>
      <c r="B806" s="14"/>
      <c r="C806" s="14"/>
      <c r="D806" s="92"/>
      <c r="E806" s="14"/>
      <c r="F806" s="14"/>
      <c r="G806" s="14"/>
      <c r="H806" s="14"/>
      <c r="I806" s="67"/>
      <c r="J806" s="14"/>
      <c r="K806" s="14"/>
      <c r="L806" s="14"/>
      <c r="M806" s="14"/>
    </row>
    <row r="807" spans="1:13" x14ac:dyDescent="0.25">
      <c r="A807" s="14"/>
      <c r="B807" s="14"/>
      <c r="C807" s="14"/>
      <c r="D807" s="92"/>
      <c r="E807" s="14"/>
      <c r="F807" s="14"/>
      <c r="G807" s="14"/>
      <c r="H807" s="14"/>
      <c r="I807" s="67"/>
      <c r="J807" s="14"/>
      <c r="K807" s="14"/>
      <c r="L807" s="14"/>
      <c r="M807" s="14"/>
    </row>
    <row r="808" spans="1:13" x14ac:dyDescent="0.25">
      <c r="A808" s="14"/>
      <c r="B808" s="14"/>
      <c r="C808" s="14"/>
      <c r="D808" s="92"/>
      <c r="E808" s="14"/>
      <c r="F808" s="14"/>
      <c r="G808" s="14"/>
      <c r="H808" s="14"/>
      <c r="I808" s="67"/>
      <c r="J808" s="14"/>
      <c r="K808" s="14"/>
      <c r="L808" s="14"/>
      <c r="M808" s="14"/>
    </row>
    <row r="809" spans="1:13" x14ac:dyDescent="0.25">
      <c r="A809" s="14"/>
      <c r="B809" s="14"/>
      <c r="C809" s="14"/>
      <c r="D809" s="92"/>
      <c r="E809" s="14"/>
      <c r="F809" s="14"/>
      <c r="G809" s="14"/>
      <c r="H809" s="14"/>
      <c r="I809" s="67"/>
      <c r="J809" s="14"/>
      <c r="K809" s="14"/>
      <c r="L809" s="14"/>
      <c r="M809" s="14"/>
    </row>
    <row r="810" spans="1:13" x14ac:dyDescent="0.25">
      <c r="A810" s="14"/>
      <c r="B810" s="14"/>
      <c r="C810" s="14"/>
      <c r="D810" s="92"/>
      <c r="E810" s="14"/>
      <c r="F810" s="14"/>
      <c r="G810" s="14"/>
      <c r="H810" s="14"/>
      <c r="I810" s="67"/>
      <c r="J810" s="14"/>
      <c r="K810" s="14"/>
      <c r="L810" s="14"/>
      <c r="M810" s="14"/>
    </row>
    <row r="811" spans="1:13" x14ac:dyDescent="0.25">
      <c r="A811" s="14"/>
      <c r="B811" s="14"/>
      <c r="C811" s="14"/>
      <c r="D811" s="92"/>
      <c r="E811" s="14"/>
      <c r="F811" s="14"/>
      <c r="G811" s="14"/>
      <c r="H811" s="14"/>
      <c r="I811" s="67"/>
      <c r="J811" s="14"/>
      <c r="K811" s="14"/>
      <c r="L811" s="14"/>
      <c r="M811" s="14"/>
    </row>
    <row r="812" spans="1:13" x14ac:dyDescent="0.25">
      <c r="A812" s="14"/>
      <c r="B812" s="14"/>
      <c r="C812" s="14"/>
      <c r="D812" s="92"/>
      <c r="E812" s="14"/>
      <c r="F812" s="14"/>
      <c r="G812" s="14"/>
      <c r="H812" s="14"/>
      <c r="I812" s="67"/>
      <c r="J812" s="14"/>
      <c r="K812" s="14"/>
      <c r="L812" s="14"/>
      <c r="M812" s="14"/>
    </row>
    <row r="813" spans="1:13" x14ac:dyDescent="0.25">
      <c r="A813" s="14"/>
      <c r="B813" s="14"/>
      <c r="C813" s="14"/>
      <c r="D813" s="92"/>
      <c r="E813" s="14"/>
      <c r="F813" s="14"/>
      <c r="G813" s="14"/>
      <c r="H813" s="14"/>
      <c r="I813" s="67"/>
      <c r="J813" s="14"/>
      <c r="K813" s="14"/>
      <c r="L813" s="14"/>
      <c r="M813" s="14"/>
    </row>
    <row r="814" spans="1:13" x14ac:dyDescent="0.25">
      <c r="A814" s="14"/>
      <c r="B814" s="14"/>
      <c r="C814" s="14"/>
      <c r="D814" s="92"/>
      <c r="E814" s="14"/>
      <c r="F814" s="14"/>
      <c r="G814" s="14"/>
      <c r="H814" s="14"/>
      <c r="I814" s="67"/>
      <c r="J814" s="14"/>
      <c r="K814" s="14"/>
      <c r="L814" s="14"/>
      <c r="M814" s="14"/>
    </row>
    <row r="815" spans="1:13" x14ac:dyDescent="0.25">
      <c r="A815" s="14"/>
      <c r="B815" s="14"/>
      <c r="C815" s="14"/>
      <c r="D815" s="92"/>
      <c r="E815" s="14"/>
      <c r="F815" s="14"/>
      <c r="G815" s="14"/>
      <c r="H815" s="14"/>
      <c r="I815" s="67"/>
      <c r="J815" s="14"/>
      <c r="K815" s="14"/>
      <c r="L815" s="14"/>
      <c r="M815" s="14"/>
    </row>
    <row r="816" spans="1:13" x14ac:dyDescent="0.25">
      <c r="A816" s="14"/>
      <c r="B816" s="14"/>
      <c r="C816" s="14"/>
      <c r="D816" s="92"/>
      <c r="E816" s="14"/>
      <c r="F816" s="14"/>
      <c r="G816" s="14"/>
      <c r="H816" s="14"/>
      <c r="I816" s="67"/>
      <c r="J816" s="14"/>
      <c r="K816" s="14"/>
      <c r="L816" s="14"/>
      <c r="M816" s="14"/>
    </row>
    <row r="817" spans="1:13" x14ac:dyDescent="0.25">
      <c r="A817" s="14"/>
      <c r="B817" s="14"/>
      <c r="C817" s="14"/>
      <c r="D817" s="92"/>
      <c r="E817" s="14"/>
      <c r="F817" s="14"/>
      <c r="G817" s="14"/>
      <c r="H817" s="14"/>
      <c r="I817" s="67"/>
      <c r="J817" s="14"/>
      <c r="K817" s="14"/>
      <c r="L817" s="14"/>
      <c r="M817" s="14"/>
    </row>
    <row r="818" spans="1:13" x14ac:dyDescent="0.25">
      <c r="A818" s="14"/>
      <c r="B818" s="14"/>
      <c r="C818" s="14"/>
      <c r="D818" s="92"/>
      <c r="E818" s="14"/>
      <c r="F818" s="14"/>
      <c r="G818" s="14"/>
      <c r="H818" s="14"/>
      <c r="I818" s="67"/>
      <c r="J818" s="14"/>
      <c r="K818" s="14"/>
      <c r="L818" s="14"/>
      <c r="M818" s="14"/>
    </row>
    <row r="819" spans="1:13" x14ac:dyDescent="0.25">
      <c r="A819" s="14"/>
      <c r="B819" s="14"/>
      <c r="C819" s="14"/>
      <c r="D819" s="92"/>
      <c r="E819" s="14"/>
      <c r="F819" s="14"/>
      <c r="G819" s="14"/>
      <c r="H819" s="14"/>
      <c r="I819" s="67"/>
      <c r="J819" s="14"/>
      <c r="K819" s="14"/>
      <c r="L819" s="14"/>
      <c r="M819" s="14"/>
    </row>
    <row r="820" spans="1:13" x14ac:dyDescent="0.25">
      <c r="A820" s="14"/>
      <c r="B820" s="14"/>
      <c r="C820" s="14"/>
      <c r="D820" s="92"/>
      <c r="E820" s="14"/>
      <c r="F820" s="14"/>
      <c r="G820" s="14"/>
      <c r="H820" s="14"/>
      <c r="I820" s="67"/>
      <c r="J820" s="14"/>
      <c r="K820" s="14"/>
      <c r="L820" s="14"/>
      <c r="M820" s="14"/>
    </row>
    <row r="821" spans="1:13" x14ac:dyDescent="0.25">
      <c r="A821" s="14"/>
      <c r="B821" s="14"/>
      <c r="C821" s="14"/>
      <c r="D821" s="92"/>
      <c r="E821" s="14"/>
      <c r="F821" s="14"/>
      <c r="G821" s="14"/>
      <c r="H821" s="14"/>
      <c r="I821" s="67"/>
      <c r="J821" s="14"/>
      <c r="K821" s="14"/>
      <c r="L821" s="14"/>
      <c r="M821" s="14"/>
    </row>
    <row r="822" spans="1:13" x14ac:dyDescent="0.25">
      <c r="A822" s="14"/>
      <c r="B822" s="14"/>
      <c r="C822" s="14"/>
      <c r="D822" s="92"/>
      <c r="E822" s="14"/>
      <c r="F822" s="14"/>
      <c r="G822" s="14"/>
      <c r="H822" s="14"/>
      <c r="I822" s="67"/>
      <c r="J822" s="14"/>
      <c r="K822" s="14"/>
      <c r="L822" s="14"/>
      <c r="M822" s="14"/>
    </row>
    <row r="823" spans="1:13" x14ac:dyDescent="0.25">
      <c r="A823" s="14"/>
      <c r="B823" s="14"/>
      <c r="C823" s="14"/>
      <c r="D823" s="92"/>
      <c r="E823" s="14"/>
      <c r="F823" s="14"/>
      <c r="G823" s="14"/>
      <c r="H823" s="14"/>
      <c r="I823" s="67"/>
      <c r="J823" s="14"/>
      <c r="K823" s="14"/>
      <c r="L823" s="14"/>
      <c r="M823" s="14"/>
    </row>
    <row r="824" spans="1:13" x14ac:dyDescent="0.25">
      <c r="A824" s="14"/>
      <c r="B824" s="14"/>
      <c r="C824" s="14"/>
      <c r="D824" s="92"/>
      <c r="E824" s="14"/>
      <c r="F824" s="14"/>
      <c r="G824" s="14"/>
      <c r="H824" s="14"/>
      <c r="I824" s="67"/>
      <c r="J824" s="14"/>
      <c r="K824" s="14"/>
      <c r="L824" s="14"/>
      <c r="M824" s="14"/>
    </row>
    <row r="825" spans="1:13" x14ac:dyDescent="0.25">
      <c r="A825" s="14"/>
      <c r="B825" s="14"/>
      <c r="C825" s="14"/>
      <c r="D825" s="92"/>
      <c r="E825" s="14"/>
      <c r="F825" s="14"/>
      <c r="G825" s="14"/>
      <c r="H825" s="14"/>
      <c r="I825" s="67"/>
      <c r="J825" s="14"/>
      <c r="K825" s="14"/>
      <c r="L825" s="14"/>
      <c r="M825" s="14"/>
    </row>
    <row r="826" spans="1:13" x14ac:dyDescent="0.25">
      <c r="A826" s="14"/>
      <c r="B826" s="14"/>
      <c r="C826" s="14"/>
      <c r="D826" s="92"/>
      <c r="E826" s="14"/>
      <c r="F826" s="14"/>
      <c r="G826" s="14"/>
      <c r="H826" s="14"/>
      <c r="I826" s="67"/>
      <c r="J826" s="14"/>
      <c r="K826" s="14"/>
      <c r="L826" s="14"/>
      <c r="M826" s="14"/>
    </row>
    <row r="827" spans="1:13" x14ac:dyDescent="0.25">
      <c r="A827" s="14"/>
      <c r="B827" s="14"/>
      <c r="C827" s="14"/>
      <c r="D827" s="92"/>
      <c r="E827" s="14"/>
      <c r="F827" s="14"/>
      <c r="G827" s="14"/>
      <c r="H827" s="14"/>
      <c r="I827" s="67"/>
      <c r="J827" s="14"/>
      <c r="K827" s="14"/>
      <c r="L827" s="14"/>
      <c r="M827" s="14"/>
    </row>
    <row r="828" spans="1:13" x14ac:dyDescent="0.25">
      <c r="A828" s="14"/>
      <c r="B828" s="14"/>
      <c r="C828" s="14"/>
      <c r="D828" s="92"/>
      <c r="E828" s="14"/>
      <c r="F828" s="14"/>
      <c r="G828" s="14"/>
      <c r="H828" s="14"/>
      <c r="I828" s="67"/>
      <c r="J828" s="14"/>
      <c r="K828" s="14"/>
      <c r="L828" s="14"/>
      <c r="M828" s="14"/>
    </row>
    <row r="829" spans="1:13" x14ac:dyDescent="0.25">
      <c r="A829" s="14"/>
      <c r="B829" s="14"/>
      <c r="C829" s="14"/>
      <c r="D829" s="92"/>
      <c r="E829" s="14"/>
      <c r="F829" s="14"/>
      <c r="G829" s="14"/>
      <c r="H829" s="14"/>
      <c r="I829" s="67"/>
      <c r="J829" s="14"/>
      <c r="K829" s="14"/>
      <c r="L829" s="14"/>
      <c r="M829" s="14"/>
    </row>
    <row r="830" spans="1:13" x14ac:dyDescent="0.25">
      <c r="A830" s="14"/>
      <c r="B830" s="14"/>
      <c r="C830" s="14"/>
      <c r="D830" s="92"/>
      <c r="E830" s="14"/>
      <c r="F830" s="14"/>
      <c r="G830" s="14"/>
      <c r="H830" s="14"/>
      <c r="I830" s="67"/>
      <c r="J830" s="14"/>
      <c r="K830" s="14"/>
      <c r="L830" s="14"/>
      <c r="M830" s="14"/>
    </row>
    <row r="831" spans="1:13" x14ac:dyDescent="0.25">
      <c r="A831" s="14"/>
      <c r="B831" s="14"/>
      <c r="C831" s="14"/>
      <c r="D831" s="92"/>
      <c r="E831" s="14"/>
      <c r="F831" s="14"/>
      <c r="G831" s="14"/>
      <c r="H831" s="14"/>
      <c r="I831" s="67"/>
      <c r="J831" s="14"/>
      <c r="K831" s="14"/>
      <c r="L831" s="14"/>
      <c r="M831" s="14"/>
    </row>
    <row r="832" spans="1:13" x14ac:dyDescent="0.25">
      <c r="A832" s="14"/>
      <c r="B832" s="14"/>
      <c r="C832" s="14"/>
      <c r="D832" s="92"/>
      <c r="E832" s="14"/>
      <c r="F832" s="14"/>
      <c r="G832" s="14"/>
      <c r="H832" s="14"/>
      <c r="I832" s="67"/>
      <c r="J832" s="14"/>
      <c r="K832" s="14"/>
      <c r="L832" s="14"/>
      <c r="M832" s="14"/>
    </row>
    <row r="833" spans="1:13" x14ac:dyDescent="0.25">
      <c r="A833" s="14"/>
      <c r="B833" s="14"/>
      <c r="C833" s="14"/>
      <c r="D833" s="92"/>
      <c r="E833" s="14"/>
      <c r="F833" s="14"/>
      <c r="G833" s="14"/>
      <c r="H833" s="14"/>
      <c r="I833" s="67"/>
      <c r="J833" s="14"/>
      <c r="K833" s="14"/>
      <c r="L833" s="14"/>
      <c r="M833" s="14"/>
    </row>
    <row r="834" spans="1:13" x14ac:dyDescent="0.25">
      <c r="A834" s="14"/>
      <c r="B834" s="14"/>
      <c r="C834" s="14"/>
      <c r="D834" s="92"/>
      <c r="E834" s="14"/>
      <c r="F834" s="14"/>
      <c r="G834" s="14"/>
      <c r="H834" s="14"/>
      <c r="I834" s="67"/>
      <c r="J834" s="14"/>
      <c r="K834" s="14"/>
      <c r="L834" s="14"/>
      <c r="M834" s="14"/>
    </row>
    <row r="835" spans="1:13" x14ac:dyDescent="0.25">
      <c r="A835" s="14"/>
      <c r="B835" s="14"/>
      <c r="C835" s="14"/>
      <c r="D835" s="92"/>
      <c r="E835" s="14"/>
      <c r="F835" s="14"/>
      <c r="G835" s="14"/>
      <c r="H835" s="14"/>
      <c r="I835" s="67"/>
      <c r="J835" s="14"/>
      <c r="K835" s="14"/>
      <c r="L835" s="14"/>
      <c r="M835" s="14"/>
    </row>
    <row r="836" spans="1:13" x14ac:dyDescent="0.25">
      <c r="A836" s="14"/>
      <c r="B836" s="14"/>
      <c r="C836" s="14"/>
      <c r="D836" s="92"/>
      <c r="E836" s="14"/>
      <c r="F836" s="14"/>
      <c r="G836" s="14"/>
      <c r="H836" s="14"/>
      <c r="I836" s="67"/>
      <c r="J836" s="14"/>
      <c r="K836" s="14"/>
      <c r="L836" s="14"/>
      <c r="M836" s="14"/>
    </row>
    <row r="837" spans="1:13" x14ac:dyDescent="0.25">
      <c r="A837" s="14"/>
      <c r="B837" s="14"/>
      <c r="C837" s="14"/>
      <c r="D837" s="92"/>
      <c r="E837" s="14"/>
      <c r="F837" s="14"/>
      <c r="G837" s="14"/>
      <c r="H837" s="14"/>
      <c r="I837" s="67"/>
      <c r="J837" s="14"/>
      <c r="K837" s="14"/>
      <c r="L837" s="14"/>
      <c r="M837" s="14"/>
    </row>
    <row r="838" spans="1:13" x14ac:dyDescent="0.25">
      <c r="A838" s="14"/>
      <c r="B838" s="14"/>
      <c r="C838" s="14"/>
      <c r="D838" s="92"/>
      <c r="E838" s="14"/>
      <c r="F838" s="14"/>
      <c r="G838" s="14"/>
      <c r="H838" s="14"/>
      <c r="I838" s="67"/>
      <c r="J838" s="14"/>
      <c r="K838" s="14"/>
      <c r="L838" s="14"/>
      <c r="M838" s="14"/>
    </row>
    <row r="839" spans="1:13" x14ac:dyDescent="0.25">
      <c r="A839" s="14"/>
      <c r="B839" s="14"/>
      <c r="C839" s="14"/>
      <c r="D839" s="92"/>
      <c r="E839" s="14"/>
      <c r="F839" s="14"/>
      <c r="G839" s="14"/>
      <c r="H839" s="14"/>
      <c r="I839" s="67"/>
      <c r="J839" s="14"/>
      <c r="K839" s="14"/>
      <c r="L839" s="14"/>
      <c r="M839" s="14"/>
    </row>
    <row r="840" spans="1:13" x14ac:dyDescent="0.25">
      <c r="A840" s="14"/>
      <c r="B840" s="14"/>
      <c r="C840" s="14"/>
      <c r="D840" s="92"/>
      <c r="E840" s="14"/>
      <c r="F840" s="14"/>
      <c r="G840" s="14"/>
      <c r="H840" s="14"/>
      <c r="I840" s="67"/>
      <c r="J840" s="14"/>
      <c r="K840" s="14"/>
      <c r="L840" s="14"/>
      <c r="M840" s="14"/>
    </row>
    <row r="841" spans="1:13" x14ac:dyDescent="0.25">
      <c r="A841" s="14"/>
      <c r="B841" s="14"/>
      <c r="C841" s="14"/>
      <c r="D841" s="92"/>
      <c r="E841" s="14"/>
      <c r="F841" s="14"/>
      <c r="G841" s="14"/>
      <c r="H841" s="14"/>
      <c r="I841" s="67"/>
      <c r="J841" s="14"/>
      <c r="K841" s="14"/>
      <c r="L841" s="14"/>
      <c r="M841" s="14"/>
    </row>
    <row r="842" spans="1:13" x14ac:dyDescent="0.25">
      <c r="A842" s="14"/>
      <c r="B842" s="14"/>
      <c r="C842" s="14"/>
      <c r="D842" s="92"/>
      <c r="E842" s="14"/>
      <c r="F842" s="14"/>
      <c r="G842" s="14"/>
      <c r="H842" s="14"/>
      <c r="I842" s="67"/>
      <c r="J842" s="14"/>
      <c r="K842" s="14"/>
      <c r="L842" s="14"/>
      <c r="M842" s="14"/>
    </row>
    <row r="843" spans="1:13" x14ac:dyDescent="0.25">
      <c r="A843" s="14"/>
      <c r="B843" s="14"/>
      <c r="C843" s="14"/>
      <c r="D843" s="92"/>
      <c r="E843" s="14"/>
      <c r="F843" s="14"/>
      <c r="G843" s="14"/>
      <c r="H843" s="14"/>
      <c r="I843" s="67"/>
      <c r="J843" s="14"/>
      <c r="K843" s="14"/>
      <c r="L843" s="14"/>
      <c r="M843" s="14"/>
    </row>
    <row r="844" spans="1:13" x14ac:dyDescent="0.25">
      <c r="A844" s="14"/>
      <c r="B844" s="14"/>
      <c r="C844" s="14"/>
      <c r="D844" s="92"/>
      <c r="E844" s="14"/>
      <c r="F844" s="14"/>
      <c r="G844" s="14"/>
      <c r="H844" s="14"/>
      <c r="I844" s="67"/>
      <c r="J844" s="14"/>
      <c r="K844" s="14"/>
      <c r="L844" s="14"/>
      <c r="M844" s="14"/>
    </row>
    <row r="845" spans="1:13" x14ac:dyDescent="0.25">
      <c r="A845" s="14"/>
      <c r="B845" s="14"/>
      <c r="C845" s="14"/>
      <c r="D845" s="92"/>
      <c r="E845" s="14"/>
      <c r="F845" s="14"/>
      <c r="G845" s="14"/>
      <c r="H845" s="14"/>
      <c r="I845" s="67"/>
      <c r="J845" s="14"/>
      <c r="K845" s="14"/>
      <c r="L845" s="14"/>
      <c r="M845" s="14"/>
    </row>
    <row r="846" spans="1:13" x14ac:dyDescent="0.25">
      <c r="A846" s="14"/>
      <c r="B846" s="14"/>
      <c r="C846" s="14"/>
      <c r="D846" s="92"/>
      <c r="E846" s="14"/>
      <c r="F846" s="14"/>
      <c r="G846" s="14"/>
      <c r="H846" s="14"/>
      <c r="I846" s="67"/>
      <c r="J846" s="14"/>
      <c r="K846" s="14"/>
      <c r="L846" s="14"/>
      <c r="M846" s="14"/>
    </row>
    <row r="847" spans="1:13" x14ac:dyDescent="0.25">
      <c r="A847" s="14"/>
      <c r="B847" s="14"/>
      <c r="C847" s="14"/>
      <c r="D847" s="92"/>
      <c r="E847" s="14"/>
      <c r="F847" s="14"/>
      <c r="G847" s="14"/>
      <c r="H847" s="14"/>
      <c r="I847" s="67"/>
      <c r="J847" s="14"/>
      <c r="K847" s="14"/>
      <c r="L847" s="14"/>
      <c r="M847" s="14"/>
    </row>
    <row r="848" spans="1:13" x14ac:dyDescent="0.25">
      <c r="A848" s="14"/>
      <c r="B848" s="14"/>
      <c r="C848" s="14"/>
      <c r="D848" s="92"/>
      <c r="E848" s="14"/>
      <c r="F848" s="14"/>
      <c r="G848" s="14"/>
      <c r="H848" s="14"/>
      <c r="I848" s="67"/>
      <c r="J848" s="14"/>
      <c r="K848" s="14"/>
      <c r="L848" s="14"/>
      <c r="M848" s="14"/>
    </row>
    <row r="849" spans="1:13" x14ac:dyDescent="0.25">
      <c r="A849" s="14"/>
      <c r="B849" s="14"/>
      <c r="C849" s="14"/>
      <c r="D849" s="92"/>
      <c r="E849" s="14"/>
      <c r="F849" s="14"/>
      <c r="G849" s="14"/>
      <c r="H849" s="14"/>
      <c r="I849" s="67"/>
      <c r="J849" s="14"/>
      <c r="K849" s="14"/>
      <c r="L849" s="14"/>
      <c r="M849" s="14"/>
    </row>
    <row r="850" spans="1:13" x14ac:dyDescent="0.25">
      <c r="A850" s="14"/>
      <c r="B850" s="14"/>
      <c r="C850" s="14"/>
      <c r="D850" s="92"/>
      <c r="E850" s="14"/>
      <c r="F850" s="14"/>
      <c r="G850" s="14"/>
      <c r="H850" s="14"/>
      <c r="I850" s="67"/>
      <c r="J850" s="14"/>
      <c r="K850" s="14"/>
      <c r="L850" s="14"/>
      <c r="M850" s="14"/>
    </row>
    <row r="851" spans="1:13" x14ac:dyDescent="0.25">
      <c r="A851" s="14"/>
      <c r="B851" s="14"/>
      <c r="C851" s="14"/>
      <c r="D851" s="92"/>
      <c r="E851" s="14"/>
      <c r="F851" s="14"/>
      <c r="G851" s="14"/>
      <c r="H851" s="14"/>
      <c r="I851" s="67"/>
      <c r="J851" s="14"/>
      <c r="K851" s="14"/>
      <c r="L851" s="14"/>
      <c r="M851" s="14"/>
    </row>
    <row r="852" spans="1:13" x14ac:dyDescent="0.25">
      <c r="A852" s="14"/>
      <c r="B852" s="14"/>
      <c r="C852" s="14"/>
      <c r="D852" s="92"/>
      <c r="E852" s="14"/>
      <c r="F852" s="14"/>
      <c r="G852" s="14"/>
      <c r="H852" s="14"/>
      <c r="I852" s="67"/>
      <c r="J852" s="14"/>
      <c r="K852" s="14"/>
      <c r="L852" s="14"/>
      <c r="M852" s="14"/>
    </row>
    <row r="853" spans="1:13" x14ac:dyDescent="0.25">
      <c r="A853" s="14"/>
      <c r="B853" s="14"/>
      <c r="C853" s="14"/>
      <c r="D853" s="92"/>
      <c r="E853" s="14"/>
      <c r="F853" s="14"/>
      <c r="G853" s="14"/>
      <c r="H853" s="14"/>
      <c r="I853" s="67"/>
      <c r="J853" s="14"/>
      <c r="K853" s="14"/>
      <c r="L853" s="14"/>
      <c r="M853" s="14"/>
    </row>
    <row r="854" spans="1:13" x14ac:dyDescent="0.25">
      <c r="A854" s="14"/>
      <c r="B854" s="14"/>
      <c r="C854" s="14"/>
      <c r="D854" s="92"/>
      <c r="E854" s="14"/>
      <c r="F854" s="14"/>
      <c r="G854" s="14"/>
      <c r="H854" s="14"/>
      <c r="I854" s="67"/>
      <c r="J854" s="14"/>
      <c r="K854" s="14"/>
      <c r="L854" s="14"/>
      <c r="M854" s="14"/>
    </row>
    <row r="855" spans="1:13" x14ac:dyDescent="0.25">
      <c r="A855" s="14"/>
      <c r="B855" s="14"/>
      <c r="C855" s="14"/>
      <c r="D855" s="92"/>
      <c r="E855" s="14"/>
      <c r="F855" s="14"/>
      <c r="G855" s="14"/>
      <c r="H855" s="14"/>
      <c r="I855" s="67"/>
      <c r="J855" s="14"/>
      <c r="K855" s="14"/>
      <c r="L855" s="14"/>
      <c r="M855" s="14"/>
    </row>
    <row r="856" spans="1:13" x14ac:dyDescent="0.25">
      <c r="A856" s="14"/>
      <c r="B856" s="14"/>
      <c r="C856" s="14"/>
      <c r="D856" s="92"/>
      <c r="E856" s="14"/>
      <c r="F856" s="14"/>
      <c r="G856" s="14"/>
      <c r="H856" s="14"/>
      <c r="I856" s="67"/>
      <c r="J856" s="14"/>
      <c r="K856" s="14"/>
      <c r="L856" s="14"/>
      <c r="M856" s="14"/>
    </row>
    <row r="857" spans="1:13" x14ac:dyDescent="0.25">
      <c r="A857" s="14"/>
      <c r="B857" s="14"/>
      <c r="C857" s="14"/>
      <c r="D857" s="92"/>
      <c r="E857" s="14"/>
      <c r="F857" s="14"/>
      <c r="G857" s="14"/>
      <c r="H857" s="14"/>
      <c r="I857" s="67"/>
      <c r="J857" s="14"/>
      <c r="K857" s="14"/>
      <c r="L857" s="14"/>
      <c r="M857" s="14"/>
    </row>
    <row r="858" spans="1:13" x14ac:dyDescent="0.25">
      <c r="A858" s="14"/>
      <c r="B858" s="14"/>
      <c r="C858" s="14"/>
      <c r="D858" s="92"/>
      <c r="E858" s="14"/>
      <c r="F858" s="14"/>
      <c r="G858" s="14"/>
      <c r="H858" s="14"/>
      <c r="I858" s="67"/>
      <c r="J858" s="14"/>
      <c r="K858" s="14"/>
      <c r="L858" s="14"/>
      <c r="M858" s="14"/>
    </row>
    <row r="859" spans="1:13" x14ac:dyDescent="0.25">
      <c r="A859" s="14"/>
      <c r="B859" s="14"/>
      <c r="C859" s="14"/>
      <c r="D859" s="92"/>
      <c r="E859" s="14"/>
      <c r="F859" s="14"/>
      <c r="G859" s="14"/>
      <c r="H859" s="14"/>
      <c r="I859" s="67"/>
      <c r="J859" s="14"/>
      <c r="K859" s="14"/>
      <c r="L859" s="14"/>
      <c r="M859" s="14"/>
    </row>
    <row r="860" spans="1:13" x14ac:dyDescent="0.25">
      <c r="A860" s="14"/>
      <c r="B860" s="14"/>
      <c r="C860" s="14"/>
      <c r="D860" s="92"/>
      <c r="E860" s="14"/>
      <c r="F860" s="14"/>
      <c r="G860" s="14"/>
      <c r="H860" s="14"/>
      <c r="I860" s="67"/>
      <c r="J860" s="14"/>
      <c r="K860" s="14"/>
      <c r="L860" s="14"/>
      <c r="M860" s="14"/>
    </row>
    <row r="861" spans="1:13" x14ac:dyDescent="0.25">
      <c r="A861" s="14"/>
      <c r="B861" s="14"/>
      <c r="C861" s="14"/>
      <c r="D861" s="92"/>
      <c r="E861" s="14"/>
      <c r="F861" s="14"/>
      <c r="G861" s="14"/>
      <c r="H861" s="14"/>
      <c r="I861" s="67"/>
      <c r="J861" s="14"/>
      <c r="K861" s="14"/>
      <c r="L861" s="14"/>
      <c r="M861" s="14"/>
    </row>
    <row r="862" spans="1:13" x14ac:dyDescent="0.25">
      <c r="A862" s="14"/>
      <c r="B862" s="14"/>
      <c r="C862" s="14"/>
      <c r="D862" s="92"/>
      <c r="E862" s="14"/>
      <c r="F862" s="14"/>
      <c r="G862" s="14"/>
      <c r="H862" s="14"/>
      <c r="I862" s="67"/>
      <c r="J862" s="14"/>
      <c r="K862" s="14"/>
      <c r="L862" s="14"/>
      <c r="M862" s="14"/>
    </row>
    <row r="863" spans="1:13" x14ac:dyDescent="0.25">
      <c r="A863" s="14"/>
      <c r="B863" s="14"/>
      <c r="C863" s="14"/>
      <c r="D863" s="92"/>
      <c r="E863" s="14"/>
      <c r="F863" s="14"/>
      <c r="G863" s="14"/>
      <c r="H863" s="14"/>
      <c r="I863" s="67"/>
      <c r="J863" s="14"/>
      <c r="K863" s="14"/>
      <c r="L863" s="14"/>
      <c r="M863" s="14"/>
    </row>
    <row r="864" spans="1:13" x14ac:dyDescent="0.25">
      <c r="A864" s="14"/>
      <c r="B864" s="14"/>
      <c r="C864" s="14"/>
      <c r="D864" s="92"/>
      <c r="E864" s="14"/>
      <c r="F864" s="14"/>
      <c r="G864" s="14"/>
      <c r="H864" s="14"/>
      <c r="I864" s="67"/>
      <c r="J864" s="14"/>
      <c r="K864" s="14"/>
      <c r="L864" s="14"/>
      <c r="M864" s="14"/>
    </row>
    <row r="865" spans="1:13" x14ac:dyDescent="0.25">
      <c r="A865" s="14"/>
      <c r="B865" s="14"/>
      <c r="C865" s="14"/>
      <c r="D865" s="92"/>
      <c r="E865" s="14"/>
      <c r="F865" s="14"/>
      <c r="G865" s="14"/>
      <c r="H865" s="14"/>
      <c r="I865" s="67"/>
      <c r="J865" s="14"/>
      <c r="K865" s="14"/>
      <c r="L865" s="14"/>
      <c r="M865" s="14"/>
    </row>
    <row r="866" spans="1:13" x14ac:dyDescent="0.25">
      <c r="A866" s="14"/>
      <c r="B866" s="14"/>
      <c r="C866" s="14"/>
      <c r="D866" s="92"/>
      <c r="E866" s="14"/>
      <c r="F866" s="14"/>
      <c r="G866" s="14"/>
      <c r="H866" s="14"/>
      <c r="I866" s="67"/>
      <c r="J866" s="14"/>
      <c r="K866" s="14"/>
      <c r="L866" s="14"/>
      <c r="M866" s="14"/>
    </row>
    <row r="867" spans="1:13" x14ac:dyDescent="0.25">
      <c r="A867" s="14"/>
      <c r="B867" s="14"/>
      <c r="C867" s="14"/>
      <c r="D867" s="92"/>
      <c r="E867" s="14"/>
      <c r="F867" s="14"/>
      <c r="G867" s="14"/>
      <c r="H867" s="14"/>
      <c r="I867" s="67"/>
      <c r="J867" s="14"/>
      <c r="K867" s="14"/>
      <c r="L867" s="14"/>
      <c r="M867" s="14"/>
    </row>
    <row r="868" spans="1:13" x14ac:dyDescent="0.25">
      <c r="A868" s="14"/>
      <c r="B868" s="14"/>
      <c r="C868" s="14"/>
      <c r="D868" s="92"/>
      <c r="E868" s="14"/>
      <c r="F868" s="14"/>
      <c r="G868" s="14"/>
      <c r="H868" s="14"/>
      <c r="I868" s="67"/>
      <c r="J868" s="14"/>
      <c r="K868" s="14"/>
      <c r="L868" s="14"/>
      <c r="M868" s="14"/>
    </row>
    <row r="869" spans="1:13" x14ac:dyDescent="0.25">
      <c r="A869" s="14"/>
      <c r="B869" s="14"/>
      <c r="C869" s="14"/>
      <c r="D869" s="92"/>
      <c r="E869" s="14"/>
      <c r="F869" s="14"/>
      <c r="G869" s="14"/>
      <c r="H869" s="14"/>
      <c r="I869" s="67"/>
      <c r="J869" s="14"/>
      <c r="K869" s="14"/>
      <c r="L869" s="14"/>
      <c r="M869" s="14"/>
    </row>
    <row r="870" spans="1:13" x14ac:dyDescent="0.25">
      <c r="A870" s="14"/>
      <c r="B870" s="14"/>
      <c r="C870" s="14"/>
      <c r="D870" s="92"/>
      <c r="E870" s="14"/>
      <c r="F870" s="14"/>
      <c r="G870" s="14"/>
      <c r="H870" s="14"/>
      <c r="I870" s="67"/>
      <c r="J870" s="14"/>
      <c r="K870" s="14"/>
      <c r="L870" s="14"/>
      <c r="M870" s="14"/>
    </row>
    <row r="871" spans="1:13" x14ac:dyDescent="0.25">
      <c r="A871" s="14"/>
      <c r="B871" s="14"/>
      <c r="C871" s="14"/>
      <c r="D871" s="92"/>
      <c r="E871" s="14"/>
      <c r="F871" s="14"/>
      <c r="G871" s="14"/>
      <c r="H871" s="14"/>
      <c r="I871" s="67"/>
      <c r="J871" s="14"/>
      <c r="K871" s="14"/>
      <c r="L871" s="14"/>
      <c r="M871" s="14"/>
    </row>
    <row r="872" spans="1:13" x14ac:dyDescent="0.25">
      <c r="A872" s="14"/>
      <c r="B872" s="14"/>
      <c r="C872" s="14"/>
      <c r="D872" s="92"/>
      <c r="E872" s="14"/>
      <c r="F872" s="14"/>
      <c r="G872" s="14"/>
      <c r="H872" s="14"/>
      <c r="I872" s="67"/>
      <c r="J872" s="14"/>
      <c r="K872" s="14"/>
      <c r="L872" s="14"/>
      <c r="M872" s="14"/>
    </row>
    <row r="873" spans="1:13" x14ac:dyDescent="0.25">
      <c r="A873" s="14"/>
      <c r="B873" s="14"/>
      <c r="C873" s="14"/>
      <c r="D873" s="92"/>
      <c r="E873" s="14"/>
      <c r="F873" s="14"/>
      <c r="G873" s="14"/>
      <c r="H873" s="14"/>
      <c r="I873" s="67"/>
      <c r="J873" s="14"/>
      <c r="K873" s="14"/>
      <c r="L873" s="14"/>
      <c r="M873" s="14"/>
    </row>
    <row r="874" spans="1:13" x14ac:dyDescent="0.25">
      <c r="A874" s="14"/>
      <c r="B874" s="14"/>
      <c r="C874" s="14"/>
      <c r="D874" s="92"/>
      <c r="E874" s="14"/>
      <c r="F874" s="14"/>
      <c r="G874" s="14"/>
      <c r="H874" s="14"/>
      <c r="I874" s="67"/>
      <c r="J874" s="14"/>
      <c r="K874" s="14"/>
      <c r="L874" s="14"/>
      <c r="M874" s="14"/>
    </row>
    <row r="875" spans="1:13" x14ac:dyDescent="0.25">
      <c r="A875" s="14"/>
      <c r="B875" s="14"/>
      <c r="C875" s="14"/>
      <c r="D875" s="92"/>
      <c r="E875" s="14"/>
      <c r="F875" s="14"/>
      <c r="G875" s="14"/>
      <c r="H875" s="14"/>
      <c r="I875" s="67"/>
      <c r="J875" s="14"/>
      <c r="K875" s="14"/>
      <c r="L875" s="14"/>
      <c r="M875" s="14"/>
    </row>
    <row r="876" spans="1:13" x14ac:dyDescent="0.25">
      <c r="A876" s="14"/>
      <c r="B876" s="14"/>
      <c r="C876" s="14"/>
      <c r="D876" s="92"/>
      <c r="E876" s="14"/>
      <c r="F876" s="14"/>
      <c r="G876" s="14"/>
      <c r="H876" s="14"/>
      <c r="I876" s="67"/>
      <c r="J876" s="14"/>
      <c r="K876" s="14"/>
      <c r="L876" s="14"/>
      <c r="M876" s="14"/>
    </row>
    <row r="877" spans="1:13" x14ac:dyDescent="0.25">
      <c r="A877" s="14"/>
      <c r="B877" s="14"/>
      <c r="C877" s="14"/>
      <c r="D877" s="92"/>
      <c r="E877" s="14"/>
      <c r="F877" s="14"/>
      <c r="G877" s="14"/>
      <c r="H877" s="14"/>
      <c r="I877" s="67"/>
      <c r="J877" s="14"/>
      <c r="K877" s="14"/>
      <c r="L877" s="14"/>
      <c r="M877" s="14"/>
    </row>
    <row r="878" spans="1:13" x14ac:dyDescent="0.25">
      <c r="A878" s="14"/>
      <c r="B878" s="14"/>
      <c r="C878" s="14"/>
      <c r="D878" s="92"/>
      <c r="E878" s="14"/>
      <c r="F878" s="14"/>
      <c r="G878" s="14"/>
      <c r="H878" s="14"/>
      <c r="I878" s="67"/>
      <c r="J878" s="14"/>
      <c r="K878" s="14"/>
      <c r="L878" s="14"/>
      <c r="M878" s="14"/>
    </row>
    <row r="879" spans="1:13" x14ac:dyDescent="0.25">
      <c r="A879" s="14"/>
      <c r="B879" s="14"/>
      <c r="C879" s="14"/>
      <c r="D879" s="92"/>
      <c r="E879" s="14"/>
      <c r="F879" s="14"/>
      <c r="G879" s="14"/>
      <c r="H879" s="14"/>
      <c r="I879" s="67"/>
      <c r="J879" s="14"/>
      <c r="K879" s="14"/>
      <c r="L879" s="14"/>
      <c r="M879" s="14"/>
    </row>
    <row r="880" spans="1:13" x14ac:dyDescent="0.25">
      <c r="A880" s="14"/>
      <c r="B880" s="14"/>
      <c r="C880" s="14"/>
      <c r="D880" s="92"/>
      <c r="E880" s="14"/>
      <c r="F880" s="14"/>
      <c r="G880" s="14"/>
      <c r="H880" s="14"/>
      <c r="I880" s="67"/>
      <c r="J880" s="14"/>
      <c r="K880" s="14"/>
      <c r="L880" s="14"/>
      <c r="M880" s="14"/>
    </row>
    <row r="881" spans="1:13" x14ac:dyDescent="0.25">
      <c r="A881" s="14"/>
      <c r="B881" s="14"/>
      <c r="C881" s="14"/>
      <c r="D881" s="92"/>
      <c r="E881" s="14"/>
      <c r="F881" s="14"/>
      <c r="G881" s="14"/>
      <c r="H881" s="14"/>
      <c r="I881" s="67"/>
      <c r="J881" s="14"/>
      <c r="K881" s="14"/>
      <c r="L881" s="14"/>
      <c r="M881" s="14"/>
    </row>
    <row r="882" spans="1:13" x14ac:dyDescent="0.25">
      <c r="A882" s="14"/>
      <c r="B882" s="14"/>
      <c r="C882" s="14"/>
      <c r="D882" s="92"/>
      <c r="E882" s="14"/>
      <c r="F882" s="14"/>
      <c r="G882" s="14"/>
      <c r="H882" s="14"/>
      <c r="I882" s="67"/>
      <c r="J882" s="14"/>
      <c r="K882" s="14"/>
      <c r="L882" s="14"/>
      <c r="M882" s="14"/>
    </row>
    <row r="883" spans="1:13" x14ac:dyDescent="0.25">
      <c r="A883" s="14"/>
      <c r="B883" s="14"/>
      <c r="C883" s="14"/>
      <c r="D883" s="92"/>
      <c r="E883" s="14"/>
      <c r="F883" s="14"/>
      <c r="G883" s="14"/>
      <c r="H883" s="14"/>
      <c r="I883" s="67"/>
      <c r="J883" s="14"/>
      <c r="K883" s="14"/>
      <c r="L883" s="14"/>
      <c r="M883" s="14"/>
    </row>
    <row r="884" spans="1:13" x14ac:dyDescent="0.25">
      <c r="A884" s="14"/>
      <c r="B884" s="14"/>
      <c r="C884" s="14"/>
      <c r="D884" s="92"/>
      <c r="E884" s="14"/>
      <c r="F884" s="14"/>
      <c r="G884" s="14"/>
      <c r="H884" s="14"/>
      <c r="I884" s="67"/>
      <c r="J884" s="14"/>
      <c r="K884" s="14"/>
      <c r="L884" s="14"/>
      <c r="M884" s="14"/>
    </row>
    <row r="885" spans="1:13" x14ac:dyDescent="0.25">
      <c r="A885" s="14"/>
      <c r="B885" s="14"/>
      <c r="C885" s="14"/>
      <c r="D885" s="92"/>
      <c r="E885" s="14"/>
      <c r="F885" s="14"/>
      <c r="G885" s="14"/>
      <c r="H885" s="14"/>
      <c r="I885" s="67"/>
      <c r="J885" s="14"/>
      <c r="K885" s="14"/>
      <c r="L885" s="14"/>
      <c r="M885" s="14"/>
    </row>
    <row r="886" spans="1:13" x14ac:dyDescent="0.25">
      <c r="A886" s="14"/>
      <c r="B886" s="14"/>
      <c r="C886" s="14"/>
      <c r="D886" s="92"/>
      <c r="E886" s="14"/>
      <c r="F886" s="14"/>
      <c r="G886" s="14"/>
      <c r="H886" s="14"/>
      <c r="I886" s="67"/>
      <c r="J886" s="14"/>
      <c r="K886" s="14"/>
      <c r="L886" s="14"/>
      <c r="M886" s="14"/>
    </row>
    <row r="887" spans="1:13" x14ac:dyDescent="0.25">
      <c r="A887" s="14"/>
      <c r="B887" s="14"/>
      <c r="C887" s="14"/>
      <c r="D887" s="92"/>
      <c r="E887" s="14"/>
      <c r="F887" s="14"/>
      <c r="G887" s="14"/>
      <c r="H887" s="14"/>
      <c r="I887" s="67"/>
      <c r="J887" s="14"/>
      <c r="K887" s="14"/>
      <c r="L887" s="14"/>
      <c r="M887" s="14"/>
    </row>
    <row r="888" spans="1:13" x14ac:dyDescent="0.25">
      <c r="A888" s="14"/>
      <c r="B888" s="14"/>
      <c r="C888" s="14"/>
      <c r="D888" s="92"/>
      <c r="E888" s="14"/>
      <c r="F888" s="14"/>
      <c r="G888" s="14"/>
      <c r="H888" s="14"/>
      <c r="I888" s="67"/>
      <c r="J888" s="14"/>
      <c r="K888" s="14"/>
      <c r="L888" s="14"/>
      <c r="M888" s="14"/>
    </row>
    <row r="889" spans="1:13" x14ac:dyDescent="0.25">
      <c r="A889" s="14"/>
      <c r="B889" s="14"/>
      <c r="C889" s="14"/>
      <c r="D889" s="92"/>
      <c r="E889" s="14"/>
      <c r="F889" s="14"/>
      <c r="G889" s="14"/>
      <c r="H889" s="14"/>
      <c r="I889" s="67"/>
      <c r="J889" s="14"/>
      <c r="K889" s="14"/>
      <c r="L889" s="14"/>
      <c r="M889" s="14"/>
    </row>
    <row r="890" spans="1:13" x14ac:dyDescent="0.25">
      <c r="A890" s="14"/>
      <c r="B890" s="14"/>
      <c r="C890" s="14"/>
      <c r="D890" s="92"/>
      <c r="E890" s="14"/>
      <c r="F890" s="14"/>
      <c r="G890" s="14"/>
      <c r="H890" s="14"/>
      <c r="I890" s="67"/>
      <c r="J890" s="14"/>
      <c r="K890" s="14"/>
      <c r="L890" s="14"/>
      <c r="M890" s="14"/>
    </row>
    <row r="891" spans="1:13" x14ac:dyDescent="0.25">
      <c r="A891" s="14"/>
      <c r="B891" s="14"/>
      <c r="C891" s="14"/>
      <c r="D891" s="92"/>
      <c r="E891" s="14"/>
      <c r="F891" s="14"/>
      <c r="G891" s="14"/>
      <c r="H891" s="14"/>
      <c r="I891" s="67"/>
      <c r="J891" s="14"/>
      <c r="K891" s="14"/>
      <c r="L891" s="14"/>
      <c r="M891" s="14"/>
    </row>
    <row r="892" spans="1:13" x14ac:dyDescent="0.25">
      <c r="A892" s="14"/>
      <c r="B892" s="14"/>
      <c r="C892" s="14"/>
      <c r="D892" s="92"/>
      <c r="E892" s="14"/>
      <c r="F892" s="14"/>
      <c r="G892" s="14"/>
      <c r="H892" s="14"/>
      <c r="I892" s="67"/>
      <c r="J892" s="14"/>
      <c r="K892" s="14"/>
      <c r="L892" s="14"/>
      <c r="M892" s="14"/>
    </row>
    <row r="893" spans="1:13" x14ac:dyDescent="0.25">
      <c r="A893" s="14"/>
      <c r="B893" s="14"/>
      <c r="C893" s="14"/>
      <c r="D893" s="92"/>
      <c r="E893" s="14"/>
      <c r="F893" s="14"/>
      <c r="G893" s="14"/>
      <c r="H893" s="14"/>
      <c r="I893" s="67"/>
      <c r="J893" s="14"/>
      <c r="K893" s="14"/>
      <c r="L893" s="14"/>
      <c r="M893" s="14"/>
    </row>
    <row r="894" spans="1:13" x14ac:dyDescent="0.25">
      <c r="A894" s="14"/>
      <c r="B894" s="14"/>
      <c r="C894" s="14"/>
      <c r="D894" s="92"/>
      <c r="E894" s="14"/>
      <c r="F894" s="14"/>
      <c r="G894" s="14"/>
      <c r="H894" s="14"/>
      <c r="I894" s="67"/>
      <c r="J894" s="14"/>
      <c r="K894" s="14"/>
      <c r="L894" s="14"/>
      <c r="M894" s="14"/>
    </row>
    <row r="895" spans="1:13" x14ac:dyDescent="0.25">
      <c r="A895" s="14"/>
      <c r="B895" s="14"/>
      <c r="C895" s="14"/>
      <c r="D895" s="92"/>
      <c r="E895" s="14"/>
      <c r="F895" s="14"/>
      <c r="G895" s="14"/>
      <c r="H895" s="14"/>
      <c r="I895" s="67"/>
      <c r="J895" s="14"/>
      <c r="K895" s="14"/>
      <c r="L895" s="14"/>
      <c r="M895" s="14"/>
    </row>
    <row r="896" spans="1:13" x14ac:dyDescent="0.25">
      <c r="A896" s="14"/>
      <c r="B896" s="14"/>
      <c r="C896" s="14"/>
      <c r="D896" s="92"/>
      <c r="E896" s="14"/>
      <c r="F896" s="14"/>
      <c r="G896" s="14"/>
      <c r="H896" s="14"/>
      <c r="I896" s="67"/>
      <c r="J896" s="14"/>
      <c r="K896" s="14"/>
      <c r="L896" s="14"/>
      <c r="M896" s="14"/>
    </row>
    <row r="897" spans="1:13" x14ac:dyDescent="0.25">
      <c r="A897" s="14"/>
      <c r="B897" s="14"/>
      <c r="C897" s="14"/>
      <c r="D897" s="92"/>
      <c r="E897" s="14"/>
      <c r="F897" s="14"/>
      <c r="G897" s="14"/>
      <c r="H897" s="14"/>
      <c r="I897" s="67"/>
      <c r="J897" s="14"/>
      <c r="K897" s="14"/>
      <c r="L897" s="14"/>
      <c r="M897" s="14"/>
    </row>
    <row r="898" spans="1:13" x14ac:dyDescent="0.25">
      <c r="A898" s="14"/>
      <c r="B898" s="14"/>
      <c r="C898" s="14"/>
      <c r="D898" s="92"/>
      <c r="E898" s="14"/>
      <c r="F898" s="14"/>
      <c r="G898" s="14"/>
      <c r="H898" s="14"/>
      <c r="I898" s="67"/>
      <c r="J898" s="14"/>
      <c r="K898" s="14"/>
      <c r="L898" s="14"/>
      <c r="M898" s="14"/>
    </row>
    <row r="899" spans="1:13" x14ac:dyDescent="0.25">
      <c r="A899" s="14"/>
      <c r="B899" s="14"/>
      <c r="C899" s="14"/>
      <c r="D899" s="92"/>
      <c r="E899" s="14"/>
      <c r="F899" s="14"/>
      <c r="G899" s="14"/>
      <c r="H899" s="14"/>
      <c r="I899" s="67"/>
      <c r="J899" s="14"/>
      <c r="K899" s="14"/>
      <c r="L899" s="14"/>
      <c r="M899" s="14"/>
    </row>
    <row r="900" spans="1:13" x14ac:dyDescent="0.25">
      <c r="A900" s="14"/>
      <c r="B900" s="14"/>
      <c r="C900" s="14"/>
      <c r="D900" s="92"/>
      <c r="E900" s="14"/>
      <c r="F900" s="14"/>
      <c r="G900" s="14"/>
      <c r="H900" s="14"/>
      <c r="I900" s="67"/>
      <c r="J900" s="14"/>
      <c r="K900" s="14"/>
      <c r="L900" s="14"/>
      <c r="M900" s="14"/>
    </row>
    <row r="901" spans="1:13" x14ac:dyDescent="0.25">
      <c r="A901" s="14"/>
      <c r="B901" s="14"/>
      <c r="C901" s="14"/>
      <c r="D901" s="92"/>
      <c r="E901" s="14"/>
      <c r="F901" s="14"/>
      <c r="G901" s="14"/>
      <c r="H901" s="14"/>
      <c r="I901" s="67"/>
      <c r="J901" s="14"/>
      <c r="K901" s="14"/>
      <c r="L901" s="14"/>
      <c r="M901" s="14"/>
    </row>
    <row r="902" spans="1:13" x14ac:dyDescent="0.25">
      <c r="A902" s="14"/>
      <c r="B902" s="14"/>
      <c r="C902" s="14"/>
      <c r="D902" s="92"/>
      <c r="E902" s="14"/>
      <c r="F902" s="14"/>
      <c r="G902" s="14"/>
      <c r="H902" s="14"/>
      <c r="I902" s="67"/>
      <c r="J902" s="14"/>
      <c r="K902" s="14"/>
      <c r="L902" s="14"/>
      <c r="M902" s="14"/>
    </row>
    <row r="903" spans="1:13" x14ac:dyDescent="0.25">
      <c r="A903" s="14"/>
      <c r="B903" s="14"/>
      <c r="C903" s="14"/>
      <c r="D903" s="92"/>
      <c r="E903" s="14"/>
      <c r="F903" s="14"/>
      <c r="G903" s="14"/>
      <c r="H903" s="14"/>
      <c r="I903" s="67"/>
      <c r="J903" s="14"/>
      <c r="K903" s="14"/>
      <c r="L903" s="14"/>
      <c r="M903" s="14"/>
    </row>
    <row r="904" spans="1:13" x14ac:dyDescent="0.25">
      <c r="A904" s="14"/>
      <c r="B904" s="14"/>
      <c r="C904" s="14"/>
      <c r="D904" s="92"/>
      <c r="E904" s="14"/>
      <c r="F904" s="14"/>
      <c r="G904" s="14"/>
      <c r="H904" s="14"/>
      <c r="I904" s="67"/>
      <c r="J904" s="14"/>
      <c r="K904" s="14"/>
      <c r="L904" s="14"/>
      <c r="M904" s="14"/>
    </row>
    <row r="905" spans="1:13" x14ac:dyDescent="0.25">
      <c r="A905" s="14"/>
      <c r="B905" s="14"/>
      <c r="C905" s="14"/>
      <c r="D905" s="92"/>
      <c r="E905" s="14"/>
      <c r="F905" s="14"/>
      <c r="G905" s="14"/>
      <c r="H905" s="14"/>
      <c r="I905" s="67"/>
      <c r="J905" s="14"/>
      <c r="K905" s="14"/>
      <c r="L905" s="14"/>
      <c r="M905" s="14"/>
    </row>
    <row r="906" spans="1:13" x14ac:dyDescent="0.25">
      <c r="A906" s="14"/>
      <c r="B906" s="14"/>
      <c r="C906" s="14"/>
      <c r="D906" s="92"/>
      <c r="E906" s="14"/>
      <c r="F906" s="14"/>
      <c r="G906" s="14"/>
      <c r="H906" s="14"/>
      <c r="I906" s="67"/>
      <c r="J906" s="14"/>
      <c r="K906" s="14"/>
      <c r="L906" s="14"/>
      <c r="M906" s="14"/>
    </row>
    <row r="907" spans="1:13" x14ac:dyDescent="0.25">
      <c r="A907" s="14"/>
      <c r="B907" s="14"/>
      <c r="C907" s="14"/>
      <c r="D907" s="92"/>
      <c r="E907" s="14"/>
      <c r="F907" s="14"/>
      <c r="G907" s="14"/>
      <c r="H907" s="14"/>
      <c r="I907" s="67"/>
      <c r="J907" s="14"/>
      <c r="K907" s="14"/>
      <c r="L907" s="14"/>
      <c r="M907" s="14"/>
    </row>
    <row r="908" spans="1:13" x14ac:dyDescent="0.25">
      <c r="A908" s="14"/>
      <c r="B908" s="14"/>
      <c r="C908" s="14"/>
      <c r="D908" s="92"/>
      <c r="E908" s="14"/>
      <c r="F908" s="14"/>
      <c r="G908" s="14"/>
      <c r="H908" s="14"/>
      <c r="I908" s="67"/>
      <c r="J908" s="14"/>
      <c r="K908" s="14"/>
      <c r="L908" s="14"/>
      <c r="M908" s="14"/>
    </row>
    <row r="909" spans="1:13" x14ac:dyDescent="0.25">
      <c r="A909" s="14"/>
      <c r="B909" s="14"/>
      <c r="C909" s="14"/>
      <c r="D909" s="92"/>
      <c r="E909" s="14"/>
      <c r="F909" s="14"/>
      <c r="G909" s="14"/>
      <c r="H909" s="14"/>
      <c r="I909" s="67"/>
      <c r="J909" s="14"/>
      <c r="K909" s="14"/>
      <c r="L909" s="14"/>
      <c r="M909" s="14"/>
    </row>
    <row r="910" spans="1:13" x14ac:dyDescent="0.25">
      <c r="A910" s="14"/>
      <c r="B910" s="14"/>
      <c r="C910" s="14"/>
      <c r="D910" s="92"/>
      <c r="E910" s="14"/>
      <c r="F910" s="14"/>
      <c r="G910" s="14"/>
      <c r="H910" s="14"/>
      <c r="I910" s="67"/>
      <c r="J910" s="14"/>
      <c r="K910" s="14"/>
      <c r="L910" s="14"/>
      <c r="M910" s="14"/>
    </row>
    <row r="911" spans="1:13" x14ac:dyDescent="0.25">
      <c r="A911" s="14"/>
      <c r="B911" s="14"/>
      <c r="C911" s="14"/>
      <c r="D911" s="92"/>
      <c r="E911" s="14"/>
      <c r="F911" s="14"/>
      <c r="G911" s="14"/>
      <c r="H911" s="14"/>
      <c r="I911" s="67"/>
      <c r="J911" s="14"/>
      <c r="K911" s="14"/>
      <c r="L911" s="14"/>
      <c r="M911" s="14"/>
    </row>
    <row r="912" spans="1:13" x14ac:dyDescent="0.25">
      <c r="A912" s="14"/>
      <c r="B912" s="14"/>
      <c r="C912" s="14"/>
      <c r="D912" s="92"/>
      <c r="E912" s="14"/>
      <c r="F912" s="14"/>
      <c r="G912" s="14"/>
      <c r="H912" s="14"/>
      <c r="I912" s="67"/>
      <c r="J912" s="14"/>
      <c r="K912" s="14"/>
      <c r="L912" s="14"/>
      <c r="M912" s="14"/>
    </row>
    <row r="913" spans="1:13" x14ac:dyDescent="0.25">
      <c r="A913" s="14"/>
      <c r="B913" s="14"/>
      <c r="C913" s="14"/>
      <c r="D913" s="92"/>
      <c r="E913" s="14"/>
      <c r="F913" s="14"/>
      <c r="G913" s="14"/>
      <c r="H913" s="14"/>
      <c r="I913" s="67"/>
      <c r="J913" s="14"/>
      <c r="K913" s="14"/>
      <c r="L913" s="14"/>
      <c r="M913" s="14"/>
    </row>
    <row r="914" spans="1:13" x14ac:dyDescent="0.25">
      <c r="A914" s="14"/>
      <c r="B914" s="14"/>
      <c r="C914" s="14"/>
      <c r="D914" s="92"/>
      <c r="E914" s="14"/>
      <c r="F914" s="14"/>
      <c r="G914" s="14"/>
      <c r="H914" s="14"/>
      <c r="I914" s="67"/>
      <c r="J914" s="14"/>
      <c r="K914" s="14"/>
      <c r="L914" s="14"/>
      <c r="M914" s="14"/>
    </row>
    <row r="915" spans="1:13" x14ac:dyDescent="0.25">
      <c r="A915" s="14"/>
      <c r="B915" s="14"/>
      <c r="C915" s="14"/>
      <c r="D915" s="92"/>
      <c r="E915" s="14"/>
      <c r="F915" s="14"/>
      <c r="G915" s="14"/>
      <c r="H915" s="14"/>
      <c r="I915" s="67"/>
      <c r="J915" s="14"/>
      <c r="K915" s="14"/>
      <c r="L915" s="14"/>
      <c r="M915" s="14"/>
    </row>
    <row r="916" spans="1:13" x14ac:dyDescent="0.25">
      <c r="A916" s="14"/>
      <c r="B916" s="14"/>
      <c r="C916" s="14"/>
      <c r="D916" s="92"/>
      <c r="E916" s="14"/>
      <c r="F916" s="14"/>
      <c r="G916" s="14"/>
      <c r="H916" s="14"/>
      <c r="I916" s="67"/>
      <c r="J916" s="14"/>
      <c r="K916" s="14"/>
      <c r="L916" s="14"/>
      <c r="M916" s="14"/>
    </row>
    <row r="917" spans="1:13" x14ac:dyDescent="0.25">
      <c r="A917" s="14"/>
      <c r="B917" s="14"/>
      <c r="C917" s="14"/>
      <c r="D917" s="92"/>
      <c r="E917" s="14"/>
      <c r="F917" s="14"/>
      <c r="G917" s="14"/>
      <c r="H917" s="14"/>
      <c r="I917" s="67"/>
      <c r="J917" s="14"/>
      <c r="K917" s="14"/>
      <c r="L917" s="14"/>
      <c r="M917" s="14"/>
    </row>
    <row r="918" spans="1:13" x14ac:dyDescent="0.25">
      <c r="A918" s="14"/>
      <c r="B918" s="14"/>
      <c r="C918" s="14"/>
      <c r="D918" s="92"/>
      <c r="E918" s="14"/>
      <c r="F918" s="14"/>
      <c r="G918" s="14"/>
      <c r="H918" s="14"/>
      <c r="I918" s="67"/>
      <c r="J918" s="14"/>
      <c r="K918" s="14"/>
      <c r="L918" s="14"/>
      <c r="M918" s="14"/>
    </row>
    <row r="919" spans="1:13" x14ac:dyDescent="0.25">
      <c r="A919" s="14"/>
      <c r="B919" s="14"/>
      <c r="C919" s="14"/>
      <c r="D919" s="92"/>
      <c r="E919" s="14"/>
      <c r="F919" s="14"/>
      <c r="G919" s="14"/>
      <c r="H919" s="14"/>
      <c r="I919" s="67"/>
      <c r="J919" s="14"/>
      <c r="K919" s="14"/>
      <c r="L919" s="14"/>
      <c r="M919" s="14"/>
    </row>
    <row r="920" spans="1:13" x14ac:dyDescent="0.25">
      <c r="A920" s="14"/>
      <c r="B920" s="14"/>
      <c r="C920" s="14"/>
      <c r="D920" s="92"/>
      <c r="E920" s="14"/>
      <c r="F920" s="14"/>
      <c r="G920" s="14"/>
      <c r="H920" s="14"/>
      <c r="I920" s="67"/>
      <c r="J920" s="14"/>
      <c r="K920" s="14"/>
      <c r="L920" s="14"/>
      <c r="M920" s="14"/>
    </row>
    <row r="921" spans="1:13" x14ac:dyDescent="0.25">
      <c r="A921" s="14"/>
      <c r="B921" s="14"/>
      <c r="C921" s="14"/>
      <c r="D921" s="92"/>
      <c r="E921" s="14"/>
      <c r="F921" s="14"/>
      <c r="G921" s="14"/>
      <c r="H921" s="14"/>
      <c r="I921" s="67"/>
      <c r="J921" s="14"/>
      <c r="K921" s="14"/>
      <c r="L921" s="14"/>
      <c r="M921" s="14"/>
    </row>
    <row r="922" spans="1:13" x14ac:dyDescent="0.25">
      <c r="A922" s="14"/>
      <c r="B922" s="14"/>
      <c r="C922" s="14"/>
      <c r="D922" s="92"/>
      <c r="E922" s="14"/>
      <c r="F922" s="14"/>
      <c r="G922" s="14"/>
      <c r="H922" s="14"/>
      <c r="I922" s="67"/>
      <c r="J922" s="14"/>
      <c r="K922" s="14"/>
      <c r="L922" s="14"/>
      <c r="M922" s="14"/>
    </row>
    <row r="923" spans="1:13" x14ac:dyDescent="0.25">
      <c r="A923" s="14"/>
      <c r="B923" s="14"/>
      <c r="C923" s="14"/>
      <c r="D923" s="92"/>
      <c r="E923" s="14"/>
      <c r="F923" s="14"/>
      <c r="G923" s="14"/>
      <c r="H923" s="14"/>
      <c r="I923" s="67"/>
      <c r="J923" s="14"/>
      <c r="K923" s="14"/>
      <c r="L923" s="14"/>
      <c r="M923" s="14"/>
    </row>
    <row r="924" spans="1:13" x14ac:dyDescent="0.25">
      <c r="A924" s="14"/>
      <c r="B924" s="14"/>
      <c r="C924" s="14"/>
      <c r="D924" s="92"/>
      <c r="E924" s="14"/>
      <c r="F924" s="14"/>
      <c r="G924" s="14"/>
      <c r="H924" s="14"/>
      <c r="I924" s="67"/>
      <c r="J924" s="14"/>
      <c r="K924" s="14"/>
      <c r="L924" s="14"/>
      <c r="M924" s="14"/>
    </row>
    <row r="925" spans="1:13" x14ac:dyDescent="0.25">
      <c r="A925" s="14"/>
      <c r="B925" s="14"/>
      <c r="C925" s="14"/>
      <c r="D925" s="92"/>
      <c r="E925" s="14"/>
      <c r="F925" s="14"/>
      <c r="G925" s="14"/>
      <c r="H925" s="14"/>
      <c r="I925" s="67"/>
      <c r="J925" s="14"/>
      <c r="K925" s="14"/>
      <c r="L925" s="14"/>
      <c r="M925" s="14"/>
    </row>
    <row r="926" spans="1:13" x14ac:dyDescent="0.25">
      <c r="A926" s="14"/>
      <c r="B926" s="14"/>
      <c r="C926" s="14"/>
      <c r="D926" s="92"/>
      <c r="E926" s="14"/>
      <c r="F926" s="14"/>
      <c r="G926" s="14"/>
      <c r="H926" s="14"/>
      <c r="I926" s="67"/>
      <c r="J926" s="14"/>
      <c r="K926" s="14"/>
      <c r="L926" s="14"/>
      <c r="M926" s="14"/>
    </row>
    <row r="927" spans="1:13" x14ac:dyDescent="0.25">
      <c r="A927" s="14"/>
      <c r="B927" s="14"/>
      <c r="C927" s="14"/>
      <c r="D927" s="92"/>
      <c r="E927" s="14"/>
      <c r="F927" s="14"/>
      <c r="G927" s="14"/>
      <c r="H927" s="14"/>
      <c r="I927" s="67"/>
      <c r="J927" s="14"/>
      <c r="K927" s="14"/>
      <c r="L927" s="14"/>
      <c r="M927" s="14"/>
    </row>
    <row r="928" spans="1:13" x14ac:dyDescent="0.25">
      <c r="A928" s="14"/>
      <c r="B928" s="14"/>
      <c r="C928" s="14"/>
      <c r="D928" s="92"/>
      <c r="E928" s="14"/>
      <c r="F928" s="14"/>
      <c r="G928" s="14"/>
      <c r="H928" s="14"/>
      <c r="I928" s="67"/>
      <c r="J928" s="14"/>
      <c r="K928" s="14"/>
      <c r="L928" s="14"/>
      <c r="M928" s="14"/>
    </row>
    <row r="929" spans="1:13" x14ac:dyDescent="0.25">
      <c r="A929" s="14"/>
      <c r="B929" s="14"/>
      <c r="C929" s="14"/>
      <c r="D929" s="92"/>
      <c r="E929" s="14"/>
      <c r="F929" s="14"/>
      <c r="G929" s="14"/>
      <c r="H929" s="14"/>
      <c r="I929" s="67"/>
      <c r="J929" s="14"/>
      <c r="K929" s="14"/>
      <c r="L929" s="14"/>
      <c r="M929" s="14"/>
    </row>
    <row r="930" spans="1:13" x14ac:dyDescent="0.25">
      <c r="A930" s="14"/>
      <c r="B930" s="14"/>
      <c r="C930" s="14"/>
      <c r="D930" s="92"/>
      <c r="E930" s="14"/>
      <c r="F930" s="14"/>
      <c r="G930" s="14"/>
      <c r="H930" s="14"/>
      <c r="I930" s="67"/>
      <c r="J930" s="14"/>
      <c r="K930" s="14"/>
      <c r="L930" s="14"/>
      <c r="M930" s="14"/>
    </row>
    <row r="931" spans="1:13" x14ac:dyDescent="0.25">
      <c r="A931" s="14"/>
      <c r="B931" s="14"/>
      <c r="C931" s="14"/>
      <c r="D931" s="92"/>
      <c r="E931" s="14"/>
      <c r="F931" s="14"/>
      <c r="G931" s="14"/>
      <c r="H931" s="14"/>
      <c r="I931" s="67"/>
      <c r="J931" s="14"/>
      <c r="K931" s="14"/>
      <c r="L931" s="14"/>
      <c r="M931" s="14"/>
    </row>
    <row r="932" spans="1:13" x14ac:dyDescent="0.25">
      <c r="A932" s="14"/>
      <c r="B932" s="14"/>
      <c r="C932" s="14"/>
      <c r="D932" s="92"/>
      <c r="E932" s="14"/>
      <c r="F932" s="14"/>
      <c r="G932" s="14"/>
      <c r="H932" s="14"/>
      <c r="I932" s="67"/>
      <c r="J932" s="14"/>
      <c r="K932" s="14"/>
      <c r="L932" s="14"/>
      <c r="M932" s="14"/>
    </row>
    <row r="933" spans="1:13" x14ac:dyDescent="0.25">
      <c r="A933" s="14"/>
      <c r="B933" s="14"/>
      <c r="C933" s="14"/>
      <c r="D933" s="92"/>
      <c r="E933" s="14"/>
      <c r="F933" s="14"/>
      <c r="G933" s="14"/>
      <c r="H933" s="14"/>
      <c r="I933" s="67"/>
      <c r="J933" s="14"/>
      <c r="K933" s="14"/>
      <c r="L933" s="14"/>
      <c r="M933" s="14"/>
    </row>
    <row r="934" spans="1:13" x14ac:dyDescent="0.25">
      <c r="A934" s="14"/>
      <c r="B934" s="14"/>
      <c r="C934" s="14"/>
      <c r="D934" s="92"/>
      <c r="E934" s="14"/>
      <c r="F934" s="14"/>
      <c r="G934" s="14"/>
      <c r="H934" s="14"/>
      <c r="I934" s="67"/>
      <c r="J934" s="14"/>
      <c r="K934" s="14"/>
      <c r="L934" s="14"/>
      <c r="M934" s="14"/>
    </row>
    <row r="935" spans="1:13" x14ac:dyDescent="0.25">
      <c r="A935" s="14"/>
      <c r="B935" s="14"/>
      <c r="C935" s="14"/>
      <c r="D935" s="92"/>
      <c r="E935" s="14"/>
      <c r="F935" s="14"/>
      <c r="G935" s="14"/>
      <c r="H935" s="14"/>
      <c r="I935" s="67"/>
      <c r="J935" s="14"/>
      <c r="K935" s="14"/>
      <c r="L935" s="14"/>
      <c r="M935" s="14"/>
    </row>
    <row r="936" spans="1:13" x14ac:dyDescent="0.25">
      <c r="A936" s="14"/>
      <c r="B936" s="14"/>
      <c r="C936" s="14"/>
      <c r="D936" s="92"/>
      <c r="E936" s="14"/>
      <c r="F936" s="14"/>
      <c r="G936" s="14"/>
      <c r="H936" s="14"/>
      <c r="I936" s="67"/>
      <c r="J936" s="14"/>
      <c r="K936" s="14"/>
      <c r="L936" s="14"/>
      <c r="M936" s="14"/>
    </row>
    <row r="937" spans="1:13" x14ac:dyDescent="0.25">
      <c r="A937" s="14"/>
      <c r="B937" s="14"/>
      <c r="C937" s="14"/>
      <c r="D937" s="92"/>
      <c r="E937" s="14"/>
      <c r="F937" s="14"/>
      <c r="G937" s="14"/>
      <c r="H937" s="14"/>
      <c r="I937" s="67"/>
      <c r="J937" s="14"/>
      <c r="K937" s="14"/>
      <c r="L937" s="14"/>
      <c r="M937" s="14"/>
    </row>
    <row r="938" spans="1:13" x14ac:dyDescent="0.25">
      <c r="A938" s="14"/>
      <c r="B938" s="14"/>
      <c r="C938" s="14"/>
      <c r="D938" s="92"/>
      <c r="E938" s="14"/>
      <c r="F938" s="14"/>
      <c r="G938" s="14"/>
      <c r="H938" s="14"/>
      <c r="I938" s="67"/>
      <c r="J938" s="14"/>
      <c r="K938" s="14"/>
      <c r="L938" s="14"/>
      <c r="M938" s="14"/>
    </row>
    <row r="939" spans="1:13" x14ac:dyDescent="0.25">
      <c r="A939" s="14"/>
      <c r="B939" s="14"/>
      <c r="C939" s="14"/>
      <c r="D939" s="92"/>
      <c r="E939" s="14"/>
      <c r="F939" s="14"/>
      <c r="G939" s="14"/>
      <c r="H939" s="14"/>
      <c r="I939" s="67"/>
      <c r="J939" s="14"/>
      <c r="K939" s="14"/>
      <c r="L939" s="14"/>
      <c r="M939" s="14"/>
    </row>
    <row r="940" spans="1:13" x14ac:dyDescent="0.25">
      <c r="A940" s="14"/>
      <c r="B940" s="14"/>
      <c r="C940" s="14"/>
      <c r="D940" s="92"/>
      <c r="E940" s="14"/>
      <c r="F940" s="14"/>
      <c r="G940" s="14"/>
      <c r="H940" s="14"/>
      <c r="I940" s="67"/>
      <c r="J940" s="14"/>
      <c r="K940" s="14"/>
      <c r="L940" s="14"/>
      <c r="M940" s="14"/>
    </row>
    <row r="941" spans="1:13" x14ac:dyDescent="0.25">
      <c r="A941" s="14"/>
      <c r="B941" s="14"/>
      <c r="C941" s="14"/>
      <c r="D941" s="92"/>
      <c r="E941" s="14"/>
      <c r="F941" s="14"/>
      <c r="G941" s="14"/>
      <c r="H941" s="14"/>
      <c r="I941" s="67"/>
      <c r="J941" s="14"/>
      <c r="K941" s="14"/>
      <c r="L941" s="14"/>
      <c r="M941" s="14"/>
    </row>
    <row r="942" spans="1:13" x14ac:dyDescent="0.25">
      <c r="A942" s="14"/>
      <c r="B942" s="14"/>
      <c r="C942" s="14"/>
      <c r="D942" s="92"/>
      <c r="E942" s="14"/>
      <c r="F942" s="14"/>
      <c r="G942" s="14"/>
      <c r="H942" s="14"/>
      <c r="I942" s="67"/>
      <c r="J942" s="14"/>
      <c r="K942" s="14"/>
      <c r="L942" s="14"/>
      <c r="M942" s="14"/>
    </row>
    <row r="943" spans="1:13" x14ac:dyDescent="0.25">
      <c r="A943" s="14"/>
      <c r="B943" s="14"/>
      <c r="C943" s="14"/>
      <c r="D943" s="92"/>
      <c r="E943" s="14"/>
      <c r="F943" s="14"/>
      <c r="G943" s="14"/>
      <c r="H943" s="14"/>
      <c r="I943" s="67"/>
      <c r="J943" s="14"/>
      <c r="K943" s="14"/>
      <c r="L943" s="14"/>
      <c r="M943" s="14"/>
    </row>
    <row r="944" spans="1:13" x14ac:dyDescent="0.25">
      <c r="A944" s="14"/>
      <c r="B944" s="14"/>
      <c r="C944" s="14"/>
      <c r="D944" s="92"/>
      <c r="E944" s="14"/>
      <c r="F944" s="14"/>
      <c r="G944" s="14"/>
      <c r="H944" s="14"/>
      <c r="I944" s="67"/>
      <c r="J944" s="14"/>
      <c r="K944" s="14"/>
      <c r="L944" s="14"/>
      <c r="M944" s="14"/>
    </row>
    <row r="945" spans="1:13" x14ac:dyDescent="0.25">
      <c r="A945" s="14"/>
      <c r="B945" s="14"/>
      <c r="C945" s="14"/>
      <c r="D945" s="92"/>
      <c r="E945" s="14"/>
      <c r="F945" s="14"/>
      <c r="G945" s="14"/>
      <c r="H945" s="14"/>
      <c r="I945" s="67"/>
      <c r="J945" s="14"/>
      <c r="K945" s="14"/>
      <c r="L945" s="14"/>
      <c r="M945" s="14"/>
    </row>
    <row r="946" spans="1:13" x14ac:dyDescent="0.25">
      <c r="A946" s="14"/>
      <c r="B946" s="14"/>
      <c r="C946" s="14"/>
      <c r="D946" s="92"/>
      <c r="E946" s="14"/>
      <c r="F946" s="14"/>
      <c r="G946" s="14"/>
      <c r="H946" s="14"/>
      <c r="I946" s="67"/>
      <c r="J946" s="14"/>
      <c r="K946" s="14"/>
      <c r="L946" s="14"/>
      <c r="M946" s="14"/>
    </row>
    <row r="947" spans="1:13" x14ac:dyDescent="0.25">
      <c r="A947" s="14"/>
      <c r="B947" s="14"/>
      <c r="C947" s="14"/>
      <c r="D947" s="92"/>
      <c r="E947" s="14"/>
      <c r="F947" s="14"/>
      <c r="G947" s="14"/>
      <c r="H947" s="14"/>
      <c r="I947" s="67"/>
      <c r="J947" s="14"/>
      <c r="K947" s="14"/>
      <c r="L947" s="14"/>
      <c r="M947" s="14"/>
    </row>
    <row r="948" spans="1:13" x14ac:dyDescent="0.25">
      <c r="A948" s="14"/>
      <c r="B948" s="14"/>
      <c r="C948" s="14"/>
      <c r="D948" s="92"/>
      <c r="E948" s="14"/>
      <c r="F948" s="14"/>
      <c r="G948" s="14"/>
      <c r="H948" s="14"/>
      <c r="I948" s="67"/>
      <c r="J948" s="14"/>
      <c r="K948" s="14"/>
      <c r="L948" s="14"/>
      <c r="M948" s="14"/>
    </row>
    <row r="949" spans="1:13" x14ac:dyDescent="0.25">
      <c r="A949" s="14"/>
      <c r="B949" s="14"/>
      <c r="C949" s="14"/>
      <c r="D949" s="92"/>
      <c r="E949" s="14"/>
      <c r="F949" s="14"/>
      <c r="G949" s="14"/>
      <c r="H949" s="14"/>
      <c r="I949" s="67"/>
      <c r="J949" s="14"/>
      <c r="K949" s="14"/>
      <c r="L949" s="14"/>
      <c r="M949" s="14"/>
    </row>
    <row r="950" spans="1:13" x14ac:dyDescent="0.25">
      <c r="A950" s="14"/>
      <c r="B950" s="14"/>
      <c r="C950" s="14"/>
      <c r="D950" s="92"/>
      <c r="E950" s="14"/>
      <c r="F950" s="14"/>
      <c r="G950" s="14"/>
      <c r="H950" s="14"/>
      <c r="I950" s="67"/>
      <c r="J950" s="14"/>
      <c r="K950" s="14"/>
      <c r="L950" s="14"/>
      <c r="M950" s="14"/>
    </row>
    <row r="951" spans="1:13" x14ac:dyDescent="0.25">
      <c r="A951" s="14"/>
      <c r="B951" s="14"/>
      <c r="C951" s="14"/>
      <c r="D951" s="92"/>
      <c r="E951" s="14"/>
      <c r="F951" s="14"/>
      <c r="G951" s="14"/>
      <c r="H951" s="14"/>
      <c r="I951" s="67"/>
      <c r="J951" s="14"/>
      <c r="K951" s="14"/>
      <c r="L951" s="14"/>
      <c r="M951" s="14"/>
    </row>
    <row r="952" spans="1:13" x14ac:dyDescent="0.25">
      <c r="A952" s="14"/>
      <c r="B952" s="14"/>
      <c r="C952" s="14"/>
      <c r="D952" s="92"/>
      <c r="E952" s="14"/>
      <c r="F952" s="14"/>
      <c r="G952" s="14"/>
      <c r="H952" s="14"/>
      <c r="I952" s="67"/>
      <c r="J952" s="14"/>
      <c r="K952" s="14"/>
      <c r="L952" s="14"/>
      <c r="M952" s="14"/>
    </row>
    <row r="953" spans="1:13" x14ac:dyDescent="0.25">
      <c r="A953" s="14"/>
      <c r="B953" s="14"/>
      <c r="C953" s="14"/>
      <c r="D953" s="92"/>
      <c r="E953" s="14"/>
      <c r="F953" s="14"/>
      <c r="G953" s="14"/>
      <c r="H953" s="14"/>
      <c r="I953" s="67"/>
      <c r="J953" s="14"/>
      <c r="K953" s="14"/>
      <c r="L953" s="14"/>
      <c r="M953" s="14"/>
    </row>
    <row r="954" spans="1:13" x14ac:dyDescent="0.25">
      <c r="A954" s="14"/>
      <c r="B954" s="14"/>
      <c r="C954" s="14"/>
      <c r="D954" s="92"/>
      <c r="E954" s="14"/>
      <c r="F954" s="14"/>
      <c r="G954" s="14"/>
      <c r="H954" s="14"/>
      <c r="I954" s="67"/>
      <c r="J954" s="14"/>
      <c r="K954" s="14"/>
      <c r="L954" s="14"/>
      <c r="M954" s="14"/>
    </row>
    <row r="955" spans="1:13" x14ac:dyDescent="0.25">
      <c r="A955" s="14"/>
      <c r="B955" s="14"/>
      <c r="C955" s="14"/>
      <c r="D955" s="92"/>
      <c r="E955" s="14"/>
      <c r="F955" s="14"/>
      <c r="G955" s="14"/>
      <c r="H955" s="14"/>
      <c r="I955" s="67"/>
      <c r="J955" s="14"/>
      <c r="K955" s="14"/>
      <c r="L955" s="14"/>
      <c r="M955" s="14"/>
    </row>
    <row r="956" spans="1:13" x14ac:dyDescent="0.25">
      <c r="A956" s="14"/>
      <c r="B956" s="14"/>
      <c r="C956" s="14"/>
      <c r="D956" s="92"/>
      <c r="E956" s="14"/>
      <c r="F956" s="14"/>
      <c r="G956" s="14"/>
      <c r="H956" s="14"/>
      <c r="I956" s="67"/>
      <c r="J956" s="14"/>
      <c r="K956" s="14"/>
      <c r="L956" s="14"/>
      <c r="M956" s="14"/>
    </row>
    <row r="957" spans="1:13" x14ac:dyDescent="0.25">
      <c r="A957" s="14"/>
      <c r="B957" s="14"/>
      <c r="C957" s="14"/>
      <c r="D957" s="92"/>
      <c r="E957" s="14"/>
      <c r="F957" s="14"/>
      <c r="G957" s="14"/>
      <c r="H957" s="14"/>
      <c r="I957" s="67"/>
      <c r="J957" s="14"/>
      <c r="K957" s="14"/>
      <c r="L957" s="14"/>
      <c r="M957" s="14"/>
    </row>
    <row r="958" spans="1:13" x14ac:dyDescent="0.25">
      <c r="A958" s="14"/>
      <c r="B958" s="14"/>
      <c r="C958" s="14"/>
      <c r="D958" s="92"/>
      <c r="E958" s="14"/>
      <c r="F958" s="14"/>
      <c r="G958" s="14"/>
      <c r="H958" s="14"/>
      <c r="I958" s="67"/>
      <c r="J958" s="14"/>
      <c r="K958" s="14"/>
      <c r="L958" s="14"/>
      <c r="M958" s="14"/>
    </row>
    <row r="959" spans="1:13" x14ac:dyDescent="0.25">
      <c r="A959" s="14"/>
      <c r="B959" s="14"/>
      <c r="C959" s="14"/>
      <c r="D959" s="92"/>
      <c r="E959" s="14"/>
      <c r="F959" s="14"/>
      <c r="G959" s="14"/>
      <c r="H959" s="14"/>
      <c r="I959" s="67"/>
      <c r="J959" s="14"/>
      <c r="K959" s="14"/>
      <c r="L959" s="14"/>
      <c r="M959" s="14"/>
    </row>
    <row r="960" spans="1:13" x14ac:dyDescent="0.25">
      <c r="A960" s="14"/>
      <c r="B960" s="14"/>
      <c r="C960" s="14"/>
      <c r="D960" s="92"/>
      <c r="E960" s="14"/>
      <c r="F960" s="14"/>
      <c r="G960" s="14"/>
      <c r="H960" s="14"/>
      <c r="I960" s="67"/>
      <c r="J960" s="14"/>
      <c r="K960" s="14"/>
      <c r="L960" s="14"/>
      <c r="M960" s="14"/>
    </row>
    <row r="961" spans="1:13" x14ac:dyDescent="0.25">
      <c r="A961" s="14"/>
      <c r="B961" s="14"/>
      <c r="C961" s="14"/>
      <c r="D961" s="92"/>
      <c r="E961" s="14"/>
      <c r="F961" s="14"/>
      <c r="G961" s="14"/>
      <c r="H961" s="14"/>
      <c r="I961" s="67"/>
      <c r="J961" s="14"/>
      <c r="K961" s="14"/>
      <c r="L961" s="14"/>
      <c r="M961" s="14"/>
    </row>
    <row r="962" spans="1:13" x14ac:dyDescent="0.25">
      <c r="A962" s="14"/>
      <c r="B962" s="14"/>
      <c r="C962" s="14"/>
      <c r="D962" s="92"/>
      <c r="E962" s="14"/>
      <c r="F962" s="14"/>
      <c r="G962" s="14"/>
      <c r="H962" s="14"/>
      <c r="I962" s="67"/>
      <c r="J962" s="14"/>
      <c r="K962" s="14"/>
      <c r="L962" s="14"/>
      <c r="M962" s="14"/>
    </row>
    <row r="963" spans="1:13" x14ac:dyDescent="0.25">
      <c r="A963" s="14"/>
      <c r="B963" s="14"/>
      <c r="C963" s="14"/>
      <c r="D963" s="92"/>
      <c r="E963" s="14"/>
      <c r="F963" s="14"/>
      <c r="G963" s="14"/>
      <c r="H963" s="14"/>
      <c r="I963" s="67"/>
      <c r="J963" s="14"/>
      <c r="K963" s="14"/>
      <c r="L963" s="14"/>
      <c r="M963" s="14"/>
    </row>
    <row r="964" spans="1:13" x14ac:dyDescent="0.25">
      <c r="A964" s="14"/>
      <c r="B964" s="14"/>
      <c r="C964" s="14"/>
      <c r="D964" s="92"/>
      <c r="E964" s="14"/>
      <c r="F964" s="14"/>
      <c r="G964" s="14"/>
      <c r="H964" s="14"/>
      <c r="I964" s="67"/>
      <c r="J964" s="14"/>
      <c r="K964" s="14"/>
      <c r="L964" s="14"/>
      <c r="M964" s="14"/>
    </row>
    <row r="965" spans="1:13" x14ac:dyDescent="0.25">
      <c r="A965" s="14"/>
      <c r="B965" s="14"/>
      <c r="C965" s="14"/>
      <c r="D965" s="92"/>
      <c r="E965" s="14"/>
      <c r="F965" s="14"/>
      <c r="G965" s="14"/>
      <c r="H965" s="14"/>
      <c r="I965" s="67"/>
      <c r="J965" s="14"/>
      <c r="K965" s="14"/>
      <c r="L965" s="14"/>
      <c r="M965" s="14"/>
    </row>
    <row r="966" spans="1:13" x14ac:dyDescent="0.25">
      <c r="A966" s="14"/>
      <c r="B966" s="14"/>
      <c r="C966" s="14"/>
      <c r="D966" s="92"/>
      <c r="E966" s="14"/>
      <c r="F966" s="14"/>
      <c r="G966" s="14"/>
      <c r="H966" s="14"/>
      <c r="I966" s="67"/>
      <c r="J966" s="14"/>
      <c r="K966" s="14"/>
      <c r="L966" s="14"/>
      <c r="M966" s="14"/>
    </row>
    <row r="967" spans="1:13" x14ac:dyDescent="0.25">
      <c r="A967" s="14"/>
      <c r="B967" s="14"/>
      <c r="C967" s="14"/>
      <c r="D967" s="92"/>
      <c r="E967" s="14"/>
      <c r="F967" s="14"/>
      <c r="G967" s="14"/>
      <c r="H967" s="14"/>
      <c r="I967" s="67"/>
      <c r="J967" s="14"/>
      <c r="K967" s="14"/>
      <c r="L967" s="14"/>
      <c r="M967" s="14"/>
    </row>
    <row r="968" spans="1:13" x14ac:dyDescent="0.25">
      <c r="A968" s="14"/>
      <c r="B968" s="14"/>
      <c r="C968" s="14"/>
      <c r="D968" s="92"/>
      <c r="E968" s="14"/>
      <c r="F968" s="14"/>
      <c r="G968" s="14"/>
      <c r="H968" s="14"/>
      <c r="I968" s="67"/>
      <c r="J968" s="14"/>
      <c r="K968" s="14"/>
      <c r="L968" s="14"/>
      <c r="M968" s="14"/>
    </row>
    <row r="969" spans="1:13" x14ac:dyDescent="0.25">
      <c r="A969" s="14"/>
      <c r="B969" s="14"/>
      <c r="C969" s="14"/>
      <c r="D969" s="92"/>
      <c r="E969" s="14"/>
      <c r="F969" s="14"/>
      <c r="G969" s="14"/>
      <c r="H969" s="14"/>
      <c r="I969" s="67"/>
      <c r="J969" s="14"/>
      <c r="K969" s="14"/>
      <c r="L969" s="14"/>
      <c r="M969" s="14"/>
    </row>
    <row r="970" spans="1:13" x14ac:dyDescent="0.25">
      <c r="A970" s="14"/>
      <c r="B970" s="14"/>
      <c r="C970" s="14"/>
      <c r="D970" s="92"/>
      <c r="E970" s="14"/>
      <c r="F970" s="14"/>
      <c r="G970" s="14"/>
      <c r="H970" s="14"/>
      <c r="I970" s="67"/>
      <c r="J970" s="14"/>
      <c r="K970" s="14"/>
      <c r="L970" s="14"/>
      <c r="M970" s="14"/>
    </row>
    <row r="971" spans="1:13" x14ac:dyDescent="0.25">
      <c r="A971" s="14"/>
      <c r="B971" s="14"/>
      <c r="C971" s="14"/>
      <c r="D971" s="92"/>
      <c r="E971" s="14"/>
      <c r="F971" s="14"/>
      <c r="G971" s="14"/>
      <c r="H971" s="14"/>
      <c r="I971" s="67"/>
      <c r="J971" s="14"/>
      <c r="K971" s="14"/>
      <c r="L971" s="14"/>
      <c r="M971" s="14"/>
    </row>
    <row r="972" spans="1:13" x14ac:dyDescent="0.25">
      <c r="A972" s="14"/>
      <c r="B972" s="14"/>
      <c r="C972" s="14"/>
      <c r="D972" s="92"/>
      <c r="E972" s="14"/>
      <c r="F972" s="14"/>
      <c r="G972" s="14"/>
      <c r="H972" s="14"/>
      <c r="I972" s="67"/>
      <c r="J972" s="14"/>
      <c r="K972" s="14"/>
      <c r="L972" s="14"/>
      <c r="M972" s="14"/>
    </row>
    <row r="973" spans="1:13" x14ac:dyDescent="0.25">
      <c r="A973" s="14"/>
      <c r="B973" s="14"/>
      <c r="C973" s="14"/>
      <c r="D973" s="92"/>
      <c r="E973" s="14"/>
      <c r="F973" s="14"/>
      <c r="G973" s="14"/>
      <c r="H973" s="14"/>
      <c r="I973" s="67"/>
      <c r="J973" s="14"/>
      <c r="K973" s="14"/>
      <c r="L973" s="14"/>
      <c r="M973" s="14"/>
    </row>
    <row r="974" spans="1:13" x14ac:dyDescent="0.25">
      <c r="A974" s="14"/>
      <c r="B974" s="14"/>
      <c r="C974" s="14"/>
      <c r="D974" s="92"/>
      <c r="E974" s="14"/>
      <c r="F974" s="14"/>
      <c r="G974" s="14"/>
      <c r="H974" s="14"/>
      <c r="I974" s="67"/>
      <c r="J974" s="14"/>
      <c r="K974" s="14"/>
      <c r="L974" s="14"/>
      <c r="M974" s="14"/>
    </row>
    <row r="975" spans="1:13" x14ac:dyDescent="0.25">
      <c r="A975" s="14"/>
      <c r="B975" s="14"/>
      <c r="C975" s="14"/>
      <c r="D975" s="92"/>
      <c r="E975" s="14"/>
      <c r="F975" s="14"/>
      <c r="G975" s="14"/>
      <c r="H975" s="14"/>
      <c r="I975" s="67"/>
      <c r="J975" s="14"/>
      <c r="K975" s="14"/>
      <c r="L975" s="14"/>
      <c r="M975" s="14"/>
    </row>
    <row r="976" spans="1:13" x14ac:dyDescent="0.25">
      <c r="A976" s="14"/>
      <c r="B976" s="14"/>
      <c r="C976" s="14"/>
      <c r="D976" s="92"/>
      <c r="E976" s="14"/>
      <c r="F976" s="14"/>
      <c r="G976" s="14"/>
      <c r="H976" s="14"/>
      <c r="I976" s="67"/>
      <c r="J976" s="14"/>
      <c r="K976" s="14"/>
      <c r="L976" s="14"/>
      <c r="M976" s="14"/>
    </row>
    <row r="977" spans="1:13" x14ac:dyDescent="0.25">
      <c r="A977" s="14"/>
      <c r="B977" s="14"/>
      <c r="C977" s="14"/>
      <c r="D977" s="92"/>
      <c r="E977" s="14"/>
      <c r="F977" s="14"/>
      <c r="G977" s="14"/>
      <c r="H977" s="14"/>
      <c r="I977" s="67"/>
      <c r="J977" s="14"/>
      <c r="K977" s="14"/>
      <c r="L977" s="14"/>
      <c r="M977" s="14"/>
    </row>
    <row r="978" spans="1:13" x14ac:dyDescent="0.25">
      <c r="A978" s="14"/>
      <c r="B978" s="14"/>
      <c r="C978" s="14"/>
      <c r="D978" s="92"/>
      <c r="E978" s="14"/>
      <c r="F978" s="14"/>
      <c r="G978" s="14"/>
      <c r="H978" s="14"/>
      <c r="I978" s="67"/>
      <c r="J978" s="14"/>
      <c r="K978" s="14"/>
      <c r="L978" s="14"/>
      <c r="M978" s="14"/>
    </row>
    <row r="979" spans="1:13" x14ac:dyDescent="0.25">
      <c r="A979" s="14"/>
      <c r="B979" s="14"/>
      <c r="C979" s="14"/>
      <c r="D979" s="92"/>
      <c r="E979" s="14"/>
      <c r="F979" s="14"/>
      <c r="G979" s="14"/>
      <c r="H979" s="14"/>
      <c r="I979" s="67"/>
      <c r="J979" s="14"/>
      <c r="K979" s="14"/>
      <c r="L979" s="14"/>
      <c r="M979" s="14"/>
    </row>
    <row r="980" spans="1:13" x14ac:dyDescent="0.25">
      <c r="A980" s="14"/>
      <c r="B980" s="14"/>
      <c r="C980" s="14"/>
      <c r="D980" s="92"/>
      <c r="E980" s="14"/>
      <c r="F980" s="14"/>
      <c r="G980" s="14"/>
      <c r="H980" s="14"/>
      <c r="I980" s="67"/>
      <c r="J980" s="14"/>
      <c r="K980" s="14"/>
      <c r="L980" s="14"/>
      <c r="M980" s="14"/>
    </row>
    <row r="981" spans="1:13" x14ac:dyDescent="0.25">
      <c r="A981" s="14"/>
      <c r="B981" s="14"/>
      <c r="C981" s="14"/>
      <c r="D981" s="92"/>
      <c r="E981" s="14"/>
      <c r="F981" s="14"/>
      <c r="G981" s="14"/>
      <c r="H981" s="14"/>
      <c r="I981" s="67"/>
      <c r="J981" s="14"/>
      <c r="K981" s="14"/>
      <c r="L981" s="14"/>
      <c r="M981" s="14"/>
    </row>
    <row r="982" spans="1:13" x14ac:dyDescent="0.25">
      <c r="A982" s="14"/>
      <c r="B982" s="14"/>
      <c r="C982" s="14"/>
      <c r="D982" s="92"/>
      <c r="E982" s="14"/>
      <c r="F982" s="14"/>
      <c r="G982" s="14"/>
      <c r="H982" s="14"/>
      <c r="I982" s="67"/>
      <c r="J982" s="14"/>
      <c r="K982" s="14"/>
      <c r="L982" s="14"/>
      <c r="M982" s="14"/>
    </row>
    <row r="983" spans="1:13" x14ac:dyDescent="0.25">
      <c r="A983" s="14"/>
      <c r="B983" s="14"/>
      <c r="C983" s="14"/>
      <c r="D983" s="92"/>
      <c r="E983" s="14"/>
      <c r="F983" s="14"/>
      <c r="G983" s="14"/>
      <c r="H983" s="14"/>
      <c r="I983" s="67"/>
      <c r="J983" s="14"/>
      <c r="K983" s="14"/>
      <c r="L983" s="14"/>
      <c r="M983" s="14"/>
    </row>
    <row r="984" spans="1:13" x14ac:dyDescent="0.25">
      <c r="A984" s="14"/>
      <c r="B984" s="14"/>
      <c r="C984" s="14"/>
      <c r="D984" s="92"/>
      <c r="E984" s="14"/>
      <c r="F984" s="14"/>
      <c r="G984" s="14"/>
      <c r="H984" s="14"/>
      <c r="I984" s="67"/>
      <c r="J984" s="14"/>
      <c r="K984" s="14"/>
      <c r="L984" s="14"/>
      <c r="M984" s="14"/>
    </row>
    <row r="985" spans="1:13" x14ac:dyDescent="0.25">
      <c r="A985" s="14"/>
      <c r="B985" s="14"/>
      <c r="C985" s="14"/>
      <c r="D985" s="92"/>
      <c r="E985" s="14"/>
      <c r="F985" s="14"/>
      <c r="G985" s="14"/>
      <c r="H985" s="14"/>
      <c r="I985" s="67"/>
      <c r="J985" s="14"/>
      <c r="K985" s="14"/>
      <c r="L985" s="14"/>
      <c r="M985" s="14"/>
    </row>
    <row r="986" spans="1:13" x14ac:dyDescent="0.25">
      <c r="A986" s="14"/>
      <c r="B986" s="14"/>
      <c r="C986" s="14"/>
      <c r="D986" s="92"/>
      <c r="E986" s="14"/>
      <c r="F986" s="14"/>
      <c r="G986" s="14"/>
      <c r="H986" s="14"/>
      <c r="I986" s="67"/>
      <c r="J986" s="14"/>
      <c r="K986" s="14"/>
      <c r="L986" s="14"/>
      <c r="M986" s="14"/>
    </row>
    <row r="987" spans="1:13" x14ac:dyDescent="0.25">
      <c r="A987" s="14"/>
      <c r="B987" s="14"/>
      <c r="C987" s="14"/>
      <c r="D987" s="92"/>
      <c r="E987" s="14"/>
      <c r="F987" s="14"/>
      <c r="G987" s="14"/>
      <c r="H987" s="14"/>
      <c r="I987" s="67"/>
      <c r="J987" s="14"/>
      <c r="K987" s="14"/>
      <c r="L987" s="14"/>
      <c r="M987" s="14"/>
    </row>
    <row r="988" spans="1:13" x14ac:dyDescent="0.25">
      <c r="A988" s="14"/>
      <c r="B988" s="14"/>
      <c r="C988" s="14"/>
      <c r="D988" s="92"/>
      <c r="E988" s="14"/>
      <c r="F988" s="14"/>
      <c r="G988" s="14"/>
      <c r="H988" s="14"/>
      <c r="I988" s="67"/>
      <c r="J988" s="14"/>
      <c r="K988" s="14"/>
      <c r="L988" s="14"/>
      <c r="M988" s="14"/>
    </row>
    <row r="989" spans="1:13" x14ac:dyDescent="0.25">
      <c r="A989" s="14"/>
      <c r="B989" s="14"/>
      <c r="C989" s="14"/>
      <c r="D989" s="92"/>
      <c r="E989" s="14"/>
      <c r="F989" s="14"/>
      <c r="G989" s="14"/>
      <c r="H989" s="14"/>
      <c r="I989" s="67"/>
      <c r="J989" s="14"/>
      <c r="K989" s="14"/>
      <c r="L989" s="14"/>
      <c r="M989" s="14"/>
    </row>
    <row r="990" spans="1:13" x14ac:dyDescent="0.25">
      <c r="A990" s="14"/>
      <c r="B990" s="14"/>
      <c r="C990" s="14"/>
      <c r="D990" s="92"/>
      <c r="E990" s="14"/>
      <c r="F990" s="14"/>
      <c r="G990" s="14"/>
      <c r="H990" s="14"/>
      <c r="I990" s="67"/>
      <c r="J990" s="14"/>
      <c r="K990" s="14"/>
      <c r="L990" s="14"/>
      <c r="M990" s="14"/>
    </row>
    <row r="991" spans="1:13" x14ac:dyDescent="0.25">
      <c r="A991" s="14"/>
      <c r="B991" s="14"/>
      <c r="C991" s="14"/>
      <c r="D991" s="92"/>
      <c r="E991" s="14"/>
      <c r="F991" s="14"/>
      <c r="G991" s="14"/>
      <c r="H991" s="14"/>
      <c r="I991" s="67"/>
      <c r="J991" s="14"/>
      <c r="K991" s="14"/>
      <c r="L991" s="14"/>
      <c r="M991" s="14"/>
    </row>
    <row r="992" spans="1:13" x14ac:dyDescent="0.25">
      <c r="A992" s="14"/>
      <c r="B992" s="14"/>
      <c r="C992" s="14"/>
      <c r="D992" s="92"/>
      <c r="E992" s="14"/>
      <c r="F992" s="14"/>
      <c r="G992" s="14"/>
      <c r="H992" s="14"/>
      <c r="I992" s="67"/>
      <c r="J992" s="14"/>
      <c r="K992" s="14"/>
      <c r="L992" s="14"/>
      <c r="M992" s="14"/>
    </row>
    <row r="993" spans="1:13" x14ac:dyDescent="0.25">
      <c r="A993" s="14"/>
      <c r="B993" s="14"/>
      <c r="C993" s="14"/>
      <c r="D993" s="92"/>
      <c r="E993" s="14"/>
      <c r="F993" s="14"/>
      <c r="G993" s="14"/>
      <c r="H993" s="14"/>
      <c r="I993" s="67"/>
      <c r="J993" s="14"/>
      <c r="K993" s="14"/>
      <c r="L993" s="14"/>
      <c r="M993" s="14"/>
    </row>
    <row r="994" spans="1:13" x14ac:dyDescent="0.25">
      <c r="A994" s="14"/>
      <c r="B994" s="14"/>
      <c r="C994" s="14"/>
      <c r="D994" s="92"/>
      <c r="E994" s="14"/>
      <c r="F994" s="14"/>
      <c r="G994" s="14"/>
      <c r="H994" s="14"/>
      <c r="I994" s="67"/>
      <c r="J994" s="14"/>
      <c r="K994" s="14"/>
      <c r="L994" s="14"/>
      <c r="M994" s="14"/>
    </row>
    <row r="995" spans="1:13" x14ac:dyDescent="0.25">
      <c r="A995" s="14"/>
      <c r="B995" s="14"/>
      <c r="C995" s="14"/>
      <c r="D995" s="92"/>
      <c r="E995" s="14"/>
      <c r="F995" s="14"/>
      <c r="G995" s="14"/>
      <c r="H995" s="14"/>
      <c r="I995" s="67"/>
      <c r="J995" s="14"/>
      <c r="K995" s="14"/>
      <c r="L995" s="14"/>
      <c r="M995" s="14"/>
    </row>
    <row r="996" spans="1:13" x14ac:dyDescent="0.25">
      <c r="A996" s="14"/>
      <c r="B996" s="14"/>
      <c r="C996" s="14"/>
      <c r="D996" s="92"/>
      <c r="E996" s="14"/>
      <c r="F996" s="14"/>
      <c r="G996" s="14"/>
      <c r="H996" s="14"/>
      <c r="I996" s="67"/>
      <c r="J996" s="14"/>
      <c r="K996" s="14"/>
      <c r="L996" s="14"/>
      <c r="M996" s="14"/>
    </row>
    <row r="997" spans="1:13" x14ac:dyDescent="0.25">
      <c r="A997" s="14"/>
      <c r="B997" s="14"/>
      <c r="C997" s="14"/>
      <c r="D997" s="92"/>
      <c r="E997" s="14"/>
      <c r="F997" s="14"/>
      <c r="G997" s="14"/>
      <c r="H997" s="14"/>
      <c r="I997" s="67"/>
      <c r="J997" s="14"/>
      <c r="K997" s="14"/>
      <c r="L997" s="14"/>
      <c r="M997" s="14"/>
    </row>
    <row r="998" spans="1:13" x14ac:dyDescent="0.25">
      <c r="A998" s="14"/>
      <c r="B998" s="14"/>
      <c r="C998" s="14"/>
      <c r="D998" s="92"/>
      <c r="E998" s="14"/>
      <c r="F998" s="14"/>
      <c r="G998" s="14"/>
      <c r="H998" s="14"/>
      <c r="I998" s="67"/>
      <c r="J998" s="14"/>
      <c r="K998" s="14"/>
      <c r="L998" s="14"/>
      <c r="M998" s="14"/>
    </row>
    <row r="999" spans="1:13" x14ac:dyDescent="0.25">
      <c r="A999" s="14"/>
      <c r="B999" s="14"/>
      <c r="C999" s="14"/>
      <c r="D999" s="92"/>
      <c r="E999" s="14"/>
      <c r="F999" s="14"/>
      <c r="G999" s="14"/>
      <c r="H999" s="14"/>
      <c r="I999" s="67"/>
      <c r="J999" s="14"/>
      <c r="K999" s="14"/>
      <c r="L999" s="14"/>
      <c r="M999" s="14"/>
    </row>
    <row r="1000" spans="1:13" x14ac:dyDescent="0.25">
      <c r="A1000" s="14"/>
      <c r="B1000" s="14"/>
      <c r="C1000" s="14"/>
      <c r="D1000" s="92"/>
      <c r="E1000" s="14"/>
      <c r="F1000" s="14"/>
      <c r="G1000" s="14"/>
      <c r="H1000" s="14"/>
      <c r="I1000" s="67"/>
      <c r="J1000" s="14"/>
      <c r="K1000" s="14"/>
      <c r="L1000" s="14"/>
      <c r="M1000" s="14"/>
    </row>
    <row r="1001" spans="1:13" x14ac:dyDescent="0.25">
      <c r="A1001" s="14"/>
      <c r="B1001" s="14"/>
      <c r="C1001" s="14"/>
      <c r="D1001" s="92"/>
      <c r="E1001" s="14"/>
      <c r="F1001" s="14"/>
      <c r="G1001" s="14"/>
      <c r="H1001" s="14"/>
      <c r="I1001" s="67"/>
      <c r="J1001" s="14"/>
      <c r="K1001" s="14"/>
      <c r="L1001" s="14"/>
      <c r="M1001" s="14"/>
    </row>
    <row r="1002" spans="1:13" x14ac:dyDescent="0.25">
      <c r="A1002" s="14"/>
      <c r="B1002" s="14"/>
      <c r="C1002" s="14"/>
      <c r="D1002" s="92"/>
      <c r="E1002" s="14"/>
      <c r="F1002" s="14"/>
      <c r="G1002" s="14"/>
      <c r="H1002" s="14"/>
      <c r="I1002" s="67"/>
      <c r="J1002" s="14"/>
      <c r="K1002" s="14"/>
      <c r="L1002" s="14"/>
      <c r="M1002" s="14"/>
    </row>
    <row r="1003" spans="1:13" x14ac:dyDescent="0.25">
      <c r="A1003" s="14"/>
      <c r="B1003" s="14"/>
      <c r="C1003" s="14"/>
      <c r="D1003" s="92"/>
      <c r="E1003" s="14"/>
      <c r="F1003" s="14"/>
      <c r="G1003" s="14"/>
      <c r="H1003" s="14"/>
      <c r="I1003" s="67"/>
      <c r="J1003" s="14"/>
      <c r="K1003" s="14"/>
      <c r="L1003" s="14"/>
      <c r="M1003" s="14"/>
    </row>
    <row r="1004" spans="1:13" x14ac:dyDescent="0.25">
      <c r="A1004" s="14"/>
      <c r="B1004" s="14"/>
      <c r="C1004" s="14"/>
      <c r="D1004" s="92"/>
      <c r="E1004" s="14"/>
      <c r="F1004" s="14"/>
      <c r="G1004" s="14"/>
      <c r="H1004" s="14"/>
      <c r="I1004" s="67"/>
      <c r="J1004" s="14"/>
      <c r="K1004" s="14"/>
      <c r="L1004" s="14"/>
      <c r="M1004" s="14"/>
    </row>
    <row r="1005" spans="1:13" x14ac:dyDescent="0.25">
      <c r="A1005" s="14"/>
      <c r="B1005" s="14"/>
      <c r="C1005" s="14"/>
      <c r="D1005" s="92"/>
      <c r="E1005" s="14"/>
      <c r="F1005" s="14"/>
      <c r="G1005" s="14"/>
      <c r="H1005" s="14"/>
      <c r="I1005" s="67"/>
      <c r="J1005" s="14"/>
      <c r="K1005" s="14"/>
      <c r="L1005" s="14"/>
      <c r="M1005" s="14"/>
    </row>
    <row r="1006" spans="1:13" x14ac:dyDescent="0.25">
      <c r="A1006" s="14"/>
      <c r="B1006" s="14"/>
      <c r="C1006" s="14"/>
      <c r="D1006" s="92"/>
      <c r="E1006" s="14"/>
      <c r="F1006" s="14"/>
      <c r="G1006" s="14"/>
      <c r="H1006" s="14"/>
      <c r="I1006" s="67"/>
      <c r="J1006" s="14"/>
      <c r="K1006" s="14"/>
      <c r="L1006" s="14"/>
      <c r="M1006" s="14"/>
    </row>
    <row r="1007" spans="1:13" x14ac:dyDescent="0.25">
      <c r="A1007" s="14"/>
      <c r="B1007" s="14"/>
      <c r="C1007" s="14"/>
      <c r="D1007" s="92"/>
      <c r="E1007" s="14"/>
      <c r="F1007" s="14"/>
      <c r="G1007" s="14"/>
      <c r="H1007" s="14"/>
      <c r="I1007" s="67"/>
      <c r="J1007" s="14"/>
      <c r="K1007" s="14"/>
      <c r="L1007" s="14"/>
      <c r="M1007" s="14"/>
    </row>
    <row r="1008" spans="1:13" x14ac:dyDescent="0.25">
      <c r="A1008" s="14"/>
      <c r="B1008" s="14"/>
      <c r="C1008" s="14"/>
      <c r="D1008" s="92"/>
      <c r="E1008" s="14"/>
      <c r="F1008" s="14"/>
      <c r="G1008" s="14"/>
      <c r="H1008" s="14"/>
      <c r="I1008" s="67"/>
      <c r="J1008" s="14"/>
      <c r="K1008" s="14"/>
      <c r="L1008" s="14"/>
      <c r="M1008" s="14"/>
    </row>
    <row r="1009" spans="1:13" x14ac:dyDescent="0.25">
      <c r="A1009" s="14"/>
      <c r="B1009" s="14"/>
      <c r="C1009" s="14"/>
      <c r="D1009" s="92"/>
      <c r="E1009" s="14"/>
      <c r="F1009" s="14"/>
      <c r="G1009" s="14"/>
      <c r="H1009" s="14"/>
      <c r="I1009" s="67"/>
      <c r="J1009" s="14"/>
      <c r="K1009" s="14"/>
      <c r="L1009" s="14"/>
      <c r="M1009" s="14"/>
    </row>
    <row r="1010" spans="1:13" x14ac:dyDescent="0.25">
      <c r="A1010" s="14"/>
      <c r="B1010" s="14"/>
      <c r="C1010" s="14"/>
      <c r="D1010" s="92"/>
      <c r="E1010" s="14"/>
      <c r="F1010" s="14"/>
      <c r="G1010" s="14"/>
      <c r="H1010" s="14"/>
      <c r="I1010" s="67"/>
      <c r="J1010" s="14"/>
      <c r="K1010" s="14"/>
      <c r="L1010" s="14"/>
      <c r="M1010" s="14"/>
    </row>
    <row r="1011" spans="1:13" x14ac:dyDescent="0.25">
      <c r="A1011" s="14"/>
      <c r="B1011" s="14"/>
      <c r="C1011" s="14"/>
      <c r="D1011" s="92"/>
      <c r="E1011" s="14"/>
      <c r="F1011" s="14"/>
      <c r="G1011" s="14"/>
      <c r="H1011" s="14"/>
      <c r="I1011" s="67"/>
      <c r="J1011" s="14"/>
      <c r="K1011" s="14"/>
      <c r="L1011" s="14"/>
      <c r="M1011" s="14"/>
    </row>
    <row r="1012" spans="1:13" x14ac:dyDescent="0.25">
      <c r="A1012" s="14"/>
      <c r="B1012" s="14"/>
      <c r="C1012" s="14"/>
      <c r="D1012" s="92"/>
      <c r="E1012" s="14"/>
      <c r="F1012" s="14"/>
      <c r="G1012" s="14"/>
      <c r="H1012" s="14"/>
      <c r="I1012" s="67"/>
      <c r="J1012" s="14"/>
      <c r="K1012" s="14"/>
      <c r="L1012" s="14"/>
      <c r="M1012" s="14"/>
    </row>
    <row r="1013" spans="1:13" x14ac:dyDescent="0.25">
      <c r="A1013" s="14"/>
      <c r="B1013" s="14"/>
      <c r="C1013" s="14"/>
      <c r="D1013" s="92"/>
      <c r="E1013" s="14"/>
      <c r="F1013" s="14"/>
      <c r="G1013" s="14"/>
      <c r="H1013" s="14"/>
      <c r="I1013" s="67"/>
      <c r="J1013" s="14"/>
      <c r="K1013" s="14"/>
      <c r="L1013" s="14"/>
      <c r="M1013" s="14"/>
    </row>
    <row r="1014" spans="1:13" x14ac:dyDescent="0.25">
      <c r="A1014" s="14"/>
      <c r="B1014" s="14"/>
      <c r="C1014" s="14"/>
      <c r="D1014" s="92"/>
      <c r="E1014" s="14"/>
      <c r="F1014" s="14"/>
      <c r="G1014" s="14"/>
      <c r="H1014" s="14"/>
      <c r="I1014" s="67"/>
      <c r="J1014" s="14"/>
      <c r="K1014" s="14"/>
      <c r="L1014" s="14"/>
      <c r="M1014" s="14"/>
    </row>
    <row r="1015" spans="1:13" x14ac:dyDescent="0.25">
      <c r="A1015" s="14"/>
      <c r="B1015" s="14"/>
      <c r="C1015" s="14"/>
      <c r="D1015" s="92"/>
      <c r="E1015" s="14"/>
      <c r="F1015" s="14"/>
      <c r="G1015" s="14"/>
      <c r="H1015" s="14"/>
      <c r="I1015" s="67"/>
      <c r="J1015" s="14"/>
      <c r="K1015" s="14"/>
      <c r="L1015" s="14"/>
      <c r="M1015" s="14"/>
    </row>
    <row r="1016" spans="1:13" x14ac:dyDescent="0.25">
      <c r="A1016" s="14"/>
      <c r="B1016" s="14"/>
      <c r="C1016" s="14"/>
      <c r="D1016" s="92"/>
      <c r="E1016" s="14"/>
      <c r="F1016" s="14"/>
      <c r="G1016" s="14"/>
      <c r="H1016" s="14"/>
      <c r="I1016" s="67"/>
      <c r="J1016" s="14"/>
      <c r="K1016" s="14"/>
      <c r="L1016" s="14"/>
      <c r="M1016" s="14"/>
    </row>
    <row r="1017" spans="1:13" x14ac:dyDescent="0.25">
      <c r="A1017" s="14"/>
      <c r="B1017" s="14"/>
      <c r="C1017" s="14"/>
      <c r="D1017" s="92"/>
      <c r="E1017" s="14"/>
      <c r="F1017" s="14"/>
      <c r="G1017" s="14"/>
      <c r="H1017" s="14"/>
      <c r="I1017" s="67"/>
      <c r="J1017" s="14"/>
      <c r="K1017" s="14"/>
      <c r="L1017" s="14"/>
      <c r="M1017" s="14"/>
    </row>
    <row r="1018" spans="1:13" x14ac:dyDescent="0.25">
      <c r="A1018" s="14"/>
      <c r="B1018" s="14"/>
      <c r="C1018" s="14"/>
      <c r="D1018" s="92"/>
      <c r="E1018" s="14"/>
      <c r="F1018" s="14"/>
      <c r="G1018" s="14"/>
      <c r="H1018" s="14"/>
      <c r="I1018" s="67"/>
      <c r="J1018" s="14"/>
      <c r="K1018" s="14"/>
      <c r="L1018" s="14"/>
      <c r="M1018" s="14"/>
    </row>
    <row r="1019" spans="1:13" x14ac:dyDescent="0.25">
      <c r="A1019" s="14"/>
      <c r="B1019" s="14"/>
      <c r="C1019" s="14"/>
      <c r="D1019" s="92"/>
      <c r="E1019" s="14"/>
      <c r="F1019" s="14"/>
      <c r="G1019" s="14"/>
      <c r="H1019" s="14"/>
      <c r="I1019" s="67"/>
      <c r="J1019" s="14"/>
      <c r="K1019" s="14"/>
      <c r="L1019" s="14"/>
      <c r="M1019" s="14"/>
    </row>
    <row r="1020" spans="1:13" x14ac:dyDescent="0.25">
      <c r="A1020" s="14"/>
      <c r="B1020" s="14"/>
      <c r="C1020" s="14"/>
      <c r="D1020" s="92"/>
      <c r="E1020" s="14"/>
      <c r="F1020" s="14"/>
      <c r="G1020" s="14"/>
      <c r="H1020" s="14"/>
      <c r="I1020" s="67"/>
      <c r="J1020" s="14"/>
      <c r="K1020" s="14"/>
      <c r="L1020" s="14"/>
      <c r="M1020" s="14"/>
    </row>
    <row r="1021" spans="1:13" x14ac:dyDescent="0.25">
      <c r="A1021" s="14"/>
      <c r="B1021" s="14"/>
      <c r="C1021" s="14"/>
      <c r="D1021" s="92"/>
      <c r="E1021" s="14"/>
      <c r="F1021" s="14"/>
      <c r="G1021" s="14"/>
      <c r="H1021" s="14"/>
      <c r="I1021" s="67"/>
      <c r="J1021" s="14"/>
      <c r="K1021" s="14"/>
      <c r="L1021" s="14"/>
      <c r="M1021" s="14"/>
    </row>
    <row r="1022" spans="1:13" x14ac:dyDescent="0.25">
      <c r="A1022" s="14"/>
      <c r="B1022" s="14"/>
      <c r="C1022" s="14"/>
      <c r="D1022" s="92"/>
      <c r="E1022" s="14"/>
      <c r="F1022" s="14"/>
      <c r="G1022" s="14"/>
      <c r="H1022" s="14"/>
      <c r="I1022" s="67"/>
      <c r="J1022" s="14"/>
      <c r="K1022" s="14"/>
      <c r="L1022" s="14"/>
      <c r="M1022" s="14"/>
    </row>
    <row r="1023" spans="1:13" x14ac:dyDescent="0.25">
      <c r="A1023" s="14"/>
      <c r="B1023" s="14"/>
      <c r="C1023" s="14"/>
      <c r="D1023" s="92"/>
      <c r="E1023" s="14"/>
      <c r="F1023" s="14"/>
      <c r="G1023" s="14"/>
      <c r="H1023" s="14"/>
      <c r="I1023" s="67"/>
      <c r="J1023" s="14"/>
      <c r="K1023" s="14"/>
      <c r="L1023" s="14"/>
      <c r="M1023" s="14"/>
    </row>
    <row r="1024" spans="1:13" x14ac:dyDescent="0.25">
      <c r="A1024" s="14"/>
      <c r="B1024" s="14"/>
      <c r="C1024" s="14"/>
      <c r="D1024" s="92"/>
      <c r="E1024" s="14"/>
      <c r="F1024" s="14"/>
      <c r="G1024" s="14"/>
      <c r="H1024" s="14"/>
      <c r="I1024" s="67"/>
      <c r="J1024" s="14"/>
      <c r="K1024" s="14"/>
      <c r="L1024" s="14"/>
      <c r="M1024" s="14"/>
    </row>
    <row r="1025" spans="1:13" x14ac:dyDescent="0.25">
      <c r="A1025" s="14"/>
      <c r="B1025" s="14"/>
      <c r="C1025" s="14"/>
      <c r="D1025" s="92"/>
      <c r="E1025" s="14"/>
      <c r="F1025" s="14"/>
      <c r="G1025" s="14"/>
      <c r="H1025" s="14"/>
      <c r="I1025" s="67"/>
      <c r="J1025" s="14"/>
      <c r="K1025" s="14"/>
      <c r="L1025" s="14"/>
      <c r="M1025" s="14"/>
    </row>
    <row r="1026" spans="1:13" x14ac:dyDescent="0.25">
      <c r="A1026" s="14"/>
      <c r="B1026" s="14"/>
      <c r="C1026" s="14"/>
      <c r="D1026" s="92"/>
      <c r="E1026" s="14"/>
      <c r="F1026" s="14"/>
      <c r="G1026" s="14"/>
      <c r="H1026" s="14"/>
      <c r="I1026" s="67"/>
      <c r="J1026" s="14"/>
      <c r="K1026" s="14"/>
      <c r="L1026" s="14"/>
      <c r="M1026" s="14"/>
    </row>
    <row r="1027" spans="1:13" x14ac:dyDescent="0.25">
      <c r="A1027" s="14"/>
      <c r="B1027" s="14"/>
      <c r="C1027" s="14"/>
      <c r="D1027" s="92"/>
      <c r="E1027" s="14"/>
      <c r="F1027" s="14"/>
      <c r="G1027" s="14"/>
      <c r="H1027" s="14"/>
      <c r="I1027" s="67"/>
      <c r="J1027" s="14"/>
      <c r="K1027" s="14"/>
      <c r="L1027" s="14"/>
      <c r="M1027" s="14"/>
    </row>
    <row r="1028" spans="1:13" x14ac:dyDescent="0.25">
      <c r="A1028" s="14"/>
      <c r="B1028" s="14"/>
      <c r="C1028" s="14"/>
      <c r="D1028" s="92"/>
      <c r="E1028" s="14"/>
      <c r="F1028" s="14"/>
      <c r="G1028" s="14"/>
      <c r="H1028" s="14"/>
      <c r="I1028" s="67"/>
      <c r="J1028" s="14"/>
      <c r="K1028" s="14"/>
      <c r="L1028" s="14"/>
      <c r="M1028" s="14"/>
    </row>
    <row r="1029" spans="1:13" x14ac:dyDescent="0.25">
      <c r="A1029" s="14"/>
      <c r="B1029" s="14"/>
      <c r="C1029" s="14"/>
      <c r="D1029" s="92"/>
      <c r="E1029" s="14"/>
      <c r="F1029" s="14"/>
      <c r="G1029" s="14"/>
      <c r="H1029" s="14"/>
      <c r="I1029" s="67"/>
      <c r="J1029" s="14"/>
      <c r="K1029" s="14"/>
      <c r="L1029" s="14"/>
      <c r="M1029" s="14"/>
    </row>
    <row r="1030" spans="1:13" x14ac:dyDescent="0.25">
      <c r="A1030" s="14"/>
      <c r="B1030" s="14"/>
      <c r="C1030" s="14"/>
      <c r="D1030" s="92"/>
      <c r="E1030" s="14"/>
      <c r="F1030" s="14"/>
      <c r="G1030" s="14"/>
      <c r="H1030" s="14"/>
      <c r="I1030" s="67"/>
      <c r="J1030" s="14"/>
      <c r="K1030" s="14"/>
      <c r="L1030" s="14"/>
      <c r="M1030" s="14"/>
    </row>
    <row r="1031" spans="1:13" x14ac:dyDescent="0.25">
      <c r="A1031" s="14"/>
      <c r="B1031" s="14"/>
      <c r="C1031" s="14"/>
      <c r="D1031" s="92"/>
      <c r="E1031" s="14"/>
      <c r="F1031" s="14"/>
      <c r="G1031" s="14"/>
      <c r="H1031" s="14"/>
      <c r="I1031" s="67"/>
      <c r="J1031" s="14"/>
      <c r="K1031" s="14"/>
      <c r="L1031" s="14"/>
      <c r="M1031" s="14"/>
    </row>
    <row r="1032" spans="1:13" x14ac:dyDescent="0.25">
      <c r="A1032" s="14"/>
      <c r="B1032" s="14"/>
      <c r="C1032" s="14"/>
      <c r="D1032" s="92"/>
      <c r="E1032" s="14"/>
      <c r="F1032" s="14"/>
      <c r="G1032" s="14"/>
      <c r="H1032" s="14"/>
      <c r="I1032" s="67"/>
      <c r="J1032" s="14"/>
      <c r="K1032" s="14"/>
      <c r="L1032" s="14"/>
      <c r="M1032" s="14"/>
    </row>
    <row r="1033" spans="1:13" x14ac:dyDescent="0.25">
      <c r="A1033" s="14"/>
      <c r="B1033" s="14"/>
      <c r="C1033" s="14"/>
      <c r="D1033" s="92"/>
      <c r="E1033" s="14"/>
      <c r="F1033" s="14"/>
      <c r="G1033" s="14"/>
      <c r="H1033" s="14"/>
      <c r="I1033" s="67"/>
      <c r="J1033" s="14"/>
      <c r="K1033" s="14"/>
      <c r="L1033" s="14"/>
      <c r="M1033" s="14"/>
    </row>
    <row r="1034" spans="1:13" x14ac:dyDescent="0.25">
      <c r="A1034" s="14"/>
      <c r="B1034" s="14"/>
      <c r="C1034" s="14"/>
      <c r="D1034" s="92"/>
      <c r="E1034" s="14"/>
      <c r="F1034" s="14"/>
      <c r="G1034" s="14"/>
      <c r="H1034" s="14"/>
      <c r="I1034" s="67"/>
      <c r="J1034" s="14"/>
      <c r="K1034" s="14"/>
      <c r="L1034" s="14"/>
      <c r="M1034" s="14"/>
    </row>
    <row r="1035" spans="1:13" x14ac:dyDescent="0.25">
      <c r="A1035" s="14"/>
      <c r="B1035" s="14"/>
      <c r="C1035" s="14"/>
      <c r="D1035" s="92"/>
      <c r="E1035" s="14"/>
      <c r="F1035" s="14"/>
      <c r="G1035" s="14"/>
      <c r="H1035" s="14"/>
      <c r="I1035" s="67"/>
      <c r="J1035" s="14"/>
      <c r="K1035" s="14"/>
      <c r="L1035" s="14"/>
      <c r="M1035" s="14"/>
    </row>
    <row r="1036" spans="1:13" x14ac:dyDescent="0.25">
      <c r="A1036" s="14"/>
      <c r="B1036" s="14"/>
      <c r="C1036" s="14"/>
      <c r="D1036" s="92"/>
      <c r="E1036" s="14"/>
      <c r="F1036" s="14"/>
      <c r="G1036" s="14"/>
      <c r="H1036" s="14"/>
      <c r="I1036" s="67"/>
      <c r="J1036" s="14"/>
      <c r="K1036" s="14"/>
      <c r="L1036" s="14"/>
      <c r="M1036" s="14"/>
    </row>
    <row r="1037" spans="1:13" x14ac:dyDescent="0.25">
      <c r="A1037" s="14"/>
      <c r="B1037" s="14"/>
      <c r="C1037" s="14"/>
      <c r="D1037" s="92"/>
      <c r="E1037" s="14"/>
      <c r="F1037" s="14"/>
      <c r="G1037" s="14"/>
      <c r="H1037" s="14"/>
      <c r="I1037" s="67"/>
      <c r="J1037" s="14"/>
      <c r="K1037" s="14"/>
      <c r="L1037" s="14"/>
      <c r="M1037" s="14"/>
    </row>
    <row r="1038" spans="1:13" x14ac:dyDescent="0.25">
      <c r="A1038" s="14"/>
      <c r="B1038" s="14"/>
      <c r="C1038" s="14"/>
      <c r="D1038" s="92"/>
      <c r="E1038" s="14"/>
      <c r="F1038" s="14"/>
      <c r="G1038" s="14"/>
      <c r="H1038" s="14"/>
      <c r="I1038" s="67"/>
      <c r="J1038" s="14"/>
      <c r="K1038" s="14"/>
      <c r="L1038" s="14"/>
      <c r="M1038" s="14"/>
    </row>
    <row r="1039" spans="1:13" x14ac:dyDescent="0.25">
      <c r="A1039" s="14"/>
      <c r="B1039" s="14"/>
      <c r="C1039" s="14"/>
      <c r="D1039" s="92"/>
      <c r="E1039" s="14"/>
      <c r="F1039" s="14"/>
      <c r="G1039" s="14"/>
      <c r="H1039" s="14"/>
      <c r="I1039" s="67"/>
      <c r="J1039" s="14"/>
      <c r="K1039" s="14"/>
      <c r="L1039" s="14"/>
      <c r="M1039" s="14"/>
    </row>
    <row r="1040" spans="1:13" x14ac:dyDescent="0.25">
      <c r="A1040" s="14"/>
      <c r="B1040" s="14"/>
      <c r="C1040" s="14"/>
      <c r="D1040" s="92"/>
      <c r="E1040" s="14"/>
      <c r="F1040" s="14"/>
      <c r="G1040" s="14"/>
      <c r="H1040" s="14"/>
      <c r="I1040" s="67"/>
      <c r="J1040" s="14"/>
      <c r="K1040" s="14"/>
      <c r="L1040" s="14"/>
      <c r="M1040" s="14"/>
    </row>
    <row r="1041" spans="1:13" x14ac:dyDescent="0.25">
      <c r="A1041" s="14"/>
      <c r="B1041" s="14"/>
      <c r="C1041" s="14"/>
      <c r="D1041" s="92"/>
      <c r="E1041" s="14"/>
      <c r="F1041" s="14"/>
      <c r="G1041" s="14"/>
      <c r="H1041" s="14"/>
      <c r="I1041" s="67"/>
      <c r="J1041" s="14"/>
      <c r="K1041" s="14"/>
      <c r="L1041" s="14"/>
      <c r="M1041" s="14"/>
    </row>
    <row r="1042" spans="1:13" x14ac:dyDescent="0.25">
      <c r="A1042" s="14"/>
      <c r="B1042" s="14"/>
      <c r="C1042" s="14"/>
      <c r="D1042" s="92"/>
      <c r="E1042" s="14"/>
      <c r="F1042" s="14"/>
      <c r="G1042" s="14"/>
      <c r="H1042" s="14"/>
      <c r="I1042" s="67"/>
      <c r="J1042" s="14"/>
      <c r="K1042" s="14"/>
      <c r="L1042" s="14"/>
      <c r="M1042" s="14"/>
    </row>
    <row r="1043" spans="1:13" x14ac:dyDescent="0.25">
      <c r="A1043" s="14"/>
      <c r="B1043" s="14"/>
      <c r="C1043" s="14"/>
      <c r="D1043" s="92"/>
      <c r="E1043" s="14"/>
      <c r="F1043" s="14"/>
      <c r="G1043" s="14"/>
      <c r="H1043" s="14"/>
      <c r="I1043" s="67"/>
      <c r="J1043" s="14"/>
      <c r="K1043" s="14"/>
      <c r="L1043" s="14"/>
      <c r="M1043" s="14"/>
    </row>
    <row r="1044" spans="1:13" x14ac:dyDescent="0.25">
      <c r="A1044" s="14"/>
      <c r="B1044" s="14"/>
      <c r="C1044" s="14"/>
      <c r="D1044" s="92"/>
      <c r="E1044" s="14"/>
      <c r="F1044" s="14"/>
      <c r="G1044" s="14"/>
      <c r="H1044" s="14"/>
      <c r="I1044" s="67"/>
      <c r="J1044" s="14"/>
      <c r="K1044" s="14"/>
      <c r="L1044" s="14"/>
      <c r="M1044" s="14"/>
    </row>
    <row r="1045" spans="1:13" x14ac:dyDescent="0.25">
      <c r="A1045" s="14"/>
      <c r="B1045" s="14"/>
      <c r="C1045" s="14"/>
      <c r="D1045" s="92"/>
      <c r="E1045" s="14"/>
      <c r="F1045" s="14"/>
      <c r="G1045" s="14"/>
      <c r="H1045" s="14"/>
      <c r="I1045" s="67"/>
      <c r="J1045" s="14"/>
      <c r="K1045" s="14"/>
      <c r="L1045" s="14"/>
      <c r="M1045" s="14"/>
    </row>
    <row r="1046" spans="1:13" x14ac:dyDescent="0.25">
      <c r="A1046" s="14"/>
      <c r="B1046" s="14"/>
      <c r="C1046" s="14"/>
      <c r="D1046" s="92"/>
      <c r="E1046" s="14"/>
      <c r="F1046" s="14"/>
      <c r="G1046" s="14"/>
      <c r="H1046" s="14"/>
      <c r="I1046" s="67"/>
      <c r="J1046" s="14"/>
      <c r="K1046" s="14"/>
      <c r="L1046" s="14"/>
      <c r="M1046" s="14"/>
    </row>
    <row r="1047" spans="1:13" x14ac:dyDescent="0.25">
      <c r="A1047" s="14"/>
      <c r="B1047" s="14"/>
      <c r="C1047" s="14"/>
      <c r="D1047" s="92"/>
      <c r="E1047" s="14"/>
      <c r="F1047" s="14"/>
      <c r="G1047" s="14"/>
      <c r="H1047" s="14"/>
      <c r="I1047" s="67"/>
      <c r="J1047" s="14"/>
      <c r="K1047" s="14"/>
      <c r="L1047" s="14"/>
      <c r="M1047" s="14"/>
    </row>
    <row r="1048" spans="1:13" x14ac:dyDescent="0.25">
      <c r="A1048" s="14"/>
      <c r="B1048" s="14"/>
      <c r="C1048" s="14"/>
      <c r="D1048" s="92"/>
      <c r="E1048" s="14"/>
      <c r="F1048" s="14"/>
      <c r="G1048" s="14"/>
      <c r="H1048" s="14"/>
      <c r="I1048" s="67"/>
      <c r="J1048" s="14"/>
      <c r="K1048" s="14"/>
      <c r="L1048" s="14"/>
      <c r="M1048" s="14"/>
    </row>
    <row r="1049" spans="1:13" x14ac:dyDescent="0.25">
      <c r="A1049" s="14"/>
      <c r="B1049" s="14"/>
      <c r="C1049" s="14"/>
      <c r="D1049" s="92"/>
      <c r="E1049" s="14"/>
      <c r="F1049" s="14"/>
      <c r="G1049" s="14"/>
      <c r="H1049" s="14"/>
      <c r="I1049" s="67"/>
      <c r="J1049" s="14"/>
      <c r="K1049" s="14"/>
      <c r="L1049" s="14"/>
      <c r="M1049" s="14"/>
    </row>
    <row r="1050" spans="1:13" x14ac:dyDescent="0.25">
      <c r="A1050" s="14"/>
      <c r="B1050" s="14"/>
      <c r="C1050" s="14"/>
      <c r="D1050" s="92"/>
      <c r="E1050" s="14"/>
      <c r="F1050" s="14"/>
      <c r="G1050" s="14"/>
      <c r="H1050" s="14"/>
      <c r="I1050" s="67"/>
      <c r="J1050" s="14"/>
      <c r="K1050" s="14"/>
      <c r="L1050" s="14"/>
      <c r="M1050" s="14"/>
    </row>
    <row r="1051" spans="1:13" x14ac:dyDescent="0.25">
      <c r="A1051" s="14"/>
      <c r="B1051" s="14"/>
      <c r="C1051" s="14"/>
      <c r="D1051" s="92"/>
      <c r="E1051" s="14"/>
      <c r="F1051" s="14"/>
      <c r="G1051" s="14"/>
      <c r="H1051" s="14"/>
      <c r="I1051" s="67"/>
      <c r="J1051" s="14"/>
      <c r="K1051" s="14"/>
      <c r="L1051" s="14"/>
      <c r="M1051" s="14"/>
    </row>
    <row r="1052" spans="1:13" x14ac:dyDescent="0.25">
      <c r="A1052" s="14"/>
      <c r="B1052" s="14"/>
      <c r="C1052" s="14"/>
      <c r="D1052" s="92"/>
      <c r="E1052" s="14"/>
      <c r="F1052" s="14"/>
      <c r="G1052" s="14"/>
      <c r="H1052" s="14"/>
      <c r="I1052" s="67"/>
      <c r="J1052" s="14"/>
      <c r="K1052" s="14"/>
      <c r="L1052" s="14"/>
      <c r="M1052" s="14"/>
    </row>
    <row r="1053" spans="1:13" x14ac:dyDescent="0.25">
      <c r="A1053" s="14"/>
      <c r="B1053" s="14"/>
      <c r="C1053" s="14"/>
      <c r="D1053" s="92"/>
      <c r="E1053" s="14"/>
      <c r="F1053" s="14"/>
      <c r="G1053" s="14"/>
      <c r="H1053" s="14"/>
      <c r="I1053" s="67"/>
      <c r="J1053" s="14"/>
      <c r="K1053" s="14"/>
      <c r="L1053" s="14"/>
      <c r="M1053" s="14"/>
    </row>
    <row r="1054" spans="1:13" x14ac:dyDescent="0.25">
      <c r="A1054" s="14"/>
      <c r="B1054" s="14"/>
      <c r="C1054" s="14"/>
      <c r="D1054" s="92"/>
      <c r="E1054" s="14"/>
      <c r="F1054" s="14"/>
      <c r="G1054" s="14"/>
      <c r="H1054" s="14"/>
      <c r="I1054" s="67"/>
      <c r="J1054" s="14"/>
      <c r="K1054" s="14"/>
      <c r="L1054" s="14"/>
      <c r="M1054" s="14"/>
    </row>
    <row r="1055" spans="1:13" x14ac:dyDescent="0.25">
      <c r="A1055" s="14"/>
      <c r="B1055" s="14"/>
      <c r="C1055" s="14"/>
      <c r="D1055" s="92"/>
      <c r="E1055" s="14"/>
      <c r="F1055" s="14"/>
      <c r="G1055" s="14"/>
      <c r="H1055" s="14"/>
      <c r="I1055" s="67"/>
      <c r="J1055" s="14"/>
      <c r="K1055" s="14"/>
      <c r="L1055" s="14"/>
      <c r="M1055" s="14"/>
    </row>
    <row r="1056" spans="1:13" x14ac:dyDescent="0.25">
      <c r="A1056" s="14"/>
      <c r="B1056" s="14"/>
      <c r="C1056" s="14"/>
      <c r="D1056" s="92"/>
      <c r="E1056" s="14"/>
      <c r="F1056" s="14"/>
      <c r="G1056" s="14"/>
      <c r="H1056" s="14"/>
      <c r="I1056" s="67"/>
      <c r="J1056" s="14"/>
      <c r="K1056" s="14"/>
      <c r="L1056" s="14"/>
      <c r="M1056" s="14"/>
    </row>
    <row r="1057" spans="1:13" x14ac:dyDescent="0.25">
      <c r="A1057" s="14"/>
      <c r="B1057" s="14"/>
      <c r="C1057" s="14"/>
      <c r="D1057" s="92"/>
      <c r="E1057" s="14"/>
      <c r="F1057" s="14"/>
      <c r="G1057" s="14"/>
      <c r="H1057" s="14"/>
      <c r="I1057" s="67"/>
      <c r="J1057" s="14"/>
      <c r="K1057" s="14"/>
      <c r="L1057" s="14"/>
      <c r="M1057" s="14"/>
    </row>
    <row r="1058" spans="1:13" x14ac:dyDescent="0.25">
      <c r="A1058" s="14"/>
      <c r="B1058" s="14"/>
      <c r="C1058" s="14"/>
      <c r="D1058" s="92"/>
      <c r="E1058" s="14"/>
      <c r="F1058" s="14"/>
      <c r="G1058" s="14"/>
      <c r="H1058" s="14"/>
      <c r="I1058" s="67"/>
      <c r="J1058" s="14"/>
      <c r="K1058" s="14"/>
      <c r="L1058" s="14"/>
      <c r="M1058" s="14"/>
    </row>
    <row r="1059" spans="1:13" x14ac:dyDescent="0.25">
      <c r="A1059" s="14"/>
      <c r="B1059" s="14"/>
      <c r="C1059" s="14"/>
      <c r="D1059" s="92"/>
      <c r="E1059" s="14"/>
      <c r="F1059" s="14"/>
      <c r="G1059" s="14"/>
      <c r="H1059" s="14"/>
      <c r="I1059" s="67"/>
      <c r="J1059" s="14"/>
      <c r="K1059" s="14"/>
      <c r="L1059" s="14"/>
      <c r="M1059" s="14"/>
    </row>
    <row r="1060" spans="1:13" x14ac:dyDescent="0.25">
      <c r="A1060" s="14"/>
      <c r="B1060" s="14"/>
      <c r="C1060" s="14"/>
      <c r="D1060" s="92"/>
      <c r="E1060" s="14"/>
      <c r="F1060" s="14"/>
      <c r="G1060" s="14"/>
      <c r="H1060" s="14"/>
      <c r="I1060" s="67"/>
      <c r="J1060" s="14"/>
      <c r="K1060" s="14"/>
      <c r="L1060" s="14"/>
      <c r="M1060" s="14"/>
    </row>
    <row r="1061" spans="1:13" x14ac:dyDescent="0.25">
      <c r="A1061" s="14"/>
      <c r="B1061" s="14"/>
      <c r="C1061" s="14"/>
      <c r="D1061" s="92"/>
      <c r="E1061" s="14"/>
      <c r="F1061" s="14"/>
      <c r="G1061" s="14"/>
      <c r="H1061" s="14"/>
      <c r="I1061" s="67"/>
      <c r="J1061" s="14"/>
      <c r="K1061" s="14"/>
      <c r="L1061" s="14"/>
      <c r="M1061" s="14"/>
    </row>
    <row r="1062" spans="1:13" x14ac:dyDescent="0.25">
      <c r="A1062" s="14"/>
      <c r="B1062" s="14"/>
      <c r="C1062" s="14"/>
      <c r="D1062" s="92"/>
      <c r="E1062" s="14"/>
      <c r="F1062" s="14"/>
      <c r="G1062" s="14"/>
      <c r="H1062" s="14"/>
      <c r="I1062" s="67"/>
      <c r="J1062" s="14"/>
      <c r="K1062" s="14"/>
      <c r="L1062" s="14"/>
      <c r="M1062" s="14"/>
    </row>
    <row r="1063" spans="1:13" x14ac:dyDescent="0.25">
      <c r="A1063" s="14"/>
      <c r="B1063" s="14"/>
      <c r="C1063" s="14"/>
      <c r="D1063" s="92"/>
      <c r="E1063" s="14"/>
      <c r="F1063" s="14"/>
      <c r="G1063" s="14"/>
      <c r="H1063" s="14"/>
      <c r="I1063" s="67"/>
      <c r="J1063" s="14"/>
      <c r="K1063" s="14"/>
      <c r="L1063" s="14"/>
      <c r="M1063" s="14"/>
    </row>
    <row r="1064" spans="1:13" x14ac:dyDescent="0.25">
      <c r="A1064" s="14"/>
      <c r="B1064" s="14"/>
      <c r="C1064" s="14"/>
      <c r="D1064" s="92"/>
      <c r="E1064" s="14"/>
      <c r="F1064" s="14"/>
      <c r="G1064" s="14"/>
      <c r="H1064" s="14"/>
      <c r="I1064" s="67"/>
      <c r="J1064" s="14"/>
      <c r="K1064" s="14"/>
      <c r="L1064" s="14"/>
      <c r="M1064" s="14"/>
    </row>
    <row r="1065" spans="1:13" x14ac:dyDescent="0.25">
      <c r="A1065" s="14"/>
      <c r="B1065" s="14"/>
      <c r="C1065" s="14"/>
      <c r="D1065" s="92"/>
      <c r="E1065" s="14"/>
      <c r="F1065" s="14"/>
      <c r="G1065" s="14"/>
      <c r="H1065" s="14"/>
      <c r="I1065" s="67"/>
      <c r="J1065" s="14"/>
      <c r="K1065" s="14"/>
      <c r="L1065" s="14"/>
      <c r="M1065" s="14"/>
    </row>
    <row r="1066" spans="1:13" x14ac:dyDescent="0.25">
      <c r="A1066" s="14"/>
      <c r="B1066" s="14"/>
      <c r="C1066" s="14"/>
      <c r="D1066" s="92"/>
      <c r="E1066" s="14"/>
      <c r="F1066" s="14"/>
      <c r="G1066" s="14"/>
      <c r="H1066" s="14"/>
      <c r="I1066" s="67"/>
      <c r="J1066" s="14"/>
      <c r="K1066" s="14"/>
      <c r="L1066" s="14"/>
      <c r="M1066" s="14"/>
    </row>
    <row r="1067" spans="1:13" x14ac:dyDescent="0.25">
      <c r="A1067" s="14"/>
      <c r="B1067" s="14"/>
      <c r="C1067" s="14"/>
      <c r="D1067" s="92"/>
      <c r="E1067" s="14"/>
      <c r="F1067" s="14"/>
      <c r="G1067" s="14"/>
      <c r="H1067" s="14"/>
      <c r="I1067" s="67"/>
      <c r="J1067" s="14"/>
      <c r="K1067" s="14"/>
      <c r="L1067" s="14"/>
      <c r="M1067" s="14"/>
    </row>
    <row r="1068" spans="1:13" x14ac:dyDescent="0.25">
      <c r="A1068" s="14"/>
      <c r="B1068" s="14"/>
      <c r="C1068" s="14"/>
      <c r="D1068" s="92"/>
      <c r="E1068" s="14"/>
      <c r="F1068" s="14"/>
      <c r="G1068" s="14"/>
      <c r="H1068" s="14"/>
      <c r="I1068" s="67"/>
      <c r="J1068" s="14"/>
      <c r="K1068" s="14"/>
      <c r="L1068" s="14"/>
      <c r="M1068" s="14"/>
    </row>
    <row r="1069" spans="1:13" x14ac:dyDescent="0.25">
      <c r="A1069" s="14"/>
      <c r="B1069" s="14"/>
      <c r="C1069" s="14"/>
      <c r="D1069" s="92"/>
      <c r="E1069" s="14"/>
      <c r="F1069" s="14"/>
      <c r="G1069" s="14"/>
      <c r="H1069" s="14"/>
      <c r="I1069" s="67"/>
      <c r="J1069" s="14"/>
      <c r="K1069" s="14"/>
      <c r="L1069" s="14"/>
      <c r="M1069" s="14"/>
    </row>
    <row r="1070" spans="1:13" x14ac:dyDescent="0.25">
      <c r="A1070" s="14"/>
      <c r="B1070" s="14"/>
      <c r="C1070" s="14"/>
      <c r="D1070" s="92"/>
      <c r="E1070" s="14"/>
      <c r="F1070" s="14"/>
      <c r="G1070" s="14"/>
      <c r="H1070" s="14"/>
      <c r="I1070" s="67"/>
      <c r="J1070" s="14"/>
      <c r="K1070" s="14"/>
      <c r="L1070" s="14"/>
      <c r="M1070" s="14"/>
    </row>
    <row r="1071" spans="1:13" x14ac:dyDescent="0.25">
      <c r="A1071" s="14"/>
      <c r="B1071" s="14"/>
      <c r="C1071" s="14"/>
      <c r="D1071" s="92"/>
      <c r="E1071" s="14"/>
      <c r="F1071" s="14"/>
      <c r="G1071" s="14"/>
      <c r="H1071" s="14"/>
      <c r="I1071" s="67"/>
      <c r="J1071" s="14"/>
      <c r="K1071" s="14"/>
      <c r="L1071" s="14"/>
      <c r="M1071" s="14"/>
    </row>
    <row r="1072" spans="1:13" x14ac:dyDescent="0.25">
      <c r="A1072" s="14"/>
      <c r="B1072" s="14"/>
      <c r="C1072" s="14"/>
      <c r="D1072" s="92"/>
      <c r="E1072" s="14"/>
      <c r="F1072" s="14"/>
      <c r="G1072" s="14"/>
      <c r="H1072" s="14"/>
      <c r="I1072" s="67"/>
      <c r="J1072" s="14"/>
      <c r="K1072" s="14"/>
      <c r="L1072" s="14"/>
      <c r="M1072" s="14"/>
    </row>
    <row r="1073" spans="1:13" x14ac:dyDescent="0.25">
      <c r="A1073" s="14"/>
      <c r="B1073" s="14"/>
      <c r="C1073" s="14"/>
      <c r="D1073" s="92"/>
      <c r="E1073" s="14"/>
      <c r="F1073" s="14"/>
      <c r="G1073" s="14"/>
      <c r="H1073" s="14"/>
      <c r="I1073" s="67"/>
      <c r="J1073" s="14"/>
      <c r="K1073" s="14"/>
      <c r="L1073" s="14"/>
      <c r="M1073" s="14"/>
    </row>
    <row r="1074" spans="1:13" x14ac:dyDescent="0.25">
      <c r="A1074" s="14"/>
      <c r="B1074" s="14"/>
      <c r="C1074" s="14"/>
      <c r="D1074" s="92"/>
      <c r="E1074" s="14"/>
      <c r="F1074" s="14"/>
      <c r="G1074" s="14"/>
      <c r="H1074" s="14"/>
      <c r="I1074" s="67"/>
      <c r="J1074" s="14"/>
      <c r="K1074" s="14"/>
      <c r="L1074" s="14"/>
      <c r="M1074" s="14"/>
    </row>
    <row r="1075" spans="1:13" x14ac:dyDescent="0.25">
      <c r="A1075" s="14"/>
      <c r="B1075" s="14"/>
      <c r="C1075" s="14"/>
      <c r="D1075" s="92"/>
      <c r="E1075" s="14"/>
      <c r="F1075" s="14"/>
      <c r="G1075" s="14"/>
      <c r="H1075" s="14"/>
      <c r="I1075" s="67"/>
      <c r="J1075" s="14"/>
      <c r="K1075" s="14"/>
      <c r="L1075" s="14"/>
      <c r="M1075" s="14"/>
    </row>
    <row r="1076" spans="1:13" x14ac:dyDescent="0.25">
      <c r="A1076" s="14"/>
      <c r="B1076" s="14"/>
      <c r="C1076" s="14"/>
      <c r="D1076" s="92"/>
      <c r="E1076" s="14"/>
      <c r="F1076" s="14"/>
      <c r="G1076" s="14"/>
      <c r="H1076" s="14"/>
      <c r="I1076" s="67"/>
      <c r="J1076" s="14"/>
      <c r="K1076" s="14"/>
      <c r="L1076" s="14"/>
      <c r="M1076" s="14"/>
    </row>
    <row r="1077" spans="1:13" x14ac:dyDescent="0.25">
      <c r="A1077" s="14"/>
      <c r="B1077" s="14"/>
      <c r="C1077" s="14"/>
      <c r="D1077" s="92"/>
      <c r="E1077" s="14"/>
      <c r="F1077" s="14"/>
      <c r="G1077" s="14"/>
      <c r="H1077" s="14"/>
      <c r="I1077" s="67"/>
      <c r="J1077" s="14"/>
      <c r="K1077" s="14"/>
      <c r="L1077" s="14"/>
      <c r="M1077" s="14"/>
    </row>
    <row r="1078" spans="1:13" x14ac:dyDescent="0.25">
      <c r="A1078" s="14"/>
      <c r="B1078" s="14"/>
      <c r="C1078" s="14"/>
      <c r="D1078" s="92"/>
      <c r="E1078" s="14"/>
      <c r="F1078" s="14"/>
      <c r="G1078" s="14"/>
      <c r="H1078" s="14"/>
      <c r="I1078" s="67"/>
      <c r="J1078" s="14"/>
      <c r="K1078" s="14"/>
      <c r="L1078" s="14"/>
      <c r="M1078" s="14"/>
    </row>
    <row r="1079" spans="1:13" x14ac:dyDescent="0.25">
      <c r="A1079" s="14"/>
      <c r="B1079" s="14"/>
      <c r="C1079" s="14"/>
      <c r="D1079" s="92"/>
      <c r="E1079" s="14"/>
      <c r="F1079" s="14"/>
      <c r="G1079" s="14"/>
      <c r="H1079" s="14"/>
      <c r="I1079" s="67"/>
      <c r="J1079" s="14"/>
      <c r="K1079" s="14"/>
      <c r="L1079" s="14"/>
      <c r="M1079" s="14"/>
    </row>
    <row r="1080" spans="1:13" x14ac:dyDescent="0.25">
      <c r="A1080" s="14"/>
      <c r="B1080" s="14"/>
      <c r="C1080" s="14"/>
      <c r="D1080" s="92"/>
      <c r="E1080" s="14"/>
      <c r="F1080" s="14"/>
      <c r="G1080" s="14"/>
      <c r="H1080" s="14"/>
      <c r="I1080" s="67"/>
      <c r="J1080" s="14"/>
      <c r="K1080" s="14"/>
      <c r="L1080" s="14"/>
      <c r="M1080" s="14"/>
    </row>
    <row r="1081" spans="1:13" x14ac:dyDescent="0.25">
      <c r="A1081" s="14"/>
      <c r="B1081" s="14"/>
      <c r="C1081" s="14"/>
      <c r="D1081" s="92"/>
      <c r="E1081" s="14"/>
      <c r="F1081" s="14"/>
      <c r="G1081" s="14"/>
      <c r="H1081" s="14"/>
      <c r="I1081" s="67"/>
      <c r="J1081" s="14"/>
      <c r="K1081" s="14"/>
      <c r="L1081" s="14"/>
      <c r="M1081" s="14"/>
    </row>
    <row r="1082" spans="1:13" x14ac:dyDescent="0.25">
      <c r="A1082" s="14"/>
      <c r="B1082" s="14"/>
      <c r="C1082" s="14"/>
      <c r="D1082" s="92"/>
      <c r="E1082" s="14"/>
      <c r="F1082" s="14"/>
      <c r="G1082" s="14"/>
      <c r="H1082" s="14"/>
      <c r="I1082" s="67"/>
      <c r="J1082" s="14"/>
      <c r="K1082" s="14"/>
      <c r="L1082" s="14"/>
      <c r="M1082" s="14"/>
    </row>
    <row r="1083" spans="1:13" x14ac:dyDescent="0.25">
      <c r="A1083" s="14"/>
      <c r="B1083" s="14"/>
      <c r="C1083" s="14"/>
      <c r="D1083" s="92"/>
      <c r="E1083" s="14"/>
      <c r="F1083" s="14"/>
      <c r="G1083" s="14"/>
      <c r="H1083" s="14"/>
      <c r="I1083" s="67"/>
      <c r="J1083" s="14"/>
      <c r="K1083" s="14"/>
      <c r="L1083" s="14"/>
      <c r="M1083" s="14"/>
    </row>
    <row r="1084" spans="1:13" x14ac:dyDescent="0.25">
      <c r="A1084" s="14"/>
      <c r="B1084" s="14"/>
      <c r="C1084" s="14"/>
      <c r="D1084" s="92"/>
      <c r="E1084" s="14"/>
      <c r="F1084" s="14"/>
      <c r="G1084" s="14"/>
      <c r="H1084" s="14"/>
      <c r="I1084" s="67"/>
      <c r="J1084" s="14"/>
      <c r="K1084" s="14"/>
      <c r="L1084" s="14"/>
      <c r="M1084" s="14"/>
    </row>
    <row r="1085" spans="1:13" x14ac:dyDescent="0.25">
      <c r="A1085" s="14"/>
      <c r="B1085" s="14"/>
      <c r="C1085" s="14"/>
      <c r="D1085" s="92"/>
      <c r="E1085" s="14"/>
      <c r="F1085" s="14"/>
      <c r="G1085" s="14"/>
      <c r="H1085" s="14"/>
      <c r="I1085" s="67"/>
      <c r="J1085" s="14"/>
      <c r="K1085" s="14"/>
      <c r="L1085" s="14"/>
      <c r="M1085" s="14"/>
    </row>
    <row r="1086" spans="1:13" x14ac:dyDescent="0.25">
      <c r="A1086" s="14"/>
      <c r="B1086" s="14"/>
      <c r="C1086" s="14"/>
      <c r="D1086" s="92"/>
      <c r="E1086" s="14"/>
      <c r="F1086" s="14"/>
      <c r="G1086" s="14"/>
      <c r="H1086" s="14"/>
      <c r="I1086" s="67"/>
      <c r="J1086" s="14"/>
      <c r="K1086" s="14"/>
      <c r="L1086" s="14"/>
      <c r="M1086" s="14"/>
    </row>
    <row r="1087" spans="1:13" x14ac:dyDescent="0.25">
      <c r="A1087" s="14"/>
      <c r="B1087" s="14"/>
      <c r="C1087" s="14"/>
      <c r="D1087" s="92"/>
      <c r="E1087" s="14"/>
      <c r="F1087" s="14"/>
      <c r="G1087" s="14"/>
      <c r="H1087" s="14"/>
      <c r="I1087" s="67"/>
      <c r="J1087" s="14"/>
      <c r="K1087" s="14"/>
      <c r="L1087" s="14"/>
      <c r="M1087" s="14"/>
    </row>
    <row r="1088" spans="1:13" x14ac:dyDescent="0.25">
      <c r="A1088" s="14"/>
      <c r="B1088" s="14"/>
      <c r="C1088" s="14"/>
      <c r="D1088" s="92"/>
      <c r="E1088" s="14"/>
      <c r="F1088" s="14"/>
      <c r="G1088" s="14"/>
      <c r="H1088" s="14"/>
      <c r="I1088" s="67"/>
      <c r="J1088" s="14"/>
      <c r="K1088" s="14"/>
      <c r="L1088" s="14"/>
      <c r="M1088" s="14"/>
    </row>
    <row r="1089" spans="1:13" x14ac:dyDescent="0.25">
      <c r="A1089" s="14"/>
      <c r="B1089" s="14"/>
      <c r="C1089" s="14"/>
      <c r="D1089" s="92"/>
      <c r="E1089" s="14"/>
      <c r="F1089" s="14"/>
      <c r="G1089" s="14"/>
      <c r="H1089" s="14"/>
      <c r="I1089" s="67"/>
      <c r="J1089" s="14"/>
      <c r="K1089" s="14"/>
      <c r="L1089" s="14"/>
      <c r="M1089" s="14"/>
    </row>
    <row r="1090" spans="1:13" x14ac:dyDescent="0.25">
      <c r="A1090" s="14"/>
      <c r="B1090" s="14"/>
      <c r="C1090" s="14"/>
      <c r="D1090" s="92"/>
      <c r="E1090" s="14"/>
      <c r="F1090" s="14"/>
      <c r="G1090" s="14"/>
      <c r="H1090" s="14"/>
      <c r="I1090" s="67"/>
      <c r="J1090" s="14"/>
      <c r="K1090" s="14"/>
      <c r="L1090" s="14"/>
      <c r="M1090" s="14"/>
    </row>
    <row r="1091" spans="1:13" x14ac:dyDescent="0.25">
      <c r="A1091" s="14"/>
      <c r="B1091" s="14"/>
      <c r="C1091" s="14"/>
      <c r="D1091" s="92"/>
      <c r="E1091" s="14"/>
      <c r="F1091" s="14"/>
      <c r="G1091" s="14"/>
      <c r="H1091" s="14"/>
      <c r="I1091" s="67"/>
      <c r="J1091" s="14"/>
      <c r="K1091" s="14"/>
      <c r="L1091" s="14"/>
      <c r="M1091" s="14"/>
    </row>
    <row r="1092" spans="1:13" x14ac:dyDescent="0.25">
      <c r="A1092" s="14"/>
      <c r="B1092" s="14"/>
      <c r="C1092" s="14"/>
      <c r="D1092" s="92"/>
      <c r="E1092" s="14"/>
      <c r="F1092" s="14"/>
      <c r="G1092" s="14"/>
      <c r="H1092" s="14"/>
      <c r="I1092" s="67"/>
      <c r="J1092" s="14"/>
      <c r="K1092" s="14"/>
      <c r="L1092" s="14"/>
      <c r="M1092" s="14"/>
    </row>
    <row r="1093" spans="1:13" x14ac:dyDescent="0.25">
      <c r="A1093" s="14"/>
      <c r="B1093" s="14"/>
      <c r="C1093" s="14"/>
      <c r="D1093" s="92"/>
      <c r="E1093" s="14"/>
      <c r="F1093" s="14"/>
      <c r="G1093" s="14"/>
      <c r="H1093" s="14"/>
      <c r="I1093" s="67"/>
      <c r="J1093" s="14"/>
      <c r="K1093" s="14"/>
      <c r="L1093" s="14"/>
      <c r="M1093" s="14"/>
    </row>
    <row r="1094" spans="1:13" x14ac:dyDescent="0.25">
      <c r="A1094" s="14"/>
      <c r="B1094" s="14"/>
      <c r="C1094" s="14"/>
      <c r="D1094" s="92"/>
      <c r="E1094" s="14"/>
      <c r="F1094" s="14"/>
      <c r="G1094" s="14"/>
      <c r="H1094" s="14"/>
      <c r="I1094" s="67"/>
      <c r="J1094" s="14"/>
      <c r="K1094" s="14"/>
      <c r="L1094" s="14"/>
      <c r="M1094" s="14"/>
    </row>
    <row r="1095" spans="1:13" x14ac:dyDescent="0.25">
      <c r="A1095" s="14"/>
      <c r="B1095" s="14"/>
      <c r="C1095" s="14"/>
      <c r="D1095" s="92"/>
      <c r="E1095" s="14"/>
      <c r="F1095" s="14"/>
      <c r="G1095" s="14"/>
      <c r="H1095" s="14"/>
      <c r="I1095" s="67"/>
      <c r="J1095" s="14"/>
      <c r="K1095" s="14"/>
      <c r="L1095" s="14"/>
      <c r="M1095" s="14"/>
    </row>
    <row r="1096" spans="1:13" x14ac:dyDescent="0.25">
      <c r="A1096" s="14"/>
      <c r="B1096" s="14"/>
      <c r="C1096" s="14"/>
      <c r="D1096" s="92"/>
      <c r="E1096" s="14"/>
      <c r="F1096" s="14"/>
      <c r="G1096" s="14"/>
      <c r="H1096" s="14"/>
      <c r="I1096" s="67"/>
      <c r="J1096" s="14"/>
      <c r="K1096" s="14"/>
      <c r="L1096" s="14"/>
      <c r="M1096" s="14"/>
    </row>
    <row r="1097" spans="1:13" x14ac:dyDescent="0.25">
      <c r="A1097" s="14"/>
      <c r="B1097" s="14"/>
      <c r="C1097" s="14"/>
      <c r="D1097" s="92"/>
      <c r="E1097" s="14"/>
      <c r="F1097" s="14"/>
      <c r="G1097" s="14"/>
      <c r="H1097" s="14"/>
      <c r="I1097" s="67"/>
      <c r="J1097" s="14"/>
      <c r="K1097" s="14"/>
      <c r="L1097" s="14"/>
      <c r="M1097" s="14"/>
    </row>
    <row r="1098" spans="1:13" x14ac:dyDescent="0.25">
      <c r="A1098" s="14"/>
      <c r="B1098" s="14"/>
      <c r="C1098" s="14"/>
      <c r="D1098" s="92"/>
      <c r="E1098" s="14"/>
      <c r="F1098" s="14"/>
      <c r="G1098" s="14"/>
      <c r="H1098" s="14"/>
      <c r="I1098" s="67"/>
      <c r="J1098" s="14"/>
      <c r="K1098" s="14"/>
      <c r="L1098" s="14"/>
      <c r="M1098" s="14"/>
    </row>
    <row r="1099" spans="1:13" x14ac:dyDescent="0.25">
      <c r="A1099" s="14"/>
      <c r="B1099" s="14"/>
      <c r="C1099" s="14"/>
      <c r="D1099" s="92"/>
      <c r="E1099" s="14"/>
      <c r="F1099" s="14"/>
      <c r="G1099" s="14"/>
      <c r="H1099" s="14"/>
      <c r="I1099" s="67"/>
      <c r="J1099" s="14"/>
      <c r="K1099" s="14"/>
      <c r="L1099" s="14"/>
      <c r="M1099" s="14"/>
    </row>
    <row r="1100" spans="1:13" x14ac:dyDescent="0.25">
      <c r="A1100" s="14"/>
      <c r="B1100" s="14"/>
      <c r="C1100" s="14"/>
      <c r="D1100" s="92"/>
      <c r="E1100" s="14"/>
      <c r="F1100" s="14"/>
      <c r="G1100" s="14"/>
      <c r="H1100" s="14"/>
      <c r="I1100" s="67"/>
      <c r="J1100" s="14"/>
      <c r="K1100" s="14"/>
      <c r="L1100" s="14"/>
      <c r="M1100" s="14"/>
    </row>
    <row r="1101" spans="1:13" x14ac:dyDescent="0.25">
      <c r="A1101" s="14"/>
      <c r="B1101" s="14"/>
      <c r="C1101" s="14"/>
      <c r="D1101" s="92"/>
      <c r="E1101" s="14"/>
      <c r="F1101" s="14"/>
      <c r="G1101" s="14"/>
      <c r="H1101" s="14"/>
      <c r="I1101" s="67"/>
      <c r="J1101" s="14"/>
      <c r="K1101" s="14"/>
      <c r="L1101" s="14"/>
      <c r="M1101" s="14"/>
    </row>
    <row r="1102" spans="1:13" x14ac:dyDescent="0.25">
      <c r="A1102" s="14"/>
      <c r="B1102" s="14"/>
      <c r="C1102" s="14"/>
      <c r="D1102" s="92"/>
      <c r="E1102" s="14"/>
      <c r="F1102" s="14"/>
      <c r="G1102" s="14"/>
      <c r="H1102" s="14"/>
      <c r="I1102" s="67"/>
      <c r="J1102" s="14"/>
      <c r="K1102" s="14"/>
      <c r="L1102" s="14"/>
      <c r="M1102" s="14"/>
    </row>
    <row r="1103" spans="1:13" x14ac:dyDescent="0.25">
      <c r="A1103" s="14"/>
      <c r="B1103" s="14"/>
      <c r="C1103" s="14"/>
      <c r="D1103" s="92"/>
      <c r="E1103" s="14"/>
      <c r="F1103" s="14"/>
      <c r="G1103" s="14"/>
      <c r="H1103" s="14"/>
      <c r="I1103" s="67"/>
      <c r="J1103" s="14"/>
      <c r="K1103" s="14"/>
      <c r="L1103" s="14"/>
      <c r="M1103" s="14"/>
    </row>
    <row r="1104" spans="1:13" x14ac:dyDescent="0.25">
      <c r="A1104" s="14"/>
      <c r="B1104" s="14"/>
      <c r="C1104" s="14"/>
      <c r="D1104" s="92"/>
      <c r="E1104" s="14"/>
      <c r="F1104" s="14"/>
      <c r="G1104" s="14"/>
      <c r="H1104" s="14"/>
      <c r="I1104" s="67"/>
      <c r="J1104" s="14"/>
      <c r="K1104" s="14"/>
      <c r="L1104" s="14"/>
      <c r="M1104" s="14"/>
    </row>
    <row r="1105" spans="1:13" x14ac:dyDescent="0.25">
      <c r="A1105" s="14"/>
      <c r="B1105" s="14"/>
      <c r="C1105" s="14"/>
      <c r="D1105" s="92"/>
      <c r="E1105" s="14"/>
      <c r="F1105" s="14"/>
      <c r="G1105" s="14"/>
      <c r="H1105" s="14"/>
      <c r="I1105" s="67"/>
      <c r="J1105" s="14"/>
      <c r="K1105" s="14"/>
      <c r="L1105" s="14"/>
      <c r="M1105" s="14"/>
    </row>
    <row r="1106" spans="1:13" x14ac:dyDescent="0.25">
      <c r="A1106" s="14"/>
      <c r="B1106" s="14"/>
      <c r="C1106" s="14"/>
      <c r="D1106" s="92"/>
      <c r="E1106" s="14"/>
      <c r="F1106" s="14"/>
      <c r="G1106" s="14"/>
      <c r="H1106" s="14"/>
      <c r="I1106" s="67"/>
      <c r="J1106" s="14"/>
      <c r="K1106" s="14"/>
      <c r="L1106" s="14"/>
      <c r="M1106" s="14"/>
    </row>
    <row r="1107" spans="1:13" x14ac:dyDescent="0.25">
      <c r="A1107" s="14"/>
      <c r="B1107" s="14"/>
      <c r="C1107" s="14"/>
      <c r="D1107" s="92"/>
      <c r="E1107" s="14"/>
      <c r="F1107" s="14"/>
      <c r="G1107" s="14"/>
      <c r="H1107" s="14"/>
      <c r="I1107" s="67"/>
      <c r="J1107" s="14"/>
      <c r="K1107" s="14"/>
      <c r="L1107" s="14"/>
      <c r="M1107" s="14"/>
    </row>
    <row r="1108" spans="1:13" x14ac:dyDescent="0.25">
      <c r="A1108" s="14"/>
      <c r="B1108" s="14"/>
      <c r="C1108" s="14"/>
      <c r="D1108" s="92"/>
      <c r="E1108" s="14"/>
      <c r="F1108" s="14"/>
      <c r="G1108" s="14"/>
      <c r="H1108" s="14"/>
      <c r="I1108" s="67"/>
      <c r="J1108" s="14"/>
      <c r="K1108" s="14"/>
      <c r="L1108" s="14"/>
      <c r="M1108" s="14"/>
    </row>
    <row r="1109" spans="1:13" x14ac:dyDescent="0.25">
      <c r="A1109" s="14"/>
      <c r="B1109" s="14"/>
      <c r="C1109" s="14"/>
      <c r="D1109" s="92"/>
      <c r="E1109" s="14"/>
      <c r="F1109" s="14"/>
      <c r="G1109" s="14"/>
      <c r="H1109" s="14"/>
      <c r="I1109" s="67"/>
      <c r="J1109" s="14"/>
      <c r="K1109" s="14"/>
      <c r="L1109" s="14"/>
      <c r="M1109" s="14"/>
    </row>
    <row r="1110" spans="1:13" x14ac:dyDescent="0.25">
      <c r="A1110" s="14"/>
      <c r="B1110" s="14"/>
      <c r="C1110" s="14"/>
      <c r="D1110" s="92"/>
      <c r="E1110" s="14"/>
      <c r="F1110" s="14"/>
      <c r="G1110" s="14"/>
      <c r="H1110" s="14"/>
      <c r="I1110" s="67"/>
      <c r="J1110" s="14"/>
      <c r="K1110" s="14"/>
      <c r="L1110" s="14"/>
      <c r="M1110" s="14"/>
    </row>
    <row r="1111" spans="1:13" x14ac:dyDescent="0.25">
      <c r="A1111" s="14"/>
      <c r="B1111" s="14"/>
      <c r="C1111" s="14"/>
      <c r="D1111" s="92"/>
      <c r="E1111" s="14"/>
      <c r="F1111" s="14"/>
      <c r="G1111" s="14"/>
      <c r="H1111" s="14"/>
      <c r="I1111" s="67"/>
      <c r="J1111" s="14"/>
      <c r="K1111" s="14"/>
      <c r="L1111" s="14"/>
      <c r="M1111" s="14"/>
    </row>
    <row r="1112" spans="1:13" x14ac:dyDescent="0.25">
      <c r="A1112" s="14"/>
      <c r="B1112" s="14"/>
      <c r="C1112" s="14"/>
      <c r="D1112" s="92"/>
      <c r="E1112" s="14"/>
      <c r="F1112" s="14"/>
      <c r="G1112" s="14"/>
      <c r="H1112" s="14"/>
      <c r="I1112" s="67"/>
      <c r="J1112" s="14"/>
      <c r="K1112" s="14"/>
      <c r="L1112" s="14"/>
      <c r="M1112" s="14"/>
    </row>
    <row r="1113" spans="1:13" x14ac:dyDescent="0.25">
      <c r="A1113" s="14"/>
      <c r="B1113" s="14"/>
      <c r="C1113" s="14"/>
      <c r="D1113" s="92"/>
      <c r="E1113" s="14"/>
      <c r="F1113" s="14"/>
      <c r="G1113" s="14"/>
      <c r="H1113" s="14"/>
      <c r="I1113" s="67"/>
      <c r="J1113" s="14"/>
      <c r="K1113" s="14"/>
      <c r="L1113" s="14"/>
      <c r="M1113" s="14"/>
    </row>
    <row r="1114" spans="1:13" x14ac:dyDescent="0.25">
      <c r="A1114" s="14"/>
      <c r="B1114" s="14"/>
      <c r="C1114" s="14"/>
      <c r="D1114" s="92"/>
      <c r="E1114" s="14"/>
      <c r="F1114" s="14"/>
      <c r="G1114" s="14"/>
      <c r="H1114" s="14"/>
      <c r="I1114" s="67"/>
      <c r="J1114" s="14"/>
      <c r="K1114" s="14"/>
      <c r="L1114" s="14"/>
      <c r="M1114" s="14"/>
    </row>
    <row r="1115" spans="1:13" x14ac:dyDescent="0.25">
      <c r="A1115" s="14"/>
      <c r="B1115" s="14"/>
      <c r="C1115" s="14"/>
      <c r="D1115" s="92"/>
      <c r="E1115" s="14"/>
      <c r="F1115" s="14"/>
      <c r="G1115" s="14"/>
      <c r="H1115" s="14"/>
      <c r="I1115" s="67"/>
      <c r="J1115" s="14"/>
      <c r="K1115" s="14"/>
      <c r="L1115" s="14"/>
      <c r="M1115" s="14"/>
    </row>
    <row r="1116" spans="1:13" x14ac:dyDescent="0.25">
      <c r="A1116" s="14"/>
      <c r="B1116" s="14"/>
      <c r="C1116" s="14"/>
      <c r="D1116" s="92"/>
      <c r="E1116" s="14"/>
      <c r="F1116" s="14"/>
      <c r="G1116" s="14"/>
      <c r="H1116" s="14"/>
      <c r="I1116" s="67"/>
      <c r="J1116" s="14"/>
      <c r="K1116" s="14"/>
      <c r="L1116" s="14"/>
      <c r="M1116" s="14"/>
    </row>
    <row r="1117" spans="1:13" x14ac:dyDescent="0.25">
      <c r="A1117" s="14"/>
      <c r="B1117" s="14"/>
      <c r="C1117" s="14"/>
      <c r="D1117" s="92"/>
      <c r="E1117" s="14"/>
      <c r="F1117" s="14"/>
      <c r="G1117" s="14"/>
      <c r="H1117" s="14"/>
      <c r="I1117" s="67"/>
      <c r="J1117" s="14"/>
      <c r="K1117" s="14"/>
      <c r="L1117" s="14"/>
      <c r="M1117" s="14"/>
    </row>
    <row r="1118" spans="1:13" x14ac:dyDescent="0.25">
      <c r="A1118" s="14"/>
      <c r="B1118" s="14"/>
      <c r="C1118" s="14"/>
      <c r="D1118" s="92"/>
      <c r="E1118" s="14"/>
      <c r="F1118" s="14"/>
      <c r="G1118" s="14"/>
      <c r="H1118" s="14"/>
      <c r="I1118" s="67"/>
      <c r="J1118" s="14"/>
      <c r="K1118" s="14"/>
      <c r="L1118" s="14"/>
      <c r="M1118" s="14"/>
    </row>
    <row r="1119" spans="1:13" x14ac:dyDescent="0.25">
      <c r="A1119" s="14"/>
      <c r="B1119" s="14"/>
      <c r="C1119" s="14"/>
      <c r="D1119" s="92"/>
      <c r="E1119" s="14"/>
      <c r="F1119" s="14"/>
      <c r="G1119" s="14"/>
      <c r="H1119" s="14"/>
      <c r="I1119" s="67"/>
      <c r="J1119" s="14"/>
      <c r="K1119" s="14"/>
      <c r="L1119" s="14"/>
      <c r="M1119" s="14"/>
    </row>
    <row r="1120" spans="1:13" x14ac:dyDescent="0.25">
      <c r="A1120" s="14"/>
      <c r="B1120" s="14"/>
      <c r="C1120" s="14"/>
      <c r="D1120" s="92"/>
      <c r="E1120" s="14"/>
      <c r="F1120" s="14"/>
      <c r="G1120" s="14"/>
      <c r="H1120" s="14"/>
      <c r="I1120" s="67"/>
      <c r="J1120" s="14"/>
      <c r="K1120" s="14"/>
      <c r="L1120" s="14"/>
      <c r="M1120" s="14"/>
    </row>
    <row r="1121" spans="1:13" x14ac:dyDescent="0.25">
      <c r="A1121" s="14"/>
      <c r="B1121" s="14"/>
      <c r="C1121" s="14"/>
      <c r="D1121" s="92"/>
      <c r="E1121" s="14"/>
      <c r="F1121" s="14"/>
      <c r="G1121" s="14"/>
      <c r="H1121" s="14"/>
      <c r="I1121" s="67"/>
      <c r="J1121" s="14"/>
      <c r="K1121" s="14"/>
      <c r="L1121" s="14"/>
      <c r="M1121" s="14"/>
    </row>
    <row r="1122" spans="1:13" x14ac:dyDescent="0.25">
      <c r="A1122" s="14"/>
      <c r="B1122" s="14"/>
      <c r="C1122" s="14"/>
      <c r="D1122" s="92"/>
      <c r="E1122" s="14"/>
      <c r="F1122" s="14"/>
      <c r="G1122" s="14"/>
      <c r="H1122" s="14"/>
      <c r="I1122" s="67"/>
      <c r="J1122" s="14"/>
      <c r="K1122" s="14"/>
      <c r="L1122" s="14"/>
      <c r="M1122" s="14"/>
    </row>
    <row r="1123" spans="1:13" x14ac:dyDescent="0.25">
      <c r="A1123" s="14"/>
      <c r="B1123" s="14"/>
      <c r="C1123" s="14"/>
      <c r="D1123" s="92"/>
      <c r="E1123" s="14"/>
      <c r="F1123" s="14"/>
      <c r="G1123" s="14"/>
      <c r="H1123" s="14"/>
      <c r="I1123" s="67"/>
      <c r="J1123" s="14"/>
      <c r="K1123" s="14"/>
      <c r="L1123" s="14"/>
      <c r="M1123" s="14"/>
    </row>
    <row r="1124" spans="1:13" x14ac:dyDescent="0.25">
      <c r="A1124" s="14"/>
      <c r="B1124" s="14"/>
      <c r="C1124" s="14"/>
      <c r="D1124" s="92"/>
      <c r="E1124" s="14"/>
      <c r="F1124" s="14"/>
      <c r="G1124" s="14"/>
      <c r="H1124" s="14"/>
      <c r="I1124" s="67"/>
      <c r="J1124" s="14"/>
      <c r="K1124" s="14"/>
      <c r="L1124" s="14"/>
      <c r="M1124" s="14"/>
    </row>
    <row r="1125" spans="1:13" x14ac:dyDescent="0.25">
      <c r="A1125" s="14"/>
      <c r="B1125" s="14"/>
      <c r="C1125" s="14"/>
      <c r="D1125" s="92"/>
      <c r="E1125" s="14"/>
      <c r="F1125" s="14"/>
      <c r="G1125" s="14"/>
      <c r="H1125" s="14"/>
      <c r="I1125" s="67"/>
      <c r="J1125" s="14"/>
      <c r="K1125" s="14"/>
      <c r="L1125" s="14"/>
      <c r="M1125" s="14"/>
    </row>
    <row r="1126" spans="1:13" x14ac:dyDescent="0.25">
      <c r="A1126" s="14"/>
      <c r="B1126" s="14"/>
      <c r="C1126" s="14"/>
      <c r="D1126" s="92"/>
      <c r="E1126" s="14"/>
      <c r="F1126" s="14"/>
      <c r="G1126" s="14"/>
      <c r="H1126" s="14"/>
      <c r="I1126" s="67"/>
      <c r="J1126" s="14"/>
      <c r="K1126" s="14"/>
      <c r="L1126" s="14"/>
      <c r="M1126" s="14"/>
    </row>
    <row r="1127" spans="1:13" x14ac:dyDescent="0.25">
      <c r="A1127" s="14"/>
      <c r="B1127" s="14"/>
      <c r="C1127" s="14"/>
      <c r="D1127" s="92"/>
      <c r="E1127" s="14"/>
      <c r="F1127" s="14"/>
      <c r="G1127" s="14"/>
      <c r="H1127" s="14"/>
      <c r="I1127" s="67"/>
      <c r="J1127" s="14"/>
      <c r="K1127" s="14"/>
      <c r="L1127" s="14"/>
      <c r="M1127" s="14"/>
    </row>
    <row r="1128" spans="1:13" x14ac:dyDescent="0.25">
      <c r="A1128" s="14"/>
      <c r="B1128" s="14"/>
      <c r="C1128" s="14"/>
      <c r="D1128" s="92"/>
      <c r="E1128" s="14"/>
      <c r="F1128" s="14"/>
      <c r="G1128" s="14"/>
      <c r="H1128" s="14"/>
      <c r="I1128" s="67"/>
      <c r="J1128" s="14"/>
      <c r="K1128" s="14"/>
      <c r="L1128" s="14"/>
      <c r="M1128" s="14"/>
    </row>
    <row r="1129" spans="1:13" x14ac:dyDescent="0.25">
      <c r="A1129" s="14"/>
      <c r="B1129" s="14"/>
      <c r="C1129" s="14"/>
      <c r="D1129" s="92"/>
      <c r="E1129" s="14"/>
      <c r="F1129" s="14"/>
      <c r="G1129" s="14"/>
      <c r="H1129" s="14"/>
      <c r="I1129" s="67"/>
      <c r="J1129" s="14"/>
      <c r="K1129" s="14"/>
      <c r="L1129" s="14"/>
      <c r="M1129" s="14"/>
    </row>
    <row r="1130" spans="1:13" x14ac:dyDescent="0.25">
      <c r="A1130" s="14"/>
      <c r="B1130" s="14"/>
      <c r="C1130" s="14"/>
      <c r="D1130" s="92"/>
      <c r="E1130" s="14"/>
      <c r="F1130" s="14"/>
      <c r="G1130" s="14"/>
      <c r="H1130" s="14"/>
      <c r="I1130" s="67"/>
      <c r="J1130" s="14"/>
      <c r="K1130" s="14"/>
      <c r="L1130" s="14"/>
      <c r="M1130" s="14"/>
    </row>
    <row r="1131" spans="1:13" x14ac:dyDescent="0.25">
      <c r="A1131" s="14"/>
      <c r="B1131" s="14"/>
      <c r="C1131" s="14"/>
      <c r="D1131" s="92"/>
      <c r="E1131" s="14"/>
      <c r="F1131" s="14"/>
      <c r="G1131" s="14"/>
      <c r="H1131" s="14"/>
      <c r="I1131" s="67"/>
      <c r="J1131" s="14"/>
      <c r="K1131" s="14"/>
      <c r="L1131" s="14"/>
      <c r="M1131" s="14"/>
    </row>
    <row r="1132" spans="1:13" x14ac:dyDescent="0.25">
      <c r="A1132" s="14"/>
      <c r="B1132" s="14"/>
      <c r="C1132" s="14"/>
      <c r="D1132" s="92"/>
      <c r="E1132" s="14"/>
      <c r="F1132" s="14"/>
      <c r="G1132" s="14"/>
      <c r="H1132" s="14"/>
      <c r="I1132" s="67"/>
      <c r="J1132" s="14"/>
      <c r="K1132" s="14"/>
      <c r="L1132" s="14"/>
      <c r="M1132" s="14"/>
    </row>
    <row r="1133" spans="1:13" x14ac:dyDescent="0.25">
      <c r="A1133" s="14"/>
      <c r="B1133" s="14"/>
      <c r="C1133" s="14"/>
      <c r="D1133" s="92"/>
      <c r="E1133" s="14"/>
      <c r="F1133" s="14"/>
      <c r="G1133" s="14"/>
      <c r="H1133" s="14"/>
      <c r="I1133" s="67"/>
      <c r="J1133" s="14"/>
      <c r="K1133" s="14"/>
      <c r="L1133" s="14"/>
      <c r="M1133" s="14"/>
    </row>
    <row r="1134" spans="1:13" x14ac:dyDescent="0.25">
      <c r="A1134" s="14"/>
      <c r="B1134" s="14"/>
      <c r="C1134" s="14"/>
      <c r="D1134" s="92"/>
      <c r="E1134" s="14"/>
      <c r="F1134" s="14"/>
      <c r="G1134" s="14"/>
      <c r="H1134" s="14"/>
      <c r="I1134" s="67"/>
      <c r="J1134" s="14"/>
      <c r="K1134" s="14"/>
      <c r="L1134" s="14"/>
      <c r="M1134" s="14"/>
    </row>
    <row r="1135" spans="1:13" x14ac:dyDescent="0.25">
      <c r="A1135" s="14"/>
      <c r="B1135" s="14"/>
      <c r="C1135" s="14"/>
      <c r="D1135" s="92"/>
      <c r="E1135" s="14"/>
      <c r="F1135" s="14"/>
      <c r="G1135" s="14"/>
      <c r="H1135" s="14"/>
      <c r="I1135" s="67"/>
      <c r="J1135" s="14"/>
      <c r="K1135" s="14"/>
      <c r="L1135" s="14"/>
      <c r="M1135" s="14"/>
    </row>
    <row r="1136" spans="1:13" x14ac:dyDescent="0.25">
      <c r="A1136" s="14"/>
      <c r="B1136" s="14"/>
      <c r="C1136" s="14"/>
      <c r="D1136" s="92"/>
      <c r="E1136" s="14"/>
      <c r="F1136" s="14"/>
      <c r="G1136" s="14"/>
      <c r="H1136" s="14"/>
      <c r="I1136" s="67"/>
      <c r="J1136" s="14"/>
      <c r="K1136" s="14"/>
      <c r="L1136" s="14"/>
      <c r="M1136" s="14"/>
    </row>
    <row r="1137" spans="1:13" x14ac:dyDescent="0.25">
      <c r="A1137" s="14"/>
      <c r="B1137" s="14"/>
      <c r="C1137" s="14"/>
      <c r="D1137" s="92"/>
      <c r="E1137" s="14"/>
      <c r="F1137" s="14"/>
      <c r="G1137" s="14"/>
      <c r="H1137" s="14"/>
      <c r="I1137" s="67"/>
      <c r="J1137" s="14"/>
      <c r="K1137" s="14"/>
      <c r="L1137" s="14"/>
      <c r="M1137" s="14"/>
    </row>
    <row r="1138" spans="1:13" x14ac:dyDescent="0.25">
      <c r="A1138" s="14"/>
      <c r="B1138" s="14"/>
      <c r="C1138" s="14"/>
      <c r="D1138" s="92"/>
      <c r="E1138" s="14"/>
      <c r="F1138" s="14"/>
      <c r="G1138" s="14"/>
      <c r="H1138" s="14"/>
      <c r="I1138" s="67"/>
      <c r="J1138" s="14"/>
      <c r="K1138" s="14"/>
      <c r="L1138" s="14"/>
      <c r="M1138" s="14"/>
    </row>
    <row r="1139" spans="1:13" x14ac:dyDescent="0.25">
      <c r="A1139" s="14"/>
      <c r="B1139" s="14"/>
      <c r="C1139" s="14"/>
      <c r="D1139" s="92"/>
      <c r="E1139" s="14"/>
      <c r="F1139" s="14"/>
      <c r="G1139" s="14"/>
      <c r="H1139" s="14"/>
      <c r="I1139" s="67"/>
      <c r="J1139" s="14"/>
      <c r="K1139" s="14"/>
      <c r="L1139" s="14"/>
      <c r="M1139" s="14"/>
    </row>
    <row r="1140" spans="1:13" x14ac:dyDescent="0.25">
      <c r="A1140" s="14"/>
      <c r="B1140" s="14"/>
      <c r="C1140" s="14"/>
      <c r="D1140" s="92"/>
      <c r="E1140" s="14"/>
      <c r="F1140" s="14"/>
      <c r="G1140" s="14"/>
      <c r="H1140" s="14"/>
      <c r="I1140" s="67"/>
      <c r="J1140" s="14"/>
      <c r="K1140" s="14"/>
      <c r="L1140" s="14"/>
      <c r="M1140" s="14"/>
    </row>
    <row r="1141" spans="1:13" x14ac:dyDescent="0.25">
      <c r="A1141" s="14"/>
      <c r="B1141" s="14"/>
      <c r="C1141" s="14"/>
      <c r="D1141" s="92"/>
      <c r="E1141" s="14"/>
      <c r="F1141" s="14"/>
      <c r="G1141" s="14"/>
      <c r="H1141" s="14"/>
      <c r="I1141" s="67"/>
      <c r="J1141" s="14"/>
      <c r="K1141" s="14"/>
      <c r="L1141" s="14"/>
      <c r="M1141" s="14"/>
    </row>
    <row r="1142" spans="1:13" x14ac:dyDescent="0.25">
      <c r="A1142" s="14"/>
      <c r="B1142" s="14"/>
      <c r="C1142" s="14"/>
      <c r="D1142" s="92"/>
      <c r="E1142" s="14"/>
      <c r="F1142" s="14"/>
      <c r="G1142" s="14"/>
      <c r="H1142" s="14"/>
      <c r="I1142" s="67"/>
      <c r="J1142" s="14"/>
      <c r="K1142" s="14"/>
      <c r="L1142" s="14"/>
      <c r="M1142" s="14"/>
    </row>
    <row r="1143" spans="1:13" x14ac:dyDescent="0.25">
      <c r="A1143" s="14"/>
      <c r="B1143" s="14"/>
      <c r="C1143" s="14"/>
      <c r="D1143" s="92"/>
      <c r="E1143" s="14"/>
      <c r="F1143" s="14"/>
      <c r="G1143" s="14"/>
      <c r="H1143" s="14"/>
      <c r="I1143" s="67"/>
      <c r="J1143" s="14"/>
      <c r="K1143" s="14"/>
      <c r="L1143" s="14"/>
      <c r="M1143" s="14"/>
    </row>
    <row r="1144" spans="1:13" x14ac:dyDescent="0.25">
      <c r="A1144" s="14"/>
      <c r="B1144" s="14"/>
      <c r="C1144" s="14"/>
      <c r="D1144" s="92"/>
      <c r="E1144" s="14"/>
      <c r="F1144" s="14"/>
      <c r="G1144" s="14"/>
      <c r="H1144" s="14"/>
      <c r="I1144" s="67"/>
      <c r="J1144" s="14"/>
      <c r="K1144" s="14"/>
      <c r="L1144" s="14"/>
      <c r="M1144" s="14"/>
    </row>
    <row r="1145" spans="1:13" x14ac:dyDescent="0.25">
      <c r="A1145" s="14"/>
      <c r="B1145" s="14"/>
      <c r="C1145" s="14"/>
      <c r="D1145" s="92"/>
      <c r="E1145" s="14"/>
      <c r="F1145" s="14"/>
      <c r="G1145" s="14"/>
      <c r="H1145" s="14"/>
      <c r="I1145" s="67"/>
      <c r="J1145" s="14"/>
      <c r="K1145" s="14"/>
      <c r="L1145" s="14"/>
      <c r="M1145" s="14"/>
    </row>
    <row r="1146" spans="1:13" x14ac:dyDescent="0.25">
      <c r="A1146" s="14"/>
      <c r="B1146" s="14"/>
      <c r="C1146" s="14"/>
      <c r="D1146" s="92"/>
      <c r="E1146" s="14"/>
      <c r="F1146" s="14"/>
      <c r="G1146" s="14"/>
      <c r="H1146" s="14"/>
      <c r="I1146" s="67"/>
      <c r="J1146" s="14"/>
      <c r="K1146" s="14"/>
      <c r="L1146" s="14"/>
      <c r="M1146" s="14"/>
    </row>
    <row r="1147" spans="1:13" x14ac:dyDescent="0.25">
      <c r="A1147" s="14"/>
      <c r="B1147" s="14"/>
      <c r="C1147" s="14"/>
      <c r="D1147" s="92"/>
      <c r="E1147" s="14"/>
      <c r="F1147" s="14"/>
      <c r="G1147" s="14"/>
      <c r="H1147" s="14"/>
      <c r="I1147" s="67"/>
      <c r="J1147" s="14"/>
      <c r="K1147" s="14"/>
      <c r="L1147" s="14"/>
      <c r="M1147" s="14"/>
    </row>
    <row r="1148" spans="1:13" x14ac:dyDescent="0.25">
      <c r="A1148" s="14"/>
      <c r="B1148" s="14"/>
      <c r="C1148" s="14"/>
      <c r="D1148" s="92"/>
      <c r="E1148" s="14"/>
      <c r="F1148" s="14"/>
      <c r="G1148" s="14"/>
      <c r="H1148" s="14"/>
      <c r="I1148" s="67"/>
      <c r="J1148" s="14"/>
      <c r="K1148" s="14"/>
      <c r="L1148" s="14"/>
      <c r="M1148" s="14"/>
    </row>
    <row r="1149" spans="1:13" x14ac:dyDescent="0.25">
      <c r="A1149" s="14"/>
      <c r="B1149" s="14"/>
      <c r="C1149" s="14"/>
      <c r="D1149" s="92"/>
      <c r="E1149" s="14"/>
      <c r="F1149" s="14"/>
      <c r="G1149" s="14"/>
      <c r="H1149" s="14"/>
      <c r="I1149" s="67"/>
      <c r="J1149" s="14"/>
      <c r="K1149" s="14"/>
      <c r="L1149" s="14"/>
      <c r="M1149" s="14"/>
    </row>
    <row r="1150" spans="1:13" x14ac:dyDescent="0.25">
      <c r="A1150" s="14"/>
      <c r="B1150" s="14"/>
      <c r="C1150" s="14"/>
      <c r="D1150" s="92"/>
      <c r="E1150" s="14"/>
      <c r="F1150" s="14"/>
      <c r="G1150" s="14"/>
      <c r="H1150" s="14"/>
      <c r="I1150" s="67"/>
      <c r="J1150" s="14"/>
      <c r="K1150" s="14"/>
      <c r="L1150" s="14"/>
      <c r="M1150" s="14"/>
    </row>
    <row r="1151" spans="1:13" x14ac:dyDescent="0.25">
      <c r="A1151" s="14"/>
      <c r="B1151" s="14"/>
      <c r="C1151" s="14"/>
      <c r="D1151" s="92"/>
      <c r="E1151" s="14"/>
      <c r="F1151" s="14"/>
      <c r="G1151" s="14"/>
      <c r="H1151" s="14"/>
      <c r="I1151" s="67"/>
      <c r="J1151" s="14"/>
      <c r="K1151" s="14"/>
      <c r="L1151" s="14"/>
      <c r="M1151" s="14"/>
    </row>
    <row r="1152" spans="1:13" x14ac:dyDescent="0.25">
      <c r="A1152" s="14"/>
      <c r="B1152" s="14"/>
      <c r="C1152" s="14"/>
      <c r="D1152" s="92"/>
      <c r="E1152" s="14"/>
      <c r="F1152" s="14"/>
      <c r="G1152" s="14"/>
      <c r="H1152" s="14"/>
      <c r="I1152" s="67"/>
      <c r="J1152" s="14"/>
      <c r="K1152" s="14"/>
      <c r="L1152" s="14"/>
      <c r="M1152" s="14"/>
    </row>
    <row r="1153" spans="1:13" x14ac:dyDescent="0.25">
      <c r="A1153" s="14"/>
      <c r="B1153" s="14"/>
      <c r="C1153" s="14"/>
      <c r="D1153" s="92"/>
      <c r="E1153" s="14"/>
      <c r="F1153" s="14"/>
      <c r="G1153" s="14"/>
      <c r="H1153" s="14"/>
      <c r="I1153" s="67"/>
      <c r="J1153" s="14"/>
      <c r="K1153" s="14"/>
      <c r="L1153" s="14"/>
      <c r="M1153" s="14"/>
    </row>
    <row r="1154" spans="1:13" x14ac:dyDescent="0.25">
      <c r="A1154" s="14"/>
      <c r="B1154" s="14"/>
      <c r="C1154" s="14"/>
      <c r="D1154" s="92"/>
      <c r="E1154" s="14"/>
      <c r="F1154" s="14"/>
      <c r="G1154" s="14"/>
      <c r="H1154" s="14"/>
      <c r="I1154" s="67"/>
      <c r="J1154" s="14"/>
      <c r="K1154" s="14"/>
      <c r="L1154" s="14"/>
      <c r="M1154" s="14"/>
    </row>
    <row r="1155" spans="1:13" x14ac:dyDescent="0.25">
      <c r="A1155" s="14"/>
      <c r="B1155" s="14"/>
      <c r="C1155" s="14"/>
      <c r="D1155" s="92"/>
      <c r="E1155" s="14"/>
      <c r="F1155" s="14"/>
      <c r="G1155" s="14"/>
      <c r="H1155" s="14"/>
      <c r="I1155" s="67"/>
      <c r="J1155" s="14"/>
      <c r="K1155" s="14"/>
      <c r="L1155" s="14"/>
      <c r="M1155" s="14"/>
    </row>
    <row r="1156" spans="1:13" x14ac:dyDescent="0.25">
      <c r="A1156" s="14"/>
      <c r="B1156" s="14"/>
      <c r="C1156" s="14"/>
      <c r="D1156" s="92"/>
      <c r="E1156" s="14"/>
      <c r="F1156" s="14"/>
      <c r="G1156" s="14"/>
      <c r="H1156" s="14"/>
      <c r="I1156" s="67"/>
      <c r="J1156" s="14"/>
      <c r="K1156" s="14"/>
      <c r="L1156" s="14"/>
      <c r="M1156" s="14"/>
    </row>
    <row r="1157" spans="1:13" x14ac:dyDescent="0.25">
      <c r="A1157" s="14"/>
      <c r="B1157" s="14"/>
      <c r="C1157" s="14"/>
      <c r="D1157" s="92"/>
      <c r="E1157" s="14"/>
      <c r="F1157" s="14"/>
      <c r="G1157" s="14"/>
      <c r="H1157" s="14"/>
      <c r="I1157" s="67"/>
      <c r="J1157" s="14"/>
      <c r="K1157" s="14"/>
      <c r="L1157" s="14"/>
      <c r="M1157" s="14"/>
    </row>
    <row r="1158" spans="1:13" x14ac:dyDescent="0.25">
      <c r="A1158" s="14"/>
      <c r="B1158" s="14"/>
      <c r="C1158" s="14"/>
      <c r="D1158" s="92"/>
      <c r="E1158" s="14"/>
      <c r="F1158" s="14"/>
      <c r="G1158" s="14"/>
      <c r="H1158" s="14"/>
      <c r="I1158" s="67"/>
      <c r="J1158" s="14"/>
      <c r="K1158" s="14"/>
      <c r="L1158" s="14"/>
      <c r="M1158" s="14"/>
    </row>
    <row r="1159" spans="1:13" x14ac:dyDescent="0.25">
      <c r="A1159" s="14"/>
      <c r="B1159" s="14"/>
      <c r="C1159" s="14"/>
      <c r="D1159" s="92"/>
      <c r="E1159" s="14"/>
      <c r="F1159" s="14"/>
      <c r="G1159" s="14"/>
      <c r="H1159" s="14"/>
      <c r="I1159" s="67"/>
      <c r="J1159" s="14"/>
      <c r="K1159" s="14"/>
      <c r="L1159" s="14"/>
      <c r="M1159" s="14"/>
    </row>
    <row r="1160" spans="1:13" x14ac:dyDescent="0.25">
      <c r="A1160" s="14"/>
      <c r="B1160" s="14"/>
      <c r="C1160" s="14"/>
      <c r="D1160" s="92"/>
      <c r="E1160" s="14"/>
      <c r="F1160" s="14"/>
      <c r="G1160" s="14"/>
      <c r="H1160" s="14"/>
      <c r="I1160" s="67"/>
      <c r="J1160" s="14"/>
      <c r="K1160" s="14"/>
      <c r="L1160" s="14"/>
      <c r="M1160" s="14"/>
    </row>
    <row r="1161" spans="1:13" x14ac:dyDescent="0.25">
      <c r="A1161" s="14"/>
      <c r="B1161" s="14"/>
      <c r="C1161" s="14"/>
      <c r="D1161" s="92"/>
      <c r="E1161" s="14"/>
      <c r="F1161" s="14"/>
      <c r="G1161" s="14"/>
      <c r="H1161" s="14"/>
      <c r="I1161" s="67"/>
      <c r="J1161" s="14"/>
      <c r="K1161" s="14"/>
      <c r="L1161" s="14"/>
      <c r="M1161" s="14"/>
    </row>
    <row r="1162" spans="1:13" x14ac:dyDescent="0.25">
      <c r="A1162" s="14"/>
      <c r="B1162" s="14"/>
      <c r="C1162" s="14"/>
      <c r="D1162" s="92"/>
      <c r="E1162" s="14"/>
      <c r="F1162" s="14"/>
      <c r="G1162" s="14"/>
      <c r="H1162" s="14"/>
      <c r="I1162" s="67"/>
      <c r="J1162" s="14"/>
      <c r="K1162" s="14"/>
      <c r="L1162" s="14"/>
      <c r="M1162" s="14"/>
    </row>
    <row r="1163" spans="1:13" x14ac:dyDescent="0.25">
      <c r="A1163" s="14"/>
      <c r="B1163" s="14"/>
      <c r="C1163" s="14"/>
      <c r="D1163" s="92"/>
      <c r="E1163" s="14"/>
      <c r="F1163" s="14"/>
      <c r="G1163" s="14"/>
      <c r="H1163" s="14"/>
      <c r="I1163" s="67"/>
      <c r="J1163" s="14"/>
      <c r="K1163" s="14"/>
      <c r="L1163" s="14"/>
      <c r="M1163" s="14"/>
    </row>
    <row r="1164" spans="1:13" x14ac:dyDescent="0.25">
      <c r="A1164" s="14"/>
      <c r="B1164" s="14"/>
      <c r="C1164" s="14"/>
      <c r="D1164" s="92"/>
      <c r="E1164" s="14"/>
      <c r="F1164" s="14"/>
      <c r="G1164" s="14"/>
      <c r="H1164" s="14"/>
      <c r="I1164" s="67"/>
      <c r="J1164" s="14"/>
      <c r="K1164" s="14"/>
      <c r="L1164" s="14"/>
      <c r="M1164" s="14"/>
    </row>
    <row r="1165" spans="1:13" x14ac:dyDescent="0.25">
      <c r="A1165" s="14"/>
      <c r="B1165" s="14"/>
      <c r="C1165" s="14"/>
      <c r="D1165" s="92"/>
      <c r="E1165" s="14"/>
      <c r="F1165" s="14"/>
      <c r="G1165" s="14"/>
      <c r="H1165" s="14"/>
      <c r="I1165" s="67"/>
      <c r="J1165" s="14"/>
      <c r="K1165" s="14"/>
      <c r="L1165" s="14"/>
      <c r="M1165" s="14"/>
    </row>
    <row r="1166" spans="1:13" x14ac:dyDescent="0.25">
      <c r="A1166" s="14"/>
      <c r="B1166" s="14"/>
      <c r="C1166" s="14"/>
      <c r="D1166" s="92"/>
      <c r="E1166" s="14"/>
      <c r="F1166" s="14"/>
      <c r="G1166" s="14"/>
      <c r="H1166" s="14"/>
      <c r="I1166" s="67"/>
      <c r="J1166" s="14"/>
      <c r="K1166" s="14"/>
      <c r="L1166" s="14"/>
      <c r="M1166" s="14"/>
    </row>
    <row r="1167" spans="1:13" x14ac:dyDescent="0.25">
      <c r="A1167" s="14"/>
      <c r="B1167" s="14"/>
      <c r="C1167" s="14"/>
      <c r="D1167" s="92"/>
      <c r="E1167" s="14"/>
      <c r="F1167" s="14"/>
      <c r="G1167" s="14"/>
      <c r="H1167" s="14"/>
      <c r="I1167" s="67"/>
      <c r="J1167" s="14"/>
      <c r="K1167" s="14"/>
      <c r="L1167" s="14"/>
      <c r="M1167" s="14"/>
    </row>
    <row r="1168" spans="1:13" x14ac:dyDescent="0.25">
      <c r="A1168" s="14"/>
      <c r="B1168" s="14"/>
      <c r="C1168" s="14"/>
      <c r="D1168" s="92"/>
      <c r="E1168" s="14"/>
      <c r="F1168" s="14"/>
      <c r="G1168" s="14"/>
      <c r="H1168" s="14"/>
      <c r="I1168" s="67"/>
      <c r="J1168" s="14"/>
      <c r="K1168" s="14"/>
      <c r="L1168" s="14"/>
      <c r="M1168" s="14"/>
    </row>
    <row r="1169" spans="1:13" x14ac:dyDescent="0.25">
      <c r="A1169" s="14"/>
      <c r="B1169" s="14"/>
      <c r="C1169" s="14"/>
      <c r="D1169" s="92"/>
      <c r="E1169" s="14"/>
      <c r="F1169" s="14"/>
      <c r="G1169" s="14"/>
      <c r="H1169" s="14"/>
      <c r="I1169" s="67"/>
      <c r="J1169" s="14"/>
      <c r="K1169" s="14"/>
      <c r="L1169" s="14"/>
      <c r="M1169" s="14"/>
    </row>
    <row r="1170" spans="1:13" x14ac:dyDescent="0.25">
      <c r="A1170" s="14"/>
      <c r="B1170" s="14"/>
      <c r="C1170" s="14"/>
      <c r="D1170" s="92"/>
      <c r="E1170" s="14"/>
      <c r="F1170" s="14"/>
      <c r="G1170" s="14"/>
      <c r="H1170" s="14"/>
      <c r="I1170" s="67"/>
      <c r="J1170" s="14"/>
      <c r="K1170" s="14"/>
      <c r="L1170" s="14"/>
      <c r="M1170" s="14"/>
    </row>
    <row r="1171" spans="1:13" x14ac:dyDescent="0.25">
      <c r="A1171" s="14"/>
      <c r="B1171" s="14"/>
      <c r="C1171" s="14"/>
      <c r="D1171" s="92"/>
      <c r="E1171" s="14"/>
      <c r="F1171" s="14"/>
      <c r="G1171" s="14"/>
      <c r="H1171" s="14"/>
      <c r="I1171" s="67"/>
      <c r="J1171" s="14"/>
      <c r="K1171" s="14"/>
      <c r="L1171" s="14"/>
      <c r="M1171" s="14"/>
    </row>
    <row r="1172" spans="1:13" x14ac:dyDescent="0.25">
      <c r="A1172" s="14"/>
      <c r="B1172" s="14"/>
      <c r="C1172" s="14"/>
      <c r="D1172" s="92"/>
      <c r="E1172" s="14"/>
      <c r="F1172" s="14"/>
      <c r="G1172" s="14"/>
      <c r="H1172" s="14"/>
      <c r="I1172" s="67"/>
      <c r="J1172" s="14"/>
      <c r="K1172" s="14"/>
      <c r="L1172" s="14"/>
      <c r="M1172" s="14"/>
    </row>
    <row r="1173" spans="1:13" x14ac:dyDescent="0.25">
      <c r="A1173" s="14"/>
      <c r="B1173" s="14"/>
      <c r="C1173" s="14"/>
      <c r="D1173" s="92"/>
      <c r="E1173" s="14"/>
      <c r="F1173" s="14"/>
      <c r="G1173" s="14"/>
      <c r="H1173" s="14"/>
      <c r="I1173" s="67"/>
      <c r="J1173" s="14"/>
      <c r="K1173" s="14"/>
      <c r="L1173" s="14"/>
      <c r="M1173" s="14"/>
    </row>
    <row r="1174" spans="1:13" x14ac:dyDescent="0.25">
      <c r="A1174" s="14"/>
      <c r="B1174" s="14"/>
      <c r="C1174" s="14"/>
      <c r="D1174" s="92"/>
      <c r="E1174" s="14"/>
      <c r="F1174" s="14"/>
      <c r="G1174" s="14"/>
      <c r="H1174" s="14"/>
      <c r="I1174" s="67"/>
      <c r="J1174" s="14"/>
      <c r="K1174" s="14"/>
      <c r="L1174" s="14"/>
      <c r="M1174" s="14"/>
    </row>
    <row r="1175" spans="1:13" x14ac:dyDescent="0.25">
      <c r="A1175" s="14"/>
      <c r="B1175" s="14"/>
      <c r="C1175" s="14"/>
      <c r="D1175" s="92"/>
      <c r="E1175" s="14"/>
      <c r="F1175" s="14"/>
      <c r="G1175" s="14"/>
      <c r="H1175" s="14"/>
      <c r="I1175" s="67"/>
      <c r="J1175" s="14"/>
      <c r="K1175" s="14"/>
      <c r="L1175" s="14"/>
      <c r="M1175" s="14"/>
    </row>
    <row r="1176" spans="1:13" x14ac:dyDescent="0.25">
      <c r="A1176" s="14"/>
      <c r="B1176" s="14"/>
      <c r="C1176" s="14"/>
      <c r="D1176" s="92"/>
      <c r="E1176" s="14"/>
      <c r="F1176" s="14"/>
      <c r="G1176" s="14"/>
      <c r="H1176" s="14"/>
      <c r="I1176" s="67"/>
      <c r="J1176" s="14"/>
      <c r="K1176" s="14"/>
      <c r="L1176" s="14"/>
      <c r="M1176" s="14"/>
    </row>
    <row r="1177" spans="1:13" x14ac:dyDescent="0.25">
      <c r="A1177" s="14"/>
      <c r="B1177" s="14"/>
      <c r="C1177" s="14"/>
      <c r="D1177" s="92"/>
      <c r="E1177" s="14"/>
      <c r="F1177" s="14"/>
      <c r="G1177" s="14"/>
      <c r="H1177" s="14"/>
      <c r="I1177" s="67"/>
      <c r="J1177" s="14"/>
      <c r="K1177" s="14"/>
      <c r="L1177" s="14"/>
      <c r="M1177" s="14"/>
    </row>
    <row r="1178" spans="1:13" x14ac:dyDescent="0.25">
      <c r="A1178" s="14"/>
      <c r="B1178" s="14"/>
      <c r="C1178" s="14"/>
      <c r="D1178" s="92"/>
      <c r="E1178" s="14"/>
      <c r="F1178" s="14"/>
      <c r="G1178" s="14"/>
      <c r="H1178" s="14"/>
      <c r="I1178" s="67"/>
      <c r="J1178" s="14"/>
      <c r="K1178" s="14"/>
      <c r="L1178" s="14"/>
      <c r="M1178" s="14"/>
    </row>
    <row r="1179" spans="1:13" x14ac:dyDescent="0.25">
      <c r="A1179" s="14"/>
      <c r="B1179" s="14"/>
      <c r="C1179" s="14"/>
      <c r="D1179" s="92"/>
      <c r="E1179" s="14"/>
      <c r="F1179" s="14"/>
      <c r="G1179" s="14"/>
      <c r="H1179" s="14"/>
      <c r="I1179" s="67"/>
      <c r="J1179" s="14"/>
      <c r="K1179" s="14"/>
      <c r="L1179" s="14"/>
      <c r="M1179" s="14"/>
    </row>
    <row r="1180" spans="1:13" x14ac:dyDescent="0.25">
      <c r="A1180" s="14"/>
      <c r="B1180" s="14"/>
      <c r="C1180" s="14"/>
      <c r="D1180" s="92"/>
      <c r="E1180" s="14"/>
      <c r="F1180" s="14"/>
      <c r="G1180" s="14"/>
      <c r="H1180" s="14"/>
      <c r="I1180" s="67"/>
      <c r="J1180" s="14"/>
      <c r="K1180" s="14"/>
      <c r="L1180" s="14"/>
      <c r="M1180" s="14"/>
    </row>
    <row r="1181" spans="1:13" x14ac:dyDescent="0.25">
      <c r="A1181" s="14"/>
      <c r="B1181" s="14"/>
      <c r="C1181" s="14"/>
      <c r="D1181" s="92"/>
      <c r="E1181" s="14"/>
      <c r="F1181" s="14"/>
      <c r="G1181" s="14"/>
      <c r="H1181" s="14"/>
      <c r="I1181" s="67"/>
      <c r="J1181" s="14"/>
      <c r="K1181" s="14"/>
      <c r="L1181" s="14"/>
      <c r="M1181" s="14"/>
    </row>
    <row r="1182" spans="1:13" x14ac:dyDescent="0.25">
      <c r="A1182" s="14"/>
      <c r="B1182" s="14"/>
      <c r="C1182" s="14"/>
      <c r="D1182" s="92"/>
      <c r="E1182" s="14"/>
      <c r="F1182" s="14"/>
      <c r="G1182" s="14"/>
      <c r="H1182" s="14"/>
      <c r="I1182" s="67"/>
      <c r="J1182" s="14"/>
      <c r="K1182" s="14"/>
      <c r="L1182" s="14"/>
      <c r="M1182" s="14"/>
    </row>
    <row r="1183" spans="1:13" x14ac:dyDescent="0.25">
      <c r="A1183" s="14"/>
      <c r="B1183" s="14"/>
      <c r="C1183" s="14"/>
      <c r="D1183" s="92"/>
      <c r="E1183" s="14"/>
      <c r="F1183" s="14"/>
      <c r="G1183" s="14"/>
      <c r="H1183" s="14"/>
      <c r="I1183" s="67"/>
      <c r="J1183" s="14"/>
      <c r="K1183" s="14"/>
      <c r="L1183" s="14"/>
      <c r="M1183" s="14"/>
    </row>
    <row r="1184" spans="1:13" x14ac:dyDescent="0.25">
      <c r="A1184" s="14"/>
      <c r="B1184" s="14"/>
      <c r="C1184" s="14"/>
      <c r="D1184" s="92"/>
      <c r="E1184" s="14"/>
      <c r="F1184" s="14"/>
      <c r="G1184" s="14"/>
      <c r="H1184" s="14"/>
      <c r="I1184" s="67"/>
      <c r="J1184" s="14"/>
      <c r="K1184" s="14"/>
      <c r="L1184" s="14"/>
      <c r="M1184" s="14"/>
    </row>
    <row r="1185" spans="1:13" x14ac:dyDescent="0.25">
      <c r="A1185" s="14"/>
      <c r="B1185" s="14"/>
      <c r="C1185" s="14"/>
      <c r="D1185" s="92"/>
      <c r="E1185" s="14"/>
      <c r="F1185" s="14"/>
      <c r="G1185" s="14"/>
      <c r="H1185" s="14"/>
      <c r="I1185" s="67"/>
      <c r="J1185" s="14"/>
      <c r="K1185" s="14"/>
      <c r="L1185" s="14"/>
      <c r="M1185" s="14"/>
    </row>
    <row r="1186" spans="1:13" x14ac:dyDescent="0.25">
      <c r="A1186" s="14"/>
      <c r="B1186" s="14"/>
      <c r="C1186" s="14"/>
      <c r="D1186" s="92"/>
      <c r="E1186" s="14"/>
      <c r="F1186" s="14"/>
      <c r="G1186" s="14"/>
      <c r="H1186" s="14"/>
      <c r="I1186" s="67"/>
      <c r="J1186" s="14"/>
      <c r="K1186" s="14"/>
      <c r="L1186" s="14"/>
      <c r="M1186" s="14"/>
    </row>
    <row r="1187" spans="1:13" x14ac:dyDescent="0.25">
      <c r="A1187" s="14"/>
      <c r="B1187" s="14"/>
      <c r="C1187" s="14"/>
      <c r="D1187" s="92"/>
      <c r="E1187" s="14"/>
      <c r="F1187" s="14"/>
      <c r="G1187" s="14"/>
      <c r="H1187" s="14"/>
      <c r="I1187" s="67"/>
      <c r="J1187" s="14"/>
      <c r="K1187" s="14"/>
      <c r="L1187" s="14"/>
      <c r="M1187" s="14"/>
    </row>
    <row r="1188" spans="1:13" x14ac:dyDescent="0.25">
      <c r="A1188" s="14"/>
      <c r="B1188" s="14"/>
      <c r="C1188" s="14"/>
      <c r="D1188" s="92"/>
      <c r="E1188" s="14"/>
      <c r="F1188" s="14"/>
      <c r="G1188" s="14"/>
      <c r="H1188" s="14"/>
      <c r="I1188" s="67"/>
      <c r="J1188" s="14"/>
      <c r="K1188" s="14"/>
      <c r="L1188" s="14"/>
      <c r="M1188" s="14"/>
    </row>
    <row r="1189" spans="1:13" x14ac:dyDescent="0.25">
      <c r="A1189" s="14"/>
      <c r="B1189" s="14"/>
      <c r="C1189" s="14"/>
      <c r="D1189" s="92"/>
      <c r="E1189" s="14"/>
      <c r="F1189" s="14"/>
      <c r="G1189" s="14"/>
      <c r="H1189" s="14"/>
      <c r="I1189" s="67"/>
      <c r="J1189" s="14"/>
      <c r="K1189" s="14"/>
      <c r="L1189" s="14"/>
      <c r="M1189" s="14"/>
    </row>
    <row r="1190" spans="1:13" x14ac:dyDescent="0.25">
      <c r="A1190" s="14"/>
      <c r="B1190" s="14"/>
      <c r="C1190" s="14"/>
      <c r="D1190" s="92"/>
      <c r="E1190" s="14"/>
      <c r="F1190" s="14"/>
      <c r="G1190" s="14"/>
      <c r="H1190" s="14"/>
      <c r="I1190" s="67"/>
      <c r="J1190" s="14"/>
      <c r="K1190" s="14"/>
      <c r="L1190" s="14"/>
      <c r="M1190" s="14"/>
    </row>
    <row r="1191" spans="1:13" x14ac:dyDescent="0.25">
      <c r="A1191" s="14"/>
      <c r="B1191" s="14"/>
      <c r="C1191" s="14"/>
      <c r="D1191" s="92"/>
      <c r="E1191" s="14"/>
      <c r="F1191" s="14"/>
      <c r="G1191" s="14"/>
      <c r="H1191" s="14"/>
      <c r="I1191" s="67"/>
      <c r="J1191" s="14"/>
      <c r="K1191" s="14"/>
      <c r="L1191" s="14"/>
      <c r="M1191" s="14"/>
    </row>
    <row r="1192" spans="1:13" x14ac:dyDescent="0.25">
      <c r="A1192" s="14"/>
      <c r="B1192" s="14"/>
      <c r="C1192" s="14"/>
      <c r="D1192" s="92"/>
      <c r="E1192" s="14"/>
      <c r="F1192" s="14"/>
      <c r="G1192" s="14"/>
      <c r="H1192" s="14"/>
      <c r="I1192" s="67"/>
      <c r="J1192" s="14"/>
      <c r="K1192" s="14"/>
      <c r="L1192" s="14"/>
      <c r="M1192" s="14"/>
    </row>
    <row r="1193" spans="1:13" x14ac:dyDescent="0.25">
      <c r="A1193" s="14"/>
      <c r="B1193" s="14"/>
      <c r="C1193" s="14"/>
      <c r="D1193" s="92"/>
      <c r="E1193" s="14"/>
      <c r="F1193" s="14"/>
      <c r="G1193" s="14"/>
      <c r="H1193" s="14"/>
      <c r="I1193" s="67"/>
      <c r="J1193" s="14"/>
      <c r="K1193" s="14"/>
      <c r="L1193" s="14"/>
      <c r="M1193" s="14"/>
    </row>
    <row r="1194" spans="1:13" x14ac:dyDescent="0.25">
      <c r="A1194" s="14"/>
      <c r="B1194" s="14"/>
      <c r="C1194" s="14"/>
      <c r="D1194" s="92"/>
      <c r="E1194" s="14"/>
      <c r="F1194" s="14"/>
      <c r="G1194" s="14"/>
      <c r="H1194" s="14"/>
      <c r="I1194" s="67"/>
      <c r="J1194" s="14"/>
      <c r="K1194" s="14"/>
      <c r="L1194" s="14"/>
      <c r="M1194" s="14"/>
    </row>
    <row r="1195" spans="1:13" x14ac:dyDescent="0.25">
      <c r="A1195" s="14"/>
      <c r="B1195" s="14"/>
      <c r="C1195" s="14"/>
      <c r="D1195" s="92"/>
      <c r="E1195" s="14"/>
      <c r="F1195" s="14"/>
      <c r="G1195" s="14"/>
      <c r="H1195" s="14"/>
      <c r="I1195" s="67"/>
      <c r="J1195" s="14"/>
      <c r="K1195" s="14"/>
      <c r="L1195" s="14"/>
      <c r="M1195" s="14"/>
    </row>
    <row r="1196" spans="1:13" x14ac:dyDescent="0.25">
      <c r="A1196" s="14"/>
      <c r="B1196" s="14"/>
      <c r="C1196" s="14"/>
      <c r="D1196" s="92"/>
      <c r="E1196" s="14"/>
      <c r="F1196" s="14"/>
      <c r="G1196" s="14"/>
      <c r="H1196" s="14"/>
      <c r="I1196" s="67"/>
      <c r="J1196" s="14"/>
      <c r="K1196" s="14"/>
      <c r="L1196" s="14"/>
      <c r="M1196" s="14"/>
    </row>
    <row r="1197" spans="1:13" x14ac:dyDescent="0.25">
      <c r="A1197" s="14"/>
      <c r="B1197" s="14"/>
      <c r="C1197" s="14"/>
      <c r="D1197" s="92"/>
      <c r="E1197" s="14"/>
      <c r="F1197" s="14"/>
      <c r="G1197" s="14"/>
      <c r="H1197" s="14"/>
      <c r="I1197" s="67"/>
      <c r="J1197" s="14"/>
      <c r="K1197" s="14"/>
      <c r="L1197" s="14"/>
      <c r="M1197" s="14"/>
    </row>
    <row r="1198" spans="1:13" x14ac:dyDescent="0.25">
      <c r="A1198" s="14"/>
      <c r="B1198" s="14"/>
      <c r="C1198" s="14"/>
      <c r="D1198" s="92"/>
      <c r="E1198" s="14"/>
      <c r="F1198" s="14"/>
      <c r="G1198" s="14"/>
      <c r="H1198" s="14"/>
      <c r="I1198" s="67"/>
      <c r="J1198" s="14"/>
      <c r="K1198" s="14"/>
      <c r="L1198" s="14"/>
      <c r="M1198" s="14"/>
    </row>
    <row r="1199" spans="1:13" x14ac:dyDescent="0.25">
      <c r="A1199" s="14"/>
      <c r="B1199" s="14"/>
      <c r="C1199" s="14"/>
      <c r="D1199" s="92"/>
      <c r="E1199" s="14"/>
      <c r="F1199" s="14"/>
      <c r="G1199" s="14"/>
      <c r="H1199" s="14"/>
      <c r="I1199" s="67"/>
      <c r="J1199" s="14"/>
      <c r="K1199" s="14"/>
      <c r="L1199" s="14"/>
      <c r="M1199" s="14"/>
    </row>
    <row r="1200" spans="1:13" x14ac:dyDescent="0.25">
      <c r="A1200" s="14"/>
      <c r="B1200" s="14"/>
      <c r="C1200" s="14"/>
      <c r="D1200" s="92"/>
      <c r="E1200" s="14"/>
      <c r="F1200" s="14"/>
      <c r="G1200" s="14"/>
      <c r="H1200" s="14"/>
      <c r="I1200" s="67"/>
      <c r="J1200" s="14"/>
      <c r="K1200" s="14"/>
      <c r="L1200" s="14"/>
      <c r="M1200" s="14"/>
    </row>
    <row r="1201" spans="1:13" x14ac:dyDescent="0.25">
      <c r="A1201" s="14"/>
      <c r="B1201" s="14"/>
      <c r="C1201" s="14"/>
      <c r="D1201" s="92"/>
      <c r="E1201" s="14"/>
      <c r="F1201" s="14"/>
      <c r="G1201" s="14"/>
      <c r="H1201" s="14"/>
      <c r="I1201" s="67"/>
      <c r="J1201" s="14"/>
      <c r="K1201" s="14"/>
      <c r="L1201" s="14"/>
      <c r="M1201" s="14"/>
    </row>
    <row r="1202" spans="1:13" x14ac:dyDescent="0.25">
      <c r="A1202" s="14"/>
      <c r="B1202" s="14"/>
      <c r="C1202" s="14"/>
      <c r="D1202" s="92"/>
      <c r="E1202" s="14"/>
      <c r="F1202" s="14"/>
      <c r="G1202" s="14"/>
      <c r="H1202" s="14"/>
      <c r="I1202" s="67"/>
      <c r="J1202" s="14"/>
      <c r="K1202" s="14"/>
      <c r="L1202" s="14"/>
      <c r="M1202" s="14"/>
    </row>
    <row r="1203" spans="1:13" x14ac:dyDescent="0.25">
      <c r="A1203" s="14"/>
      <c r="B1203" s="14"/>
      <c r="C1203" s="14"/>
      <c r="D1203" s="92"/>
      <c r="E1203" s="14"/>
      <c r="F1203" s="14"/>
      <c r="G1203" s="14"/>
      <c r="H1203" s="14"/>
      <c r="I1203" s="67"/>
      <c r="J1203" s="14"/>
      <c r="K1203" s="14"/>
      <c r="L1203" s="14"/>
      <c r="M1203" s="14"/>
    </row>
    <row r="1204" spans="1:13" x14ac:dyDescent="0.25">
      <c r="A1204" s="14"/>
      <c r="B1204" s="14"/>
      <c r="C1204" s="14"/>
      <c r="D1204" s="92"/>
      <c r="E1204" s="14"/>
      <c r="F1204" s="14"/>
      <c r="G1204" s="14"/>
      <c r="H1204" s="14"/>
      <c r="I1204" s="67"/>
      <c r="J1204" s="14"/>
      <c r="K1204" s="14"/>
      <c r="L1204" s="14"/>
      <c r="M1204" s="14"/>
    </row>
    <row r="1205" spans="1:13" x14ac:dyDescent="0.25">
      <c r="A1205" s="14"/>
      <c r="B1205" s="14"/>
      <c r="C1205" s="14"/>
      <c r="D1205" s="92"/>
      <c r="E1205" s="14"/>
      <c r="F1205" s="14"/>
      <c r="G1205" s="14"/>
      <c r="H1205" s="14"/>
      <c r="I1205" s="67"/>
      <c r="J1205" s="14"/>
      <c r="K1205" s="14"/>
      <c r="L1205" s="14"/>
      <c r="M1205" s="14"/>
    </row>
    <row r="1206" spans="1:13" x14ac:dyDescent="0.25">
      <c r="A1206" s="14"/>
      <c r="B1206" s="14"/>
      <c r="C1206" s="14"/>
      <c r="D1206" s="92"/>
      <c r="E1206" s="14"/>
      <c r="F1206" s="14"/>
      <c r="G1206" s="14"/>
      <c r="H1206" s="14"/>
      <c r="I1206" s="67"/>
      <c r="J1206" s="14"/>
      <c r="K1206" s="14"/>
      <c r="L1206" s="14"/>
      <c r="M1206" s="14"/>
    </row>
    <row r="1207" spans="1:13" x14ac:dyDescent="0.25">
      <c r="A1207" s="14"/>
      <c r="B1207" s="14"/>
      <c r="C1207" s="14"/>
      <c r="D1207" s="92"/>
      <c r="E1207" s="14"/>
      <c r="F1207" s="14"/>
      <c r="G1207" s="14"/>
      <c r="H1207" s="14"/>
      <c r="I1207" s="67"/>
      <c r="J1207" s="14"/>
      <c r="K1207" s="14"/>
      <c r="L1207" s="14"/>
      <c r="M1207" s="14"/>
    </row>
    <row r="1208" spans="1:13" x14ac:dyDescent="0.25">
      <c r="A1208" s="14"/>
      <c r="B1208" s="14"/>
      <c r="C1208" s="14"/>
      <c r="D1208" s="92"/>
      <c r="E1208" s="14"/>
      <c r="F1208" s="14"/>
      <c r="G1208" s="14"/>
      <c r="H1208" s="14"/>
      <c r="I1208" s="67"/>
      <c r="J1208" s="14"/>
      <c r="K1208" s="14"/>
      <c r="L1208" s="14"/>
      <c r="M1208" s="14"/>
    </row>
    <row r="1209" spans="1:13" x14ac:dyDescent="0.25">
      <c r="A1209" s="14"/>
      <c r="B1209" s="14"/>
      <c r="C1209" s="14"/>
      <c r="D1209" s="92"/>
      <c r="E1209" s="14"/>
      <c r="F1209" s="14"/>
      <c r="G1209" s="14"/>
      <c r="H1209" s="14"/>
      <c r="I1209" s="67"/>
      <c r="J1209" s="14"/>
      <c r="K1209" s="14"/>
      <c r="L1209" s="14"/>
      <c r="M1209" s="14"/>
    </row>
    <row r="1210" spans="1:13" x14ac:dyDescent="0.25">
      <c r="A1210" s="14"/>
      <c r="B1210" s="14"/>
      <c r="C1210" s="14"/>
      <c r="D1210" s="92"/>
      <c r="E1210" s="14"/>
      <c r="F1210" s="14"/>
      <c r="G1210" s="14"/>
      <c r="H1210" s="14"/>
      <c r="I1210" s="67"/>
      <c r="J1210" s="14"/>
      <c r="K1210" s="14"/>
      <c r="L1210" s="14"/>
      <c r="M1210" s="14"/>
    </row>
    <row r="1211" spans="1:13" x14ac:dyDescent="0.25">
      <c r="A1211" s="14"/>
      <c r="B1211" s="14"/>
      <c r="C1211" s="14"/>
      <c r="D1211" s="92"/>
      <c r="E1211" s="14"/>
      <c r="F1211" s="14"/>
      <c r="G1211" s="14"/>
      <c r="H1211" s="14"/>
      <c r="I1211" s="67"/>
      <c r="J1211" s="14"/>
      <c r="K1211" s="14"/>
      <c r="L1211" s="14"/>
      <c r="M1211" s="14"/>
    </row>
    <row r="1212" spans="1:13" x14ac:dyDescent="0.25">
      <c r="A1212" s="14"/>
      <c r="B1212" s="14"/>
      <c r="C1212" s="14"/>
      <c r="D1212" s="92"/>
      <c r="E1212" s="14"/>
      <c r="F1212" s="14"/>
      <c r="G1212" s="14"/>
      <c r="H1212" s="14"/>
      <c r="I1212" s="67"/>
      <c r="J1212" s="14"/>
      <c r="K1212" s="14"/>
      <c r="L1212" s="14"/>
      <c r="M1212" s="14"/>
    </row>
    <row r="1213" spans="1:13" x14ac:dyDescent="0.25">
      <c r="A1213" s="14"/>
      <c r="B1213" s="14"/>
      <c r="C1213" s="14"/>
      <c r="D1213" s="92"/>
      <c r="E1213" s="14"/>
      <c r="F1213" s="14"/>
      <c r="G1213" s="14"/>
      <c r="H1213" s="14"/>
      <c r="I1213" s="67"/>
      <c r="J1213" s="14"/>
      <c r="K1213" s="14"/>
      <c r="L1213" s="14"/>
      <c r="M1213" s="14"/>
    </row>
    <row r="1214" spans="1:13" x14ac:dyDescent="0.25">
      <c r="A1214" s="14"/>
      <c r="B1214" s="14"/>
      <c r="C1214" s="14"/>
      <c r="D1214" s="92"/>
      <c r="E1214" s="14"/>
      <c r="F1214" s="14"/>
      <c r="G1214" s="14"/>
      <c r="H1214" s="14"/>
      <c r="I1214" s="67"/>
      <c r="J1214" s="14"/>
      <c r="K1214" s="14"/>
      <c r="L1214" s="14"/>
      <c r="M1214" s="14"/>
    </row>
    <row r="1215" spans="1:13" x14ac:dyDescent="0.25">
      <c r="A1215" s="14"/>
      <c r="B1215" s="14"/>
      <c r="C1215" s="14"/>
      <c r="D1215" s="92"/>
      <c r="E1215" s="14"/>
      <c r="F1215" s="14"/>
      <c r="G1215" s="14"/>
      <c r="H1215" s="14"/>
      <c r="I1215" s="67"/>
      <c r="J1215" s="14"/>
      <c r="K1215" s="14"/>
      <c r="L1215" s="14"/>
      <c r="M1215" s="14"/>
    </row>
    <row r="1216" spans="1:13" x14ac:dyDescent="0.25">
      <c r="A1216" s="14"/>
      <c r="B1216" s="14"/>
      <c r="C1216" s="14"/>
      <c r="D1216" s="92"/>
      <c r="E1216" s="14"/>
      <c r="F1216" s="14"/>
      <c r="G1216" s="14"/>
      <c r="H1216" s="14"/>
      <c r="I1216" s="67"/>
      <c r="J1216" s="14"/>
      <c r="K1216" s="14"/>
      <c r="L1216" s="14"/>
      <c r="M1216" s="14"/>
    </row>
    <row r="1217" spans="1:13" x14ac:dyDescent="0.25">
      <c r="A1217" s="14"/>
      <c r="B1217" s="14"/>
      <c r="C1217" s="14"/>
      <c r="D1217" s="92"/>
      <c r="E1217" s="14"/>
      <c r="F1217" s="14"/>
      <c r="G1217" s="14"/>
      <c r="H1217" s="14"/>
      <c r="I1217" s="67"/>
      <c r="J1217" s="14"/>
      <c r="K1217" s="14"/>
      <c r="L1217" s="14"/>
      <c r="M1217" s="14"/>
    </row>
    <row r="1218" spans="1:13" x14ac:dyDescent="0.25">
      <c r="A1218" s="14"/>
      <c r="B1218" s="14"/>
      <c r="C1218" s="14"/>
      <c r="D1218" s="92"/>
      <c r="E1218" s="14"/>
      <c r="F1218" s="14"/>
      <c r="G1218" s="14"/>
      <c r="H1218" s="14"/>
      <c r="I1218" s="67"/>
      <c r="J1218" s="14"/>
      <c r="K1218" s="14"/>
      <c r="L1218" s="14"/>
      <c r="M1218" s="14"/>
    </row>
    <row r="1219" spans="1:13" x14ac:dyDescent="0.25">
      <c r="A1219" s="14"/>
      <c r="B1219" s="14"/>
      <c r="C1219" s="14"/>
      <c r="D1219" s="92"/>
      <c r="E1219" s="14"/>
      <c r="F1219" s="14"/>
      <c r="G1219" s="14"/>
      <c r="H1219" s="14"/>
      <c r="I1219" s="67"/>
      <c r="J1219" s="14"/>
      <c r="K1219" s="14"/>
      <c r="L1219" s="14"/>
      <c r="M1219" s="14"/>
    </row>
    <row r="1220" spans="1:13" x14ac:dyDescent="0.25">
      <c r="A1220" s="14"/>
      <c r="B1220" s="14"/>
      <c r="C1220" s="14"/>
      <c r="D1220" s="92"/>
      <c r="E1220" s="14"/>
      <c r="F1220" s="14"/>
      <c r="G1220" s="14"/>
      <c r="H1220" s="14"/>
      <c r="I1220" s="67"/>
      <c r="J1220" s="14"/>
      <c r="K1220" s="14"/>
      <c r="L1220" s="14"/>
      <c r="M1220" s="14"/>
    </row>
    <row r="1221" spans="1:13" x14ac:dyDescent="0.25">
      <c r="A1221" s="14"/>
      <c r="B1221" s="14"/>
      <c r="C1221" s="14"/>
      <c r="D1221" s="92"/>
      <c r="E1221" s="14"/>
      <c r="F1221" s="14"/>
      <c r="G1221" s="14"/>
      <c r="H1221" s="14"/>
      <c r="I1221" s="67"/>
      <c r="J1221" s="14"/>
      <c r="K1221" s="14"/>
      <c r="L1221" s="14"/>
      <c r="M1221" s="14"/>
    </row>
    <row r="1222" spans="1:13" x14ac:dyDescent="0.25">
      <c r="A1222" s="14"/>
      <c r="B1222" s="14"/>
      <c r="C1222" s="14"/>
      <c r="D1222" s="92"/>
      <c r="E1222" s="14"/>
      <c r="F1222" s="14"/>
      <c r="G1222" s="14"/>
      <c r="H1222" s="14"/>
      <c r="I1222" s="67"/>
      <c r="J1222" s="14"/>
      <c r="K1222" s="14"/>
      <c r="L1222" s="14"/>
      <c r="M1222" s="14"/>
    </row>
    <row r="1223" spans="1:13" x14ac:dyDescent="0.25">
      <c r="A1223" s="14"/>
      <c r="B1223" s="14"/>
      <c r="C1223" s="14"/>
      <c r="D1223" s="92"/>
      <c r="E1223" s="14"/>
      <c r="F1223" s="14"/>
      <c r="G1223" s="14"/>
      <c r="H1223" s="14"/>
      <c r="I1223" s="67"/>
      <c r="J1223" s="14"/>
      <c r="K1223" s="14"/>
      <c r="L1223" s="14"/>
      <c r="M1223" s="14"/>
    </row>
    <row r="1224" spans="1:13" x14ac:dyDescent="0.25">
      <c r="A1224" s="14"/>
      <c r="B1224" s="14"/>
      <c r="C1224" s="14"/>
      <c r="D1224" s="92"/>
      <c r="E1224" s="14"/>
      <c r="F1224" s="14"/>
      <c r="G1224" s="14"/>
      <c r="H1224" s="14"/>
      <c r="I1224" s="67"/>
      <c r="J1224" s="14"/>
      <c r="K1224" s="14"/>
      <c r="L1224" s="14"/>
      <c r="M1224" s="14"/>
    </row>
    <row r="1225" spans="1:13" x14ac:dyDescent="0.25">
      <c r="A1225" s="14"/>
      <c r="B1225" s="14"/>
      <c r="C1225" s="14"/>
      <c r="D1225" s="92"/>
      <c r="E1225" s="14"/>
      <c r="F1225" s="14"/>
      <c r="G1225" s="14"/>
      <c r="H1225" s="14"/>
      <c r="I1225" s="67"/>
      <c r="J1225" s="14"/>
      <c r="K1225" s="14"/>
      <c r="L1225" s="14"/>
      <c r="M1225" s="14"/>
    </row>
    <row r="1226" spans="1:13" x14ac:dyDescent="0.25">
      <c r="A1226" s="14"/>
      <c r="B1226" s="14"/>
      <c r="C1226" s="14"/>
      <c r="D1226" s="92"/>
      <c r="E1226" s="14"/>
      <c r="F1226" s="14"/>
      <c r="G1226" s="14"/>
      <c r="H1226" s="14"/>
      <c r="I1226" s="67"/>
      <c r="J1226" s="14"/>
      <c r="K1226" s="14"/>
      <c r="L1226" s="14"/>
      <c r="M1226" s="14"/>
    </row>
    <row r="1227" spans="1:13" x14ac:dyDescent="0.25">
      <c r="A1227" s="14"/>
      <c r="B1227" s="14"/>
      <c r="C1227" s="14"/>
      <c r="D1227" s="92"/>
      <c r="E1227" s="14"/>
      <c r="F1227" s="14"/>
      <c r="G1227" s="14"/>
      <c r="H1227" s="14"/>
      <c r="I1227" s="67"/>
      <c r="J1227" s="14"/>
      <c r="K1227" s="14"/>
      <c r="L1227" s="14"/>
      <c r="M1227" s="14"/>
    </row>
    <row r="1228" spans="1:13" x14ac:dyDescent="0.25">
      <c r="A1228" s="14"/>
      <c r="B1228" s="14"/>
      <c r="C1228" s="14"/>
      <c r="D1228" s="92"/>
      <c r="E1228" s="14"/>
      <c r="F1228" s="14"/>
      <c r="G1228" s="14"/>
      <c r="H1228" s="14"/>
      <c r="I1228" s="67"/>
      <c r="J1228" s="14"/>
      <c r="K1228" s="14"/>
      <c r="L1228" s="14"/>
      <c r="M1228" s="14"/>
    </row>
    <row r="1229" spans="1:13" x14ac:dyDescent="0.25">
      <c r="A1229" s="14"/>
      <c r="B1229" s="14"/>
      <c r="C1229" s="14"/>
      <c r="D1229" s="92"/>
      <c r="E1229" s="14"/>
      <c r="F1229" s="14"/>
      <c r="G1229" s="14"/>
      <c r="H1229" s="14"/>
      <c r="I1229" s="67"/>
      <c r="J1229" s="14"/>
      <c r="K1229" s="14"/>
      <c r="L1229" s="14"/>
      <c r="M1229" s="14"/>
    </row>
    <row r="1230" spans="1:13" x14ac:dyDescent="0.25">
      <c r="A1230" s="14"/>
      <c r="B1230" s="14"/>
      <c r="C1230" s="14"/>
      <c r="D1230" s="92"/>
      <c r="E1230" s="14"/>
      <c r="F1230" s="14"/>
      <c r="G1230" s="14"/>
      <c r="H1230" s="14"/>
      <c r="I1230" s="67"/>
      <c r="J1230" s="14"/>
      <c r="K1230" s="14"/>
      <c r="L1230" s="14"/>
      <c r="M1230" s="14"/>
    </row>
    <row r="1231" spans="1:13" x14ac:dyDescent="0.25">
      <c r="A1231" s="14"/>
      <c r="B1231" s="14"/>
      <c r="C1231" s="14"/>
      <c r="D1231" s="92"/>
      <c r="E1231" s="14"/>
      <c r="F1231" s="14"/>
      <c r="G1231" s="14"/>
      <c r="H1231" s="14"/>
      <c r="I1231" s="67"/>
      <c r="J1231" s="14"/>
      <c r="K1231" s="14"/>
      <c r="L1231" s="14"/>
      <c r="M1231" s="14"/>
    </row>
    <row r="1232" spans="1:13" x14ac:dyDescent="0.25">
      <c r="A1232" s="14"/>
      <c r="B1232" s="14"/>
      <c r="C1232" s="14"/>
      <c r="D1232" s="92"/>
      <c r="E1232" s="14"/>
      <c r="F1232" s="14"/>
      <c r="G1232" s="14"/>
      <c r="H1232" s="14"/>
      <c r="I1232" s="67"/>
      <c r="J1232" s="14"/>
      <c r="K1232" s="14"/>
      <c r="L1232" s="14"/>
      <c r="M1232" s="14"/>
    </row>
    <row r="1233" spans="1:13" x14ac:dyDescent="0.25">
      <c r="A1233" s="14"/>
      <c r="B1233" s="14"/>
      <c r="C1233" s="14"/>
      <c r="D1233" s="92"/>
      <c r="E1233" s="14"/>
      <c r="F1233" s="14"/>
      <c r="G1233" s="14"/>
      <c r="H1233" s="14"/>
      <c r="I1233" s="67"/>
      <c r="J1233" s="14"/>
      <c r="K1233" s="14"/>
      <c r="L1233" s="14"/>
      <c r="M1233" s="14"/>
    </row>
    <row r="1234" spans="1:13" x14ac:dyDescent="0.25">
      <c r="A1234" s="14"/>
      <c r="B1234" s="14"/>
      <c r="C1234" s="14"/>
      <c r="D1234" s="92"/>
      <c r="E1234" s="14"/>
      <c r="F1234" s="14"/>
      <c r="G1234" s="14"/>
      <c r="H1234" s="14"/>
      <c r="I1234" s="67"/>
      <c r="J1234" s="14"/>
      <c r="K1234" s="14"/>
      <c r="L1234" s="14"/>
      <c r="M1234" s="14"/>
    </row>
    <row r="1235" spans="1:13" x14ac:dyDescent="0.25">
      <c r="A1235" s="14"/>
      <c r="B1235" s="14"/>
      <c r="C1235" s="14"/>
      <c r="D1235" s="92"/>
      <c r="E1235" s="14"/>
      <c r="F1235" s="14"/>
      <c r="G1235" s="14"/>
      <c r="H1235" s="14"/>
      <c r="I1235" s="67"/>
      <c r="J1235" s="14"/>
      <c r="K1235" s="14"/>
      <c r="L1235" s="14"/>
      <c r="M1235" s="14"/>
    </row>
    <row r="1236" spans="1:13" x14ac:dyDescent="0.25">
      <c r="A1236" s="14"/>
      <c r="B1236" s="14"/>
      <c r="C1236" s="14"/>
      <c r="D1236" s="92"/>
      <c r="E1236" s="14"/>
      <c r="F1236" s="14"/>
      <c r="G1236" s="14"/>
      <c r="H1236" s="14"/>
      <c r="I1236" s="67"/>
      <c r="J1236" s="14"/>
      <c r="K1236" s="14"/>
      <c r="L1236" s="14"/>
      <c r="M1236" s="14"/>
    </row>
    <row r="1237" spans="1:13" x14ac:dyDescent="0.25">
      <c r="A1237" s="14"/>
      <c r="B1237" s="14"/>
      <c r="C1237" s="14"/>
      <c r="D1237" s="92"/>
      <c r="E1237" s="14"/>
      <c r="F1237" s="14"/>
      <c r="G1237" s="14"/>
      <c r="H1237" s="14"/>
      <c r="I1237" s="67"/>
      <c r="J1237" s="14"/>
      <c r="K1237" s="14"/>
      <c r="L1237" s="14"/>
      <c r="M1237" s="14"/>
    </row>
    <row r="1238" spans="1:13" x14ac:dyDescent="0.25">
      <c r="A1238" s="14"/>
      <c r="B1238" s="14"/>
      <c r="C1238" s="14"/>
      <c r="D1238" s="92"/>
      <c r="E1238" s="14"/>
      <c r="F1238" s="14"/>
      <c r="G1238" s="14"/>
      <c r="H1238" s="14"/>
      <c r="I1238" s="67"/>
      <c r="J1238" s="14"/>
      <c r="K1238" s="14"/>
      <c r="L1238" s="14"/>
      <c r="M1238" s="14"/>
    </row>
    <row r="1239" spans="1:13" x14ac:dyDescent="0.25">
      <c r="A1239" s="14"/>
      <c r="B1239" s="14"/>
      <c r="C1239" s="14"/>
      <c r="D1239" s="92"/>
      <c r="E1239" s="14"/>
      <c r="F1239" s="14"/>
      <c r="G1239" s="14"/>
      <c r="H1239" s="14"/>
      <c r="I1239" s="67"/>
      <c r="J1239" s="14"/>
      <c r="K1239" s="14"/>
      <c r="L1239" s="14"/>
      <c r="M1239" s="14"/>
    </row>
    <row r="1240" spans="1:13" x14ac:dyDescent="0.25">
      <c r="A1240" s="14"/>
      <c r="B1240" s="14"/>
      <c r="C1240" s="14"/>
      <c r="D1240" s="92"/>
      <c r="E1240" s="14"/>
      <c r="F1240" s="14"/>
      <c r="G1240" s="14"/>
      <c r="H1240" s="14"/>
      <c r="I1240" s="67"/>
      <c r="J1240" s="14"/>
      <c r="K1240" s="14"/>
      <c r="L1240" s="14"/>
      <c r="M1240" s="14"/>
    </row>
    <row r="1241" spans="1:13" x14ac:dyDescent="0.25">
      <c r="A1241" s="14"/>
      <c r="B1241" s="14"/>
      <c r="C1241" s="14"/>
      <c r="D1241" s="92"/>
      <c r="E1241" s="14"/>
      <c r="F1241" s="14"/>
      <c r="G1241" s="14"/>
      <c r="H1241" s="14"/>
      <c r="I1241" s="67"/>
      <c r="J1241" s="14"/>
      <c r="K1241" s="14"/>
      <c r="L1241" s="14"/>
      <c r="M1241" s="14"/>
    </row>
    <row r="1242" spans="1:13" x14ac:dyDescent="0.25">
      <c r="A1242" s="14"/>
      <c r="B1242" s="14"/>
      <c r="C1242" s="14"/>
      <c r="D1242" s="92"/>
      <c r="E1242" s="14"/>
      <c r="F1242" s="14"/>
      <c r="G1242" s="14"/>
      <c r="H1242" s="14"/>
      <c r="I1242" s="67"/>
      <c r="J1242" s="14"/>
      <c r="K1242" s="14"/>
      <c r="L1242" s="14"/>
      <c r="M1242" s="14"/>
    </row>
    <row r="1243" spans="1:13" x14ac:dyDescent="0.25">
      <c r="A1243" s="14"/>
      <c r="B1243" s="14"/>
      <c r="C1243" s="14"/>
      <c r="D1243" s="92"/>
      <c r="E1243" s="14"/>
      <c r="F1243" s="14"/>
      <c r="G1243" s="14"/>
      <c r="H1243" s="14"/>
      <c r="I1243" s="67"/>
      <c r="J1243" s="14"/>
      <c r="K1243" s="14"/>
      <c r="L1243" s="14"/>
      <c r="M1243" s="14"/>
    </row>
    <row r="1244" spans="1:13" x14ac:dyDescent="0.25">
      <c r="A1244" s="14"/>
      <c r="B1244" s="14"/>
      <c r="C1244" s="14"/>
      <c r="D1244" s="92"/>
      <c r="E1244" s="14"/>
      <c r="F1244" s="14"/>
      <c r="G1244" s="14"/>
      <c r="H1244" s="14"/>
      <c r="I1244" s="67"/>
      <c r="J1244" s="14"/>
      <c r="K1244" s="14"/>
      <c r="L1244" s="14"/>
      <c r="M1244" s="14"/>
    </row>
    <row r="1245" spans="1:13" x14ac:dyDescent="0.25">
      <c r="A1245" s="14"/>
      <c r="B1245" s="14"/>
      <c r="C1245" s="14"/>
      <c r="D1245" s="92"/>
      <c r="E1245" s="14"/>
      <c r="F1245" s="14"/>
      <c r="G1245" s="14"/>
      <c r="H1245" s="14"/>
      <c r="I1245" s="67"/>
      <c r="J1245" s="14"/>
      <c r="K1245" s="14"/>
      <c r="L1245" s="14"/>
      <c r="M1245" s="14"/>
    </row>
    <row r="1246" spans="1:13" x14ac:dyDescent="0.25">
      <c r="A1246" s="14"/>
      <c r="B1246" s="14"/>
      <c r="C1246" s="14"/>
      <c r="D1246" s="92"/>
      <c r="E1246" s="14"/>
      <c r="F1246" s="14"/>
      <c r="G1246" s="14"/>
      <c r="H1246" s="14"/>
      <c r="I1246" s="67"/>
      <c r="J1246" s="14"/>
      <c r="K1246" s="14"/>
      <c r="L1246" s="14"/>
      <c r="M1246" s="14"/>
    </row>
    <row r="1247" spans="1:13" x14ac:dyDescent="0.25">
      <c r="A1247" s="14"/>
      <c r="B1247" s="14"/>
      <c r="C1247" s="14"/>
      <c r="D1247" s="92"/>
      <c r="E1247" s="14"/>
      <c r="F1247" s="14"/>
      <c r="G1247" s="14"/>
      <c r="H1247" s="14"/>
      <c r="I1247" s="67"/>
      <c r="J1247" s="14"/>
      <c r="K1247" s="14"/>
      <c r="L1247" s="14"/>
      <c r="M1247" s="14"/>
    </row>
    <row r="1248" spans="1:13" x14ac:dyDescent="0.25">
      <c r="A1248" s="14"/>
      <c r="B1248" s="14"/>
      <c r="C1248" s="14"/>
      <c r="D1248" s="92"/>
      <c r="E1248" s="14"/>
      <c r="F1248" s="14"/>
      <c r="G1248" s="14"/>
      <c r="H1248" s="14"/>
      <c r="I1248" s="67"/>
      <c r="J1248" s="14"/>
      <c r="K1248" s="14"/>
      <c r="L1248" s="14"/>
      <c r="M1248" s="14"/>
    </row>
    <row r="1249" spans="1:13" x14ac:dyDescent="0.25">
      <c r="A1249" s="14"/>
      <c r="B1249" s="14"/>
      <c r="C1249" s="14"/>
      <c r="D1249" s="92"/>
      <c r="E1249" s="14"/>
      <c r="F1249" s="14"/>
      <c r="G1249" s="14"/>
      <c r="H1249" s="14"/>
      <c r="I1249" s="67"/>
      <c r="J1249" s="14"/>
      <c r="K1249" s="14"/>
      <c r="L1249" s="14"/>
      <c r="M1249" s="14"/>
    </row>
    <row r="1250" spans="1:13" x14ac:dyDescent="0.25">
      <c r="A1250" s="14"/>
      <c r="B1250" s="14"/>
      <c r="C1250" s="14"/>
      <c r="D1250" s="92"/>
      <c r="E1250" s="14"/>
      <c r="F1250" s="14"/>
      <c r="G1250" s="14"/>
      <c r="H1250" s="14"/>
      <c r="I1250" s="67"/>
      <c r="J1250" s="14"/>
      <c r="K1250" s="14"/>
      <c r="L1250" s="14"/>
      <c r="M1250" s="14"/>
    </row>
    <row r="1251" spans="1:13" x14ac:dyDescent="0.25">
      <c r="A1251" s="14"/>
      <c r="B1251" s="14"/>
      <c r="C1251" s="14"/>
      <c r="D1251" s="92"/>
      <c r="E1251" s="14"/>
      <c r="F1251" s="14"/>
      <c r="G1251" s="14"/>
      <c r="H1251" s="14"/>
      <c r="I1251" s="67"/>
      <c r="J1251" s="14"/>
      <c r="K1251" s="14"/>
      <c r="L1251" s="14"/>
      <c r="M1251" s="14"/>
    </row>
    <row r="1252" spans="1:13" x14ac:dyDescent="0.25">
      <c r="A1252" s="14"/>
      <c r="B1252" s="14"/>
      <c r="C1252" s="14"/>
      <c r="D1252" s="92"/>
      <c r="E1252" s="14"/>
      <c r="F1252" s="14"/>
      <c r="G1252" s="14"/>
      <c r="H1252" s="14"/>
      <c r="I1252" s="67"/>
      <c r="J1252" s="14"/>
      <c r="K1252" s="14"/>
      <c r="L1252" s="14"/>
      <c r="M1252" s="14"/>
    </row>
    <row r="1253" spans="1:13" x14ac:dyDescent="0.25">
      <c r="A1253" s="14"/>
      <c r="B1253" s="14"/>
      <c r="C1253" s="14"/>
      <c r="D1253" s="92"/>
      <c r="E1253" s="14"/>
      <c r="F1253" s="14"/>
      <c r="G1253" s="14"/>
      <c r="H1253" s="14"/>
      <c r="I1253" s="67"/>
      <c r="J1253" s="14"/>
      <c r="K1253" s="14"/>
      <c r="L1253" s="14"/>
      <c r="M1253" s="14"/>
    </row>
    <row r="1254" spans="1:13" x14ac:dyDescent="0.25">
      <c r="A1254" s="14"/>
      <c r="B1254" s="14"/>
      <c r="C1254" s="14"/>
      <c r="D1254" s="92"/>
      <c r="E1254" s="14"/>
      <c r="F1254" s="14"/>
      <c r="G1254" s="14"/>
      <c r="H1254" s="14"/>
      <c r="I1254" s="67"/>
      <c r="J1254" s="14"/>
      <c r="K1254" s="14"/>
      <c r="L1254" s="14"/>
      <c r="M1254" s="14"/>
    </row>
    <row r="1255" spans="1:13" x14ac:dyDescent="0.25">
      <c r="A1255" s="14"/>
      <c r="B1255" s="14"/>
      <c r="C1255" s="14"/>
      <c r="D1255" s="92"/>
      <c r="E1255" s="14"/>
      <c r="F1255" s="14"/>
      <c r="G1255" s="14"/>
      <c r="H1255" s="14"/>
      <c r="I1255" s="67"/>
      <c r="J1255" s="14"/>
      <c r="K1255" s="14"/>
      <c r="L1255" s="14"/>
      <c r="M1255" s="14"/>
    </row>
    <row r="1256" spans="1:13" x14ac:dyDescent="0.25">
      <c r="A1256" s="14"/>
      <c r="B1256" s="14"/>
      <c r="C1256" s="14"/>
      <c r="D1256" s="92"/>
      <c r="E1256" s="14"/>
      <c r="F1256" s="14"/>
      <c r="G1256" s="14"/>
      <c r="H1256" s="14"/>
      <c r="I1256" s="67"/>
      <c r="J1256" s="14"/>
      <c r="K1256" s="14"/>
      <c r="L1256" s="14"/>
      <c r="M1256" s="14"/>
    </row>
    <row r="1257" spans="1:13" x14ac:dyDescent="0.25">
      <c r="A1257" s="14"/>
      <c r="B1257" s="14"/>
      <c r="C1257" s="14"/>
      <c r="D1257" s="92"/>
      <c r="E1257" s="14"/>
      <c r="F1257" s="14"/>
      <c r="G1257" s="14"/>
      <c r="H1257" s="14"/>
      <c r="I1257" s="67"/>
      <c r="J1257" s="14"/>
      <c r="K1257" s="14"/>
      <c r="L1257" s="14"/>
      <c r="M1257" s="14"/>
    </row>
    <row r="1258" spans="1:13" x14ac:dyDescent="0.25">
      <c r="A1258" s="14"/>
      <c r="B1258" s="14"/>
      <c r="C1258" s="14"/>
      <c r="D1258" s="92"/>
      <c r="E1258" s="14"/>
      <c r="F1258" s="14"/>
      <c r="G1258" s="14"/>
      <c r="H1258" s="14"/>
      <c r="I1258" s="67"/>
      <c r="J1258" s="14"/>
      <c r="K1258" s="14"/>
      <c r="L1258" s="14"/>
      <c r="M1258" s="14"/>
    </row>
    <row r="1259" spans="1:13" x14ac:dyDescent="0.25">
      <c r="A1259" s="14"/>
      <c r="B1259" s="14"/>
      <c r="C1259" s="14"/>
      <c r="D1259" s="92"/>
      <c r="E1259" s="14"/>
      <c r="F1259" s="14"/>
      <c r="G1259" s="14"/>
      <c r="H1259" s="14"/>
      <c r="I1259" s="67"/>
      <c r="J1259" s="14"/>
      <c r="K1259" s="14"/>
      <c r="L1259" s="14"/>
      <c r="M1259" s="14"/>
    </row>
    <row r="1260" spans="1:13" x14ac:dyDescent="0.25">
      <c r="A1260" s="14"/>
      <c r="B1260" s="14"/>
      <c r="C1260" s="14"/>
      <c r="D1260" s="92"/>
      <c r="E1260" s="14"/>
      <c r="F1260" s="14"/>
      <c r="G1260" s="14"/>
      <c r="H1260" s="14"/>
      <c r="I1260" s="67"/>
      <c r="J1260" s="14"/>
      <c r="K1260" s="14"/>
      <c r="L1260" s="14"/>
      <c r="M1260" s="14"/>
    </row>
    <row r="1261" spans="1:13" x14ac:dyDescent="0.25">
      <c r="A1261" s="14"/>
      <c r="B1261" s="14"/>
      <c r="C1261" s="14"/>
      <c r="D1261" s="92"/>
      <c r="E1261" s="14"/>
      <c r="F1261" s="14"/>
      <c r="G1261" s="14"/>
      <c r="H1261" s="14"/>
      <c r="I1261" s="67"/>
      <c r="J1261" s="14"/>
      <c r="K1261" s="14"/>
      <c r="L1261" s="14"/>
      <c r="M1261" s="14"/>
    </row>
    <row r="1262" spans="1:13" x14ac:dyDescent="0.25">
      <c r="A1262" s="14"/>
      <c r="B1262" s="14"/>
      <c r="C1262" s="14"/>
      <c r="D1262" s="92"/>
      <c r="E1262" s="14"/>
      <c r="F1262" s="14"/>
      <c r="G1262" s="14"/>
      <c r="H1262" s="14"/>
      <c r="I1262" s="67"/>
      <c r="J1262" s="14"/>
      <c r="K1262" s="14"/>
      <c r="L1262" s="14"/>
      <c r="M1262" s="14"/>
    </row>
    <row r="1263" spans="1:13" x14ac:dyDescent="0.25">
      <c r="A1263" s="14"/>
      <c r="B1263" s="14"/>
      <c r="C1263" s="14"/>
      <c r="D1263" s="92"/>
      <c r="E1263" s="14"/>
      <c r="F1263" s="14"/>
      <c r="G1263" s="14"/>
      <c r="H1263" s="14"/>
      <c r="I1263" s="67"/>
      <c r="J1263" s="14"/>
      <c r="K1263" s="14"/>
      <c r="L1263" s="14"/>
      <c r="M1263" s="14"/>
    </row>
    <row r="1264" spans="1:13" x14ac:dyDescent="0.25">
      <c r="A1264" s="14"/>
      <c r="B1264" s="14"/>
      <c r="C1264" s="14"/>
      <c r="D1264" s="92"/>
      <c r="E1264" s="14"/>
      <c r="F1264" s="14"/>
      <c r="G1264" s="14"/>
      <c r="H1264" s="14"/>
      <c r="I1264" s="67"/>
      <c r="J1264" s="14"/>
      <c r="K1264" s="14"/>
      <c r="L1264" s="14"/>
      <c r="M1264" s="14"/>
    </row>
    <row r="1265" spans="1:13" x14ac:dyDescent="0.25">
      <c r="A1265" s="14"/>
      <c r="B1265" s="14"/>
      <c r="C1265" s="14"/>
      <c r="D1265" s="92"/>
      <c r="E1265" s="14"/>
      <c r="F1265" s="14"/>
      <c r="G1265" s="14"/>
      <c r="H1265" s="14"/>
      <c r="I1265" s="67"/>
      <c r="J1265" s="14"/>
      <c r="K1265" s="14"/>
      <c r="L1265" s="14"/>
      <c r="M1265" s="14"/>
    </row>
    <row r="1266" spans="1:13" x14ac:dyDescent="0.25">
      <c r="A1266" s="14"/>
      <c r="B1266" s="14"/>
      <c r="C1266" s="14"/>
      <c r="D1266" s="92"/>
      <c r="E1266" s="14"/>
      <c r="F1266" s="14"/>
      <c r="G1266" s="14"/>
      <c r="H1266" s="14"/>
      <c r="I1266" s="67"/>
      <c r="J1266" s="14"/>
      <c r="K1266" s="14"/>
      <c r="L1266" s="14"/>
      <c r="M1266" s="14"/>
    </row>
    <row r="1267" spans="1:13" x14ac:dyDescent="0.25">
      <c r="A1267" s="14"/>
      <c r="B1267" s="14"/>
      <c r="C1267" s="14"/>
      <c r="D1267" s="92"/>
      <c r="E1267" s="14"/>
      <c r="F1267" s="14"/>
      <c r="G1267" s="14"/>
      <c r="H1267" s="14"/>
      <c r="I1267" s="67"/>
      <c r="J1267" s="14"/>
      <c r="K1267" s="14"/>
      <c r="L1267" s="14"/>
      <c r="M1267" s="14"/>
    </row>
    <row r="1268" spans="1:13" x14ac:dyDescent="0.25">
      <c r="A1268" s="14"/>
      <c r="B1268" s="14"/>
      <c r="C1268" s="14"/>
      <c r="D1268" s="92"/>
      <c r="E1268" s="14"/>
      <c r="F1268" s="14"/>
      <c r="G1268" s="14"/>
      <c r="H1268" s="14"/>
      <c r="I1268" s="67"/>
      <c r="J1268" s="14"/>
      <c r="K1268" s="14"/>
      <c r="L1268" s="14"/>
      <c r="M1268" s="14"/>
    </row>
    <row r="1269" spans="1:13" x14ac:dyDescent="0.25">
      <c r="A1269" s="14"/>
      <c r="B1269" s="14"/>
      <c r="C1269" s="14"/>
      <c r="D1269" s="92"/>
      <c r="E1269" s="14"/>
      <c r="F1269" s="14"/>
      <c r="G1269" s="14"/>
      <c r="H1269" s="14"/>
      <c r="I1269" s="67"/>
      <c r="J1269" s="14"/>
      <c r="K1269" s="14"/>
      <c r="L1269" s="14"/>
      <c r="M1269" s="14"/>
    </row>
    <row r="1270" spans="1:13" x14ac:dyDescent="0.25">
      <c r="A1270" s="14"/>
      <c r="B1270" s="14"/>
      <c r="C1270" s="14"/>
      <c r="D1270" s="92"/>
      <c r="E1270" s="14"/>
      <c r="F1270" s="14"/>
      <c r="G1270" s="14"/>
      <c r="H1270" s="14"/>
      <c r="I1270" s="67"/>
      <c r="J1270" s="14"/>
      <c r="K1270" s="14"/>
      <c r="L1270" s="14"/>
      <c r="M1270" s="14"/>
    </row>
    <row r="1271" spans="1:13" x14ac:dyDescent="0.25">
      <c r="A1271" s="14"/>
      <c r="B1271" s="14"/>
      <c r="C1271" s="14"/>
      <c r="D1271" s="92"/>
      <c r="E1271" s="14"/>
      <c r="F1271" s="14"/>
      <c r="G1271" s="14"/>
      <c r="H1271" s="14"/>
      <c r="I1271" s="67"/>
      <c r="J1271" s="14"/>
      <c r="K1271" s="14"/>
      <c r="L1271" s="14"/>
      <c r="M1271" s="14"/>
    </row>
    <row r="1272" spans="1:13" x14ac:dyDescent="0.25">
      <c r="A1272" s="14"/>
      <c r="B1272" s="14"/>
      <c r="C1272" s="14"/>
      <c r="D1272" s="92"/>
      <c r="E1272" s="14"/>
      <c r="F1272" s="14"/>
      <c r="G1272" s="14"/>
      <c r="H1272" s="14"/>
      <c r="I1272" s="67"/>
      <c r="J1272" s="14"/>
      <c r="K1272" s="14"/>
      <c r="L1272" s="14"/>
      <c r="M1272" s="14"/>
    </row>
    <row r="1273" spans="1:13" x14ac:dyDescent="0.25">
      <c r="A1273" s="14"/>
      <c r="B1273" s="14"/>
      <c r="C1273" s="14"/>
      <c r="D1273" s="92"/>
      <c r="E1273" s="14"/>
      <c r="F1273" s="14"/>
      <c r="G1273" s="14"/>
      <c r="H1273" s="14"/>
      <c r="I1273" s="67"/>
      <c r="J1273" s="14"/>
      <c r="K1273" s="14"/>
      <c r="L1273" s="14"/>
      <c r="M1273" s="14"/>
    </row>
    <row r="1274" spans="1:13" x14ac:dyDescent="0.25">
      <c r="A1274" s="14"/>
      <c r="B1274" s="14"/>
      <c r="C1274" s="14"/>
      <c r="D1274" s="92"/>
      <c r="E1274" s="14"/>
      <c r="F1274" s="14"/>
      <c r="G1274" s="14"/>
      <c r="H1274" s="14"/>
      <c r="I1274" s="67"/>
      <c r="J1274" s="14"/>
      <c r="K1274" s="14"/>
      <c r="L1274" s="14"/>
      <c r="M1274" s="14"/>
    </row>
    <row r="1275" spans="1:13" x14ac:dyDescent="0.25">
      <c r="A1275" s="14"/>
      <c r="B1275" s="14"/>
      <c r="C1275" s="14"/>
      <c r="D1275" s="92"/>
      <c r="E1275" s="14"/>
      <c r="F1275" s="14"/>
      <c r="G1275" s="14"/>
      <c r="H1275" s="14"/>
      <c r="I1275" s="67"/>
      <c r="J1275" s="14"/>
      <c r="K1275" s="14"/>
      <c r="L1275" s="14"/>
      <c r="M1275" s="14"/>
    </row>
    <row r="1276" spans="1:13" x14ac:dyDescent="0.25">
      <c r="A1276" s="14"/>
      <c r="B1276" s="14"/>
      <c r="C1276" s="14"/>
      <c r="D1276" s="92"/>
      <c r="E1276" s="14"/>
      <c r="F1276" s="14"/>
      <c r="G1276" s="14"/>
      <c r="H1276" s="14"/>
      <c r="I1276" s="67"/>
      <c r="J1276" s="14"/>
      <c r="K1276" s="14"/>
      <c r="L1276" s="14"/>
      <c r="M1276" s="14"/>
    </row>
    <row r="1277" spans="1:13" x14ac:dyDescent="0.25">
      <c r="A1277" s="14"/>
      <c r="B1277" s="14"/>
      <c r="C1277" s="14"/>
      <c r="D1277" s="92"/>
      <c r="E1277" s="14"/>
      <c r="F1277" s="14"/>
      <c r="G1277" s="14"/>
      <c r="H1277" s="14"/>
      <c r="I1277" s="67"/>
      <c r="J1277" s="14"/>
      <c r="K1277" s="14"/>
      <c r="L1277" s="14"/>
      <c r="M1277" s="14"/>
    </row>
    <row r="1278" spans="1:13" x14ac:dyDescent="0.25">
      <c r="A1278" s="14"/>
      <c r="B1278" s="14"/>
      <c r="C1278" s="14"/>
      <c r="D1278" s="92"/>
      <c r="E1278" s="14"/>
      <c r="F1278" s="14"/>
      <c r="G1278" s="14"/>
      <c r="H1278" s="14"/>
      <c r="I1278" s="67"/>
      <c r="J1278" s="14"/>
      <c r="K1278" s="14"/>
      <c r="L1278" s="14"/>
      <c r="M1278" s="14"/>
    </row>
    <row r="1279" spans="1:13" x14ac:dyDescent="0.25">
      <c r="A1279" s="14"/>
      <c r="B1279" s="14"/>
      <c r="C1279" s="14"/>
      <c r="D1279" s="92"/>
      <c r="E1279" s="14"/>
      <c r="F1279" s="14"/>
      <c r="G1279" s="14"/>
      <c r="H1279" s="14"/>
      <c r="I1279" s="67"/>
      <c r="J1279" s="14"/>
      <c r="K1279" s="14"/>
      <c r="L1279" s="14"/>
      <c r="M1279" s="14"/>
    </row>
    <row r="1280" spans="1:13" x14ac:dyDescent="0.25">
      <c r="A1280" s="14"/>
      <c r="B1280" s="14"/>
      <c r="C1280" s="14"/>
      <c r="D1280" s="92"/>
      <c r="E1280" s="14"/>
      <c r="F1280" s="14"/>
      <c r="G1280" s="14"/>
      <c r="H1280" s="14"/>
      <c r="I1280" s="67"/>
      <c r="J1280" s="14"/>
      <c r="K1280" s="14"/>
      <c r="L1280" s="14"/>
      <c r="M1280" s="14"/>
    </row>
    <row r="1281" spans="1:13" x14ac:dyDescent="0.25">
      <c r="A1281" s="14"/>
      <c r="B1281" s="14"/>
      <c r="C1281" s="14"/>
      <c r="D1281" s="92"/>
      <c r="E1281" s="14"/>
      <c r="F1281" s="14"/>
      <c r="G1281" s="14"/>
      <c r="H1281" s="14"/>
      <c r="I1281" s="67"/>
      <c r="J1281" s="14"/>
      <c r="K1281" s="14"/>
      <c r="L1281" s="14"/>
      <c r="M1281" s="14"/>
    </row>
    <row r="1282" spans="1:13" x14ac:dyDescent="0.25">
      <c r="A1282" s="14"/>
      <c r="B1282" s="14"/>
      <c r="C1282" s="14"/>
      <c r="D1282" s="92"/>
      <c r="E1282" s="14"/>
      <c r="F1282" s="14"/>
      <c r="G1282" s="14"/>
      <c r="H1282" s="14"/>
      <c r="I1282" s="67"/>
      <c r="J1282" s="14"/>
      <c r="K1282" s="14"/>
      <c r="L1282" s="14"/>
      <c r="M1282" s="14"/>
    </row>
    <row r="1283" spans="1:13" x14ac:dyDescent="0.25">
      <c r="A1283" s="14"/>
      <c r="B1283" s="14"/>
      <c r="C1283" s="14"/>
      <c r="D1283" s="92"/>
      <c r="E1283" s="14"/>
      <c r="F1283" s="14"/>
      <c r="G1283" s="14"/>
      <c r="H1283" s="14"/>
      <c r="I1283" s="67"/>
      <c r="J1283" s="14"/>
      <c r="K1283" s="14"/>
      <c r="L1283" s="14"/>
      <c r="M1283" s="14"/>
    </row>
    <row r="1284" spans="1:13" x14ac:dyDescent="0.25">
      <c r="A1284" s="14"/>
      <c r="B1284" s="14"/>
      <c r="C1284" s="14"/>
      <c r="D1284" s="92"/>
      <c r="E1284" s="14"/>
      <c r="F1284" s="14"/>
      <c r="G1284" s="14"/>
      <c r="H1284" s="14"/>
      <c r="I1284" s="67"/>
      <c r="J1284" s="14"/>
      <c r="K1284" s="14"/>
      <c r="L1284" s="14"/>
      <c r="M1284" s="14"/>
    </row>
    <row r="1285" spans="1:13" x14ac:dyDescent="0.25">
      <c r="A1285" s="14"/>
      <c r="B1285" s="14"/>
      <c r="C1285" s="14"/>
      <c r="D1285" s="92"/>
      <c r="E1285" s="14"/>
      <c r="F1285" s="14"/>
      <c r="G1285" s="14"/>
      <c r="H1285" s="14"/>
      <c r="I1285" s="67"/>
      <c r="J1285" s="14"/>
      <c r="K1285" s="14"/>
      <c r="L1285" s="14"/>
      <c r="M1285" s="14"/>
    </row>
    <row r="1286" spans="1:13" x14ac:dyDescent="0.25">
      <c r="A1286" s="14"/>
      <c r="B1286" s="14"/>
      <c r="C1286" s="14"/>
      <c r="D1286" s="92"/>
      <c r="E1286" s="14"/>
      <c r="F1286" s="14"/>
      <c r="G1286" s="14"/>
      <c r="H1286" s="14"/>
      <c r="I1286" s="67"/>
      <c r="J1286" s="14"/>
      <c r="K1286" s="14"/>
      <c r="L1286" s="14"/>
      <c r="M1286" s="14"/>
    </row>
    <row r="1287" spans="1:13" x14ac:dyDescent="0.25">
      <c r="A1287" s="14"/>
      <c r="B1287" s="14"/>
      <c r="C1287" s="14"/>
      <c r="D1287" s="92"/>
      <c r="E1287" s="14"/>
      <c r="F1287" s="14"/>
      <c r="G1287" s="14"/>
      <c r="H1287" s="14"/>
      <c r="I1287" s="67"/>
      <c r="J1287" s="14"/>
      <c r="K1287" s="14"/>
      <c r="L1287" s="14"/>
      <c r="M1287" s="14"/>
    </row>
    <row r="1288" spans="1:13" x14ac:dyDescent="0.25">
      <c r="A1288" s="14"/>
      <c r="B1288" s="14"/>
      <c r="C1288" s="14"/>
      <c r="D1288" s="92"/>
      <c r="E1288" s="14"/>
      <c r="F1288" s="14"/>
      <c r="G1288" s="14"/>
      <c r="H1288" s="14"/>
      <c r="I1288" s="67"/>
      <c r="J1288" s="14"/>
      <c r="K1288" s="14"/>
      <c r="L1288" s="14"/>
      <c r="M1288" s="14"/>
    </row>
    <row r="1289" spans="1:13" x14ac:dyDescent="0.25">
      <c r="A1289" s="14"/>
      <c r="B1289" s="14"/>
      <c r="C1289" s="14"/>
      <c r="D1289" s="92"/>
      <c r="E1289" s="14"/>
      <c r="F1289" s="14"/>
      <c r="G1289" s="14"/>
      <c r="H1289" s="14"/>
      <c r="I1289" s="67"/>
      <c r="J1289" s="14"/>
      <c r="K1289" s="14"/>
      <c r="L1289" s="14"/>
      <c r="M1289" s="14"/>
    </row>
    <row r="1290" spans="1:13" x14ac:dyDescent="0.25">
      <c r="A1290" s="14"/>
      <c r="B1290" s="14"/>
      <c r="C1290" s="14"/>
      <c r="D1290" s="92"/>
      <c r="E1290" s="14"/>
      <c r="F1290" s="14"/>
      <c r="G1290" s="14"/>
      <c r="H1290" s="14"/>
      <c r="I1290" s="67"/>
      <c r="J1290" s="14"/>
      <c r="K1290" s="14"/>
      <c r="L1290" s="14"/>
      <c r="M1290" s="14"/>
    </row>
    <row r="1291" spans="1:13" x14ac:dyDescent="0.25">
      <c r="A1291" s="14"/>
      <c r="B1291" s="14"/>
      <c r="C1291" s="14"/>
      <c r="D1291" s="92"/>
      <c r="E1291" s="14"/>
      <c r="F1291" s="14"/>
      <c r="G1291" s="14"/>
      <c r="H1291" s="14"/>
      <c r="I1291" s="67"/>
      <c r="J1291" s="14"/>
      <c r="K1291" s="14"/>
      <c r="L1291" s="14"/>
      <c r="M1291" s="14"/>
    </row>
    <row r="1292" spans="1:13" x14ac:dyDescent="0.25">
      <c r="A1292" s="14"/>
      <c r="B1292" s="14"/>
      <c r="C1292" s="14"/>
      <c r="D1292" s="92"/>
      <c r="E1292" s="14"/>
      <c r="F1292" s="14"/>
      <c r="G1292" s="14"/>
      <c r="H1292" s="14"/>
      <c r="I1292" s="67"/>
      <c r="J1292" s="14"/>
      <c r="K1292" s="14"/>
      <c r="L1292" s="14"/>
      <c r="M1292" s="14"/>
    </row>
    <row r="1293" spans="1:13" x14ac:dyDescent="0.25">
      <c r="A1293" s="14"/>
      <c r="B1293" s="14"/>
      <c r="C1293" s="14"/>
      <c r="D1293" s="92"/>
      <c r="E1293" s="14"/>
      <c r="F1293" s="14"/>
      <c r="G1293" s="14"/>
      <c r="H1293" s="14"/>
      <c r="I1293" s="67"/>
      <c r="J1293" s="14"/>
      <c r="K1293" s="14"/>
      <c r="L1293" s="14"/>
      <c r="M1293" s="14"/>
    </row>
    <row r="1294" spans="1:13" x14ac:dyDescent="0.25">
      <c r="A1294" s="14"/>
      <c r="B1294" s="14"/>
      <c r="C1294" s="14"/>
      <c r="D1294" s="92"/>
      <c r="E1294" s="14"/>
      <c r="F1294" s="14"/>
      <c r="G1294" s="14"/>
      <c r="H1294" s="14"/>
      <c r="I1294" s="67"/>
      <c r="J1294" s="14"/>
      <c r="K1294" s="14"/>
      <c r="L1294" s="14"/>
      <c r="M1294" s="14"/>
    </row>
    <row r="1295" spans="1:13" x14ac:dyDescent="0.25">
      <c r="A1295" s="14"/>
      <c r="B1295" s="14"/>
      <c r="C1295" s="14"/>
      <c r="D1295" s="92"/>
      <c r="E1295" s="14"/>
      <c r="F1295" s="14"/>
      <c r="G1295" s="14"/>
      <c r="H1295" s="14"/>
      <c r="I1295" s="67"/>
      <c r="J1295" s="14"/>
      <c r="K1295" s="14"/>
      <c r="L1295" s="14"/>
      <c r="M1295" s="14"/>
    </row>
    <row r="1296" spans="1:13" x14ac:dyDescent="0.25">
      <c r="A1296" s="14"/>
      <c r="B1296" s="14"/>
      <c r="C1296" s="14"/>
      <c r="D1296" s="92"/>
      <c r="E1296" s="14"/>
      <c r="F1296" s="14"/>
      <c r="G1296" s="14"/>
      <c r="H1296" s="14"/>
      <c r="I1296" s="67"/>
      <c r="J1296" s="14"/>
      <c r="K1296" s="14"/>
      <c r="L1296" s="14"/>
      <c r="M1296" s="14"/>
    </row>
    <row r="1297" spans="1:13" x14ac:dyDescent="0.25">
      <c r="A1297" s="14"/>
      <c r="B1297" s="14"/>
      <c r="C1297" s="14"/>
      <c r="D1297" s="92"/>
      <c r="E1297" s="14"/>
      <c r="F1297" s="14"/>
      <c r="G1297" s="14"/>
      <c r="H1297" s="14"/>
      <c r="I1297" s="67"/>
      <c r="J1297" s="14"/>
      <c r="K1297" s="14"/>
      <c r="L1297" s="14"/>
      <c r="M1297" s="14"/>
    </row>
    <row r="1298" spans="1:13" x14ac:dyDescent="0.25">
      <c r="A1298" s="14"/>
      <c r="B1298" s="14"/>
      <c r="C1298" s="14"/>
      <c r="D1298" s="92"/>
      <c r="E1298" s="14"/>
      <c r="F1298" s="14"/>
      <c r="G1298" s="14"/>
      <c r="H1298" s="14"/>
      <c r="I1298" s="67"/>
      <c r="J1298" s="14"/>
      <c r="K1298" s="14"/>
      <c r="L1298" s="14"/>
      <c r="M1298" s="14"/>
    </row>
    <row r="1299" spans="1:13" x14ac:dyDescent="0.25">
      <c r="A1299" s="14"/>
      <c r="B1299" s="14"/>
      <c r="C1299" s="14"/>
      <c r="D1299" s="92"/>
      <c r="E1299" s="14"/>
      <c r="F1299" s="14"/>
      <c r="G1299" s="14"/>
      <c r="H1299" s="14"/>
      <c r="I1299" s="67"/>
      <c r="J1299" s="14"/>
      <c r="K1299" s="14"/>
      <c r="L1299" s="14"/>
      <c r="M1299" s="14"/>
    </row>
    <row r="1300" spans="1:13" x14ac:dyDescent="0.25">
      <c r="A1300" s="14"/>
      <c r="B1300" s="14"/>
      <c r="C1300" s="14"/>
      <c r="D1300" s="92"/>
      <c r="E1300" s="14"/>
      <c r="F1300" s="14"/>
      <c r="G1300" s="14"/>
      <c r="H1300" s="14"/>
      <c r="I1300" s="67"/>
      <c r="J1300" s="14"/>
      <c r="K1300" s="14"/>
      <c r="L1300" s="14"/>
      <c r="M1300" s="14"/>
    </row>
    <row r="1301" spans="1:13" x14ac:dyDescent="0.25">
      <c r="A1301" s="14"/>
      <c r="B1301" s="14"/>
      <c r="C1301" s="14"/>
      <c r="D1301" s="92"/>
      <c r="E1301" s="14"/>
      <c r="F1301" s="14"/>
      <c r="G1301" s="14"/>
      <c r="H1301" s="14"/>
      <c r="I1301" s="67"/>
      <c r="J1301" s="14"/>
      <c r="K1301" s="14"/>
      <c r="L1301" s="14"/>
      <c r="M1301" s="14"/>
    </row>
    <row r="1302" spans="1:13" x14ac:dyDescent="0.25">
      <c r="A1302" s="14"/>
      <c r="B1302" s="14"/>
      <c r="C1302" s="14"/>
      <c r="D1302" s="92"/>
      <c r="E1302" s="14"/>
      <c r="F1302" s="14"/>
      <c r="G1302" s="14"/>
      <c r="H1302" s="14"/>
      <c r="I1302" s="67"/>
      <c r="J1302" s="14"/>
      <c r="K1302" s="14"/>
      <c r="L1302" s="14"/>
      <c r="M1302" s="14"/>
    </row>
    <row r="1303" spans="1:13" x14ac:dyDescent="0.25">
      <c r="A1303" s="14"/>
      <c r="B1303" s="14"/>
      <c r="C1303" s="14"/>
      <c r="D1303" s="92"/>
      <c r="E1303" s="14"/>
      <c r="F1303" s="14"/>
      <c r="G1303" s="14"/>
      <c r="H1303" s="14"/>
      <c r="I1303" s="67"/>
      <c r="J1303" s="14"/>
      <c r="K1303" s="14"/>
      <c r="L1303" s="14"/>
      <c r="M1303" s="14"/>
    </row>
    <row r="1304" spans="1:13" x14ac:dyDescent="0.25">
      <c r="A1304" s="14"/>
      <c r="B1304" s="14"/>
      <c r="C1304" s="14"/>
      <c r="D1304" s="92"/>
      <c r="E1304" s="14"/>
      <c r="F1304" s="14"/>
      <c r="G1304" s="14"/>
      <c r="H1304" s="14"/>
      <c r="I1304" s="67"/>
      <c r="J1304" s="14"/>
      <c r="K1304" s="14"/>
      <c r="L1304" s="14"/>
      <c r="M1304" s="14"/>
    </row>
    <row r="1305" spans="1:13" x14ac:dyDescent="0.25">
      <c r="A1305" s="14"/>
      <c r="B1305" s="14"/>
      <c r="C1305" s="14"/>
      <c r="D1305" s="92"/>
      <c r="E1305" s="14"/>
      <c r="F1305" s="14"/>
      <c r="G1305" s="14"/>
      <c r="H1305" s="14"/>
      <c r="I1305" s="67"/>
      <c r="J1305" s="14"/>
      <c r="K1305" s="14"/>
      <c r="L1305" s="14"/>
      <c r="M1305" s="14"/>
    </row>
    <row r="1306" spans="1:13" x14ac:dyDescent="0.25">
      <c r="A1306" s="14"/>
      <c r="B1306" s="14"/>
      <c r="C1306" s="14"/>
      <c r="D1306" s="92"/>
      <c r="E1306" s="14"/>
      <c r="F1306" s="14"/>
      <c r="G1306" s="14"/>
      <c r="H1306" s="14"/>
      <c r="I1306" s="67"/>
      <c r="J1306" s="14"/>
      <c r="K1306" s="14"/>
      <c r="L1306" s="14"/>
      <c r="M1306" s="14"/>
    </row>
    <row r="1307" spans="1:13" x14ac:dyDescent="0.25">
      <c r="A1307" s="14"/>
      <c r="B1307" s="14"/>
      <c r="C1307" s="14"/>
      <c r="D1307" s="92"/>
      <c r="E1307" s="14"/>
      <c r="F1307" s="14"/>
      <c r="G1307" s="14"/>
      <c r="H1307" s="14"/>
      <c r="I1307" s="67"/>
      <c r="J1307" s="14"/>
      <c r="K1307" s="14"/>
      <c r="L1307" s="14"/>
      <c r="M1307" s="14"/>
    </row>
    <row r="1308" spans="1:13" x14ac:dyDescent="0.25">
      <c r="A1308" s="14"/>
      <c r="B1308" s="14"/>
      <c r="C1308" s="14"/>
      <c r="D1308" s="92"/>
      <c r="E1308" s="14"/>
      <c r="F1308" s="14"/>
      <c r="G1308" s="14"/>
      <c r="H1308" s="14"/>
      <c r="I1308" s="67"/>
      <c r="J1308" s="14"/>
      <c r="K1308" s="14"/>
      <c r="L1308" s="14"/>
      <c r="M1308" s="14"/>
    </row>
    <row r="1309" spans="1:13" x14ac:dyDescent="0.25">
      <c r="A1309" s="14"/>
      <c r="B1309" s="14"/>
      <c r="C1309" s="14"/>
      <c r="D1309" s="92"/>
      <c r="E1309" s="14"/>
      <c r="F1309" s="14"/>
      <c r="G1309" s="14"/>
      <c r="H1309" s="14"/>
      <c r="I1309" s="67"/>
      <c r="J1309" s="14"/>
      <c r="K1309" s="14"/>
      <c r="L1309" s="14"/>
      <c r="M1309" s="14"/>
    </row>
    <row r="1310" spans="1:13" x14ac:dyDescent="0.25">
      <c r="A1310" s="14"/>
      <c r="B1310" s="14"/>
      <c r="C1310" s="14"/>
      <c r="D1310" s="92"/>
      <c r="E1310" s="14"/>
      <c r="F1310" s="14"/>
      <c r="G1310" s="14"/>
      <c r="H1310" s="14"/>
      <c r="I1310" s="67"/>
      <c r="J1310" s="14"/>
      <c r="K1310" s="14"/>
      <c r="L1310" s="14"/>
      <c r="M1310" s="14"/>
    </row>
    <row r="1311" spans="1:13" x14ac:dyDescent="0.25">
      <c r="A1311" s="14"/>
      <c r="B1311" s="14"/>
      <c r="C1311" s="14"/>
      <c r="D1311" s="92"/>
      <c r="E1311" s="14"/>
      <c r="F1311" s="14"/>
      <c r="G1311" s="14"/>
      <c r="H1311" s="14"/>
      <c r="I1311" s="67"/>
      <c r="J1311" s="14"/>
      <c r="K1311" s="14"/>
      <c r="L1311" s="14"/>
      <c r="M1311" s="14"/>
    </row>
    <row r="1312" spans="1:13" x14ac:dyDescent="0.25">
      <c r="A1312" s="14"/>
      <c r="B1312" s="14"/>
      <c r="C1312" s="14"/>
      <c r="D1312" s="92"/>
      <c r="E1312" s="14"/>
      <c r="F1312" s="14"/>
      <c r="G1312" s="14"/>
      <c r="H1312" s="14"/>
      <c r="I1312" s="67"/>
      <c r="J1312" s="14"/>
      <c r="K1312" s="14"/>
      <c r="L1312" s="14"/>
      <c r="M1312" s="14"/>
    </row>
    <row r="1313" spans="1:13" x14ac:dyDescent="0.25">
      <c r="A1313" s="14"/>
      <c r="B1313" s="14"/>
      <c r="C1313" s="14"/>
      <c r="D1313" s="92"/>
      <c r="E1313" s="14"/>
      <c r="F1313" s="14"/>
      <c r="G1313" s="14"/>
      <c r="H1313" s="14"/>
      <c r="I1313" s="67"/>
      <c r="J1313" s="14"/>
      <c r="K1313" s="14"/>
      <c r="L1313" s="14"/>
      <c r="M1313" s="14"/>
    </row>
    <row r="1314" spans="1:13" x14ac:dyDescent="0.25">
      <c r="A1314" s="14"/>
      <c r="B1314" s="14"/>
      <c r="C1314" s="14"/>
      <c r="D1314" s="92"/>
      <c r="E1314" s="14"/>
      <c r="F1314" s="14"/>
      <c r="G1314" s="14"/>
      <c r="H1314" s="14"/>
      <c r="I1314" s="67"/>
      <c r="J1314" s="14"/>
      <c r="K1314" s="14"/>
      <c r="L1314" s="14"/>
      <c r="M1314" s="14"/>
    </row>
    <row r="1315" spans="1:13" x14ac:dyDescent="0.25">
      <c r="A1315" s="14"/>
      <c r="B1315" s="14"/>
      <c r="C1315" s="14"/>
      <c r="D1315" s="92"/>
      <c r="E1315" s="14"/>
      <c r="F1315" s="14"/>
      <c r="G1315" s="14"/>
      <c r="H1315" s="14"/>
      <c r="I1315" s="67"/>
      <c r="J1315" s="14"/>
      <c r="K1315" s="14"/>
      <c r="L1315" s="14"/>
      <c r="M1315" s="14"/>
    </row>
    <row r="1316" spans="1:13" x14ac:dyDescent="0.25">
      <c r="A1316" s="14"/>
      <c r="B1316" s="14"/>
      <c r="C1316" s="14"/>
      <c r="D1316" s="92"/>
      <c r="E1316" s="14"/>
      <c r="F1316" s="14"/>
      <c r="G1316" s="14"/>
      <c r="H1316" s="14"/>
      <c r="I1316" s="67"/>
      <c r="J1316" s="14"/>
      <c r="K1316" s="14"/>
      <c r="L1316" s="14"/>
      <c r="M1316" s="14"/>
    </row>
    <row r="1317" spans="1:13" x14ac:dyDescent="0.25">
      <c r="A1317" s="14"/>
      <c r="B1317" s="14"/>
      <c r="C1317" s="14"/>
      <c r="D1317" s="92"/>
      <c r="E1317" s="14"/>
      <c r="F1317" s="14"/>
      <c r="G1317" s="14"/>
      <c r="H1317" s="14"/>
      <c r="I1317" s="67"/>
      <c r="J1317" s="14"/>
      <c r="K1317" s="14"/>
      <c r="L1317" s="14"/>
      <c r="M1317" s="14"/>
    </row>
    <row r="1318" spans="1:13" x14ac:dyDescent="0.25">
      <c r="A1318" s="14"/>
      <c r="B1318" s="14"/>
      <c r="C1318" s="14"/>
      <c r="D1318" s="92"/>
      <c r="E1318" s="14"/>
      <c r="F1318" s="14"/>
      <c r="G1318" s="14"/>
      <c r="H1318" s="14"/>
      <c r="I1318" s="67"/>
      <c r="J1318" s="14"/>
      <c r="K1318" s="14"/>
      <c r="L1318" s="14"/>
      <c r="M1318" s="14"/>
    </row>
    <row r="1319" spans="1:13" x14ac:dyDescent="0.25">
      <c r="A1319" s="14"/>
      <c r="B1319" s="14"/>
      <c r="C1319" s="14"/>
      <c r="D1319" s="92"/>
      <c r="E1319" s="14"/>
      <c r="F1319" s="14"/>
      <c r="G1319" s="14"/>
      <c r="H1319" s="14"/>
      <c r="I1319" s="67"/>
      <c r="J1319" s="14"/>
      <c r="K1319" s="14"/>
      <c r="L1319" s="14"/>
      <c r="M1319" s="14"/>
    </row>
    <row r="1320" spans="1:13" x14ac:dyDescent="0.25">
      <c r="A1320" s="14"/>
      <c r="B1320" s="14"/>
      <c r="C1320" s="14"/>
      <c r="D1320" s="92"/>
      <c r="E1320" s="14"/>
      <c r="F1320" s="14"/>
      <c r="G1320" s="14"/>
      <c r="H1320" s="14"/>
      <c r="I1320" s="67"/>
      <c r="J1320" s="14"/>
      <c r="K1320" s="14"/>
      <c r="L1320" s="14"/>
      <c r="M1320" s="14"/>
    </row>
    <row r="1321" spans="1:13" x14ac:dyDescent="0.25">
      <c r="A1321" s="14"/>
      <c r="B1321" s="14"/>
      <c r="C1321" s="14"/>
      <c r="D1321" s="92"/>
      <c r="E1321" s="14"/>
      <c r="F1321" s="14"/>
      <c r="G1321" s="14"/>
      <c r="H1321" s="14"/>
      <c r="I1321" s="67"/>
      <c r="J1321" s="14"/>
      <c r="K1321" s="14"/>
      <c r="L1321" s="14"/>
      <c r="M1321" s="14"/>
    </row>
    <row r="1322" spans="1:13" x14ac:dyDescent="0.25">
      <c r="A1322" s="14"/>
      <c r="B1322" s="14"/>
      <c r="C1322" s="14"/>
      <c r="D1322" s="92"/>
      <c r="E1322" s="14"/>
      <c r="F1322" s="14"/>
      <c r="G1322" s="14"/>
      <c r="H1322" s="14"/>
      <c r="I1322" s="67"/>
      <c r="J1322" s="14"/>
      <c r="K1322" s="14"/>
      <c r="L1322" s="14"/>
      <c r="M1322" s="14"/>
    </row>
    <row r="1323" spans="1:13" x14ac:dyDescent="0.25">
      <c r="A1323" s="14"/>
      <c r="B1323" s="14"/>
      <c r="C1323" s="14"/>
      <c r="D1323" s="92"/>
      <c r="E1323" s="14"/>
      <c r="F1323" s="14"/>
      <c r="G1323" s="14"/>
      <c r="H1323" s="14"/>
      <c r="I1323" s="67"/>
      <c r="J1323" s="14"/>
      <c r="K1323" s="14"/>
      <c r="L1323" s="14"/>
      <c r="M1323" s="14"/>
    </row>
    <row r="1324" spans="1:13" x14ac:dyDescent="0.25">
      <c r="A1324" s="14"/>
      <c r="B1324" s="14"/>
      <c r="C1324" s="14"/>
      <c r="D1324" s="92"/>
      <c r="E1324" s="14"/>
      <c r="F1324" s="14"/>
      <c r="G1324" s="14"/>
      <c r="H1324" s="14"/>
      <c r="I1324" s="67"/>
      <c r="J1324" s="14"/>
      <c r="K1324" s="14"/>
      <c r="L1324" s="14"/>
      <c r="M1324" s="14"/>
    </row>
    <row r="1325" spans="1:13" x14ac:dyDescent="0.25">
      <c r="A1325" s="14"/>
      <c r="B1325" s="14"/>
      <c r="C1325" s="14"/>
      <c r="D1325" s="92"/>
      <c r="E1325" s="14"/>
      <c r="F1325" s="14"/>
      <c r="G1325" s="14"/>
      <c r="H1325" s="14"/>
      <c r="I1325" s="67"/>
      <c r="J1325" s="14"/>
      <c r="K1325" s="14"/>
      <c r="L1325" s="14"/>
      <c r="M1325" s="14"/>
    </row>
    <row r="1326" spans="1:13" x14ac:dyDescent="0.25">
      <c r="A1326" s="14"/>
      <c r="B1326" s="14"/>
      <c r="C1326" s="14"/>
      <c r="D1326" s="92"/>
      <c r="E1326" s="14"/>
      <c r="F1326" s="14"/>
      <c r="G1326" s="14"/>
      <c r="H1326" s="14"/>
      <c r="I1326" s="67"/>
      <c r="J1326" s="14"/>
      <c r="K1326" s="14"/>
      <c r="L1326" s="14"/>
      <c r="M1326" s="14"/>
    </row>
    <row r="1327" spans="1:13" x14ac:dyDescent="0.25">
      <c r="A1327" s="14"/>
      <c r="B1327" s="14"/>
      <c r="C1327" s="14"/>
      <c r="D1327" s="92"/>
      <c r="E1327" s="14"/>
      <c r="F1327" s="14"/>
      <c r="G1327" s="14"/>
      <c r="H1327" s="14"/>
      <c r="I1327" s="67"/>
      <c r="J1327" s="14"/>
      <c r="K1327" s="14"/>
      <c r="L1327" s="14"/>
      <c r="M1327" s="14"/>
    </row>
    <row r="1328" spans="1:13" x14ac:dyDescent="0.25">
      <c r="A1328" s="14"/>
      <c r="B1328" s="14"/>
      <c r="C1328" s="14"/>
      <c r="D1328" s="92"/>
      <c r="E1328" s="14"/>
      <c r="F1328" s="14"/>
      <c r="G1328" s="14"/>
      <c r="H1328" s="14"/>
      <c r="I1328" s="67"/>
      <c r="J1328" s="14"/>
      <c r="K1328" s="14"/>
      <c r="L1328" s="14"/>
      <c r="M1328" s="14"/>
    </row>
    <row r="1329" spans="1:13" x14ac:dyDescent="0.25">
      <c r="A1329" s="14"/>
      <c r="B1329" s="14"/>
      <c r="C1329" s="14"/>
      <c r="D1329" s="92"/>
      <c r="E1329" s="14"/>
      <c r="F1329" s="14"/>
      <c r="G1329" s="14"/>
      <c r="H1329" s="14"/>
      <c r="I1329" s="67"/>
      <c r="J1329" s="14"/>
      <c r="K1329" s="14"/>
      <c r="L1329" s="14"/>
      <c r="M1329" s="14"/>
    </row>
    <row r="1330" spans="1:13" x14ac:dyDescent="0.25">
      <c r="A1330" s="14"/>
      <c r="B1330" s="14"/>
      <c r="C1330" s="14"/>
      <c r="D1330" s="92"/>
      <c r="E1330" s="14"/>
      <c r="F1330" s="14"/>
      <c r="G1330" s="14"/>
      <c r="H1330" s="14"/>
      <c r="I1330" s="67"/>
      <c r="J1330" s="14"/>
      <c r="K1330" s="14"/>
      <c r="L1330" s="14"/>
      <c r="M1330" s="14"/>
    </row>
    <row r="1331" spans="1:13" x14ac:dyDescent="0.25">
      <c r="A1331" s="14"/>
      <c r="B1331" s="14"/>
      <c r="C1331" s="14"/>
      <c r="D1331" s="92"/>
      <c r="E1331" s="14"/>
      <c r="F1331" s="14"/>
      <c r="G1331" s="14"/>
      <c r="H1331" s="14"/>
      <c r="I1331" s="67"/>
      <c r="J1331" s="14"/>
      <c r="K1331" s="14"/>
      <c r="L1331" s="14"/>
      <c r="M1331" s="14"/>
    </row>
    <row r="1332" spans="1:13" x14ac:dyDescent="0.25">
      <c r="A1332" s="14"/>
      <c r="B1332" s="14"/>
      <c r="C1332" s="14"/>
      <c r="D1332" s="92"/>
      <c r="E1332" s="14"/>
      <c r="F1332" s="14"/>
      <c r="G1332" s="14"/>
      <c r="H1332" s="14"/>
      <c r="I1332" s="67"/>
      <c r="J1332" s="14"/>
      <c r="K1332" s="14"/>
      <c r="L1332" s="14"/>
      <c r="M1332" s="14"/>
    </row>
    <row r="1333" spans="1:13" x14ac:dyDescent="0.25">
      <c r="A1333" s="14"/>
      <c r="B1333" s="14"/>
      <c r="C1333" s="14"/>
      <c r="D1333" s="92"/>
      <c r="E1333" s="14"/>
      <c r="F1333" s="14"/>
      <c r="G1333" s="14"/>
      <c r="H1333" s="14"/>
      <c r="I1333" s="67"/>
      <c r="J1333" s="14"/>
      <c r="K1333" s="14"/>
      <c r="L1333" s="14"/>
      <c r="M1333" s="14"/>
    </row>
    <row r="1334" spans="1:13" x14ac:dyDescent="0.25">
      <c r="A1334" s="14"/>
      <c r="B1334" s="14"/>
      <c r="C1334" s="14"/>
      <c r="D1334" s="92"/>
      <c r="E1334" s="14"/>
      <c r="F1334" s="14"/>
      <c r="G1334" s="14"/>
      <c r="H1334" s="14"/>
      <c r="I1334" s="67"/>
      <c r="J1334" s="14"/>
      <c r="K1334" s="14"/>
      <c r="L1334" s="14"/>
      <c r="M1334" s="14"/>
    </row>
    <row r="1335" spans="1:13" x14ac:dyDescent="0.25">
      <c r="A1335" s="14"/>
      <c r="B1335" s="14"/>
      <c r="C1335" s="14"/>
      <c r="D1335" s="92"/>
      <c r="E1335" s="14"/>
      <c r="F1335" s="14"/>
      <c r="G1335" s="14"/>
      <c r="H1335" s="14"/>
      <c r="I1335" s="67"/>
      <c r="J1335" s="14"/>
      <c r="K1335" s="14"/>
      <c r="L1335" s="14"/>
      <c r="M1335" s="14"/>
    </row>
    <row r="1336" spans="1:13" x14ac:dyDescent="0.25">
      <c r="A1336" s="14"/>
      <c r="B1336" s="14"/>
      <c r="C1336" s="14"/>
      <c r="D1336" s="92"/>
      <c r="E1336" s="14"/>
      <c r="F1336" s="14"/>
      <c r="G1336" s="14"/>
      <c r="H1336" s="14"/>
      <c r="I1336" s="67"/>
      <c r="J1336" s="14"/>
      <c r="K1336" s="14"/>
      <c r="L1336" s="14"/>
      <c r="M1336" s="14"/>
    </row>
    <row r="1337" spans="1:13" x14ac:dyDescent="0.25">
      <c r="A1337" s="14"/>
      <c r="B1337" s="14"/>
      <c r="C1337" s="14"/>
      <c r="D1337" s="92"/>
      <c r="E1337" s="14"/>
      <c r="F1337" s="14"/>
      <c r="G1337" s="14"/>
      <c r="H1337" s="14"/>
      <c r="I1337" s="67"/>
      <c r="J1337" s="14"/>
      <c r="K1337" s="14"/>
      <c r="L1337" s="14"/>
      <c r="M1337" s="14"/>
    </row>
    <row r="1338" spans="1:13" x14ac:dyDescent="0.25">
      <c r="A1338" s="14"/>
      <c r="B1338" s="14"/>
      <c r="C1338" s="14"/>
      <c r="D1338" s="92"/>
      <c r="E1338" s="14"/>
      <c r="F1338" s="14"/>
      <c r="G1338" s="14"/>
      <c r="H1338" s="14"/>
      <c r="I1338" s="67"/>
      <c r="J1338" s="14"/>
      <c r="K1338" s="14"/>
      <c r="L1338" s="14"/>
      <c r="M1338" s="14"/>
    </row>
    <row r="1339" spans="1:13" x14ac:dyDescent="0.25">
      <c r="A1339" s="14"/>
      <c r="B1339" s="14"/>
      <c r="C1339" s="14"/>
      <c r="D1339" s="92"/>
      <c r="E1339" s="14"/>
      <c r="F1339" s="14"/>
      <c r="G1339" s="14"/>
      <c r="H1339" s="14"/>
      <c r="I1339" s="67"/>
      <c r="J1339" s="14"/>
      <c r="K1339" s="14"/>
      <c r="L1339" s="14"/>
      <c r="M1339" s="14"/>
    </row>
    <row r="1340" spans="1:13" x14ac:dyDescent="0.25">
      <c r="A1340" s="14"/>
      <c r="B1340" s="14"/>
      <c r="C1340" s="14"/>
      <c r="D1340" s="92"/>
      <c r="E1340" s="14"/>
      <c r="F1340" s="14"/>
      <c r="G1340" s="14"/>
      <c r="H1340" s="14"/>
      <c r="I1340" s="67"/>
      <c r="J1340" s="14"/>
      <c r="K1340" s="14"/>
      <c r="L1340" s="14"/>
      <c r="M1340" s="14"/>
    </row>
    <row r="1341" spans="1:13" x14ac:dyDescent="0.25">
      <c r="A1341" s="14"/>
      <c r="B1341" s="14"/>
      <c r="C1341" s="14"/>
      <c r="D1341" s="92"/>
      <c r="E1341" s="14"/>
      <c r="F1341" s="14"/>
      <c r="G1341" s="14"/>
      <c r="H1341" s="14"/>
      <c r="I1341" s="67"/>
      <c r="J1341" s="14"/>
      <c r="K1341" s="14"/>
      <c r="L1341" s="14"/>
      <c r="M1341" s="14"/>
    </row>
    <row r="1342" spans="1:13" x14ac:dyDescent="0.25">
      <c r="A1342" s="14"/>
      <c r="B1342" s="14"/>
      <c r="C1342" s="14"/>
      <c r="D1342" s="92"/>
      <c r="E1342" s="14"/>
      <c r="F1342" s="14"/>
      <c r="G1342" s="14"/>
      <c r="H1342" s="14"/>
      <c r="I1342" s="67"/>
      <c r="J1342" s="14"/>
      <c r="K1342" s="14"/>
      <c r="L1342" s="14"/>
      <c r="M1342" s="14"/>
    </row>
    <row r="1343" spans="1:13" x14ac:dyDescent="0.25">
      <c r="A1343" s="14"/>
      <c r="B1343" s="14"/>
      <c r="C1343" s="14"/>
      <c r="D1343" s="92"/>
      <c r="E1343" s="14"/>
      <c r="F1343" s="14"/>
      <c r="G1343" s="14"/>
      <c r="H1343" s="14"/>
      <c r="I1343" s="67"/>
      <c r="J1343" s="14"/>
      <c r="K1343" s="14"/>
      <c r="L1343" s="14"/>
      <c r="M1343" s="14"/>
    </row>
    <row r="1344" spans="1:13" x14ac:dyDescent="0.25">
      <c r="A1344" s="14"/>
      <c r="B1344" s="14"/>
      <c r="C1344" s="14"/>
      <c r="D1344" s="92"/>
      <c r="E1344" s="14"/>
      <c r="F1344" s="14"/>
      <c r="G1344" s="14"/>
      <c r="H1344" s="14"/>
      <c r="I1344" s="67"/>
      <c r="J1344" s="14"/>
      <c r="K1344" s="14"/>
      <c r="L1344" s="14"/>
      <c r="M1344" s="14"/>
    </row>
    <row r="1345" spans="1:13" x14ac:dyDescent="0.25">
      <c r="A1345" s="14"/>
      <c r="B1345" s="14"/>
      <c r="C1345" s="14"/>
      <c r="D1345" s="92"/>
      <c r="E1345" s="14"/>
      <c r="F1345" s="14"/>
      <c r="G1345" s="14"/>
      <c r="H1345" s="14"/>
      <c r="I1345" s="67"/>
      <c r="J1345" s="14"/>
      <c r="K1345" s="14"/>
      <c r="L1345" s="14"/>
      <c r="M1345" s="14"/>
    </row>
    <row r="1346" spans="1:13" x14ac:dyDescent="0.25">
      <c r="A1346" s="14"/>
      <c r="B1346" s="14"/>
      <c r="C1346" s="14"/>
      <c r="D1346" s="92"/>
      <c r="E1346" s="14"/>
      <c r="F1346" s="14"/>
      <c r="G1346" s="14"/>
      <c r="H1346" s="14"/>
      <c r="I1346" s="67"/>
      <c r="J1346" s="14"/>
      <c r="K1346" s="14"/>
      <c r="L1346" s="14"/>
      <c r="M1346" s="14"/>
    </row>
    <row r="1347" spans="1:13" x14ac:dyDescent="0.25">
      <c r="A1347" s="14"/>
      <c r="B1347" s="14"/>
      <c r="C1347" s="14"/>
      <c r="D1347" s="92"/>
      <c r="E1347" s="14"/>
      <c r="F1347" s="14"/>
      <c r="G1347" s="14"/>
      <c r="H1347" s="14"/>
      <c r="I1347" s="67"/>
      <c r="J1347" s="14"/>
      <c r="K1347" s="14"/>
      <c r="L1347" s="14"/>
      <c r="M1347" s="14"/>
    </row>
    <row r="1348" spans="1:13" x14ac:dyDescent="0.25">
      <c r="A1348" s="14"/>
      <c r="B1348" s="14"/>
      <c r="C1348" s="14"/>
      <c r="D1348" s="92"/>
      <c r="E1348" s="14"/>
      <c r="F1348" s="14"/>
      <c r="G1348" s="14"/>
      <c r="H1348" s="14"/>
      <c r="I1348" s="67"/>
      <c r="J1348" s="14"/>
      <c r="K1348" s="14"/>
      <c r="L1348" s="14"/>
      <c r="M1348" s="14"/>
    </row>
    <row r="1349" spans="1:13" x14ac:dyDescent="0.25">
      <c r="A1349" s="14"/>
      <c r="B1349" s="14"/>
      <c r="C1349" s="14"/>
      <c r="D1349" s="92"/>
      <c r="E1349" s="14"/>
      <c r="F1349" s="14"/>
      <c r="G1349" s="14"/>
      <c r="H1349" s="14"/>
      <c r="I1349" s="67"/>
      <c r="J1349" s="14"/>
      <c r="K1349" s="14"/>
      <c r="L1349" s="14"/>
      <c r="M1349" s="14"/>
    </row>
    <row r="1350" spans="1:13" x14ac:dyDescent="0.25">
      <c r="A1350" s="14"/>
      <c r="B1350" s="14"/>
      <c r="C1350" s="14"/>
      <c r="D1350" s="92"/>
      <c r="E1350" s="14"/>
      <c r="F1350" s="14"/>
      <c r="G1350" s="14"/>
      <c r="H1350" s="14"/>
      <c r="I1350" s="67"/>
      <c r="J1350" s="14"/>
      <c r="K1350" s="14"/>
      <c r="L1350" s="14"/>
      <c r="M1350" s="14"/>
    </row>
    <row r="1351" spans="1:13" x14ac:dyDescent="0.25">
      <c r="A1351" s="14"/>
      <c r="B1351" s="14"/>
      <c r="C1351" s="14"/>
      <c r="D1351" s="92"/>
      <c r="E1351" s="14"/>
      <c r="F1351" s="14"/>
      <c r="G1351" s="14"/>
      <c r="H1351" s="14"/>
      <c r="I1351" s="67"/>
      <c r="J1351" s="14"/>
      <c r="K1351" s="14"/>
      <c r="L1351" s="14"/>
      <c r="M1351" s="14"/>
    </row>
    <row r="1352" spans="1:13" x14ac:dyDescent="0.25">
      <c r="A1352" s="14"/>
      <c r="B1352" s="14"/>
      <c r="C1352" s="14"/>
      <c r="D1352" s="92"/>
      <c r="E1352" s="14"/>
      <c r="F1352" s="14"/>
      <c r="G1352" s="14"/>
      <c r="H1352" s="14"/>
      <c r="I1352" s="67"/>
      <c r="J1352" s="14"/>
      <c r="K1352" s="14"/>
      <c r="L1352" s="14"/>
      <c r="M1352" s="14"/>
    </row>
    <row r="1353" spans="1:13" x14ac:dyDescent="0.25">
      <c r="A1353" s="14"/>
      <c r="B1353" s="14"/>
      <c r="C1353" s="14"/>
      <c r="D1353" s="92"/>
      <c r="E1353" s="14"/>
      <c r="F1353" s="14"/>
      <c r="G1353" s="14"/>
      <c r="H1353" s="14"/>
      <c r="I1353" s="67"/>
      <c r="J1353" s="14"/>
      <c r="K1353" s="14"/>
      <c r="L1353" s="14"/>
      <c r="M1353" s="14"/>
    </row>
    <row r="1354" spans="1:13" x14ac:dyDescent="0.25">
      <c r="A1354" s="14"/>
      <c r="B1354" s="14"/>
      <c r="C1354" s="14"/>
      <c r="D1354" s="92"/>
      <c r="E1354" s="14"/>
      <c r="F1354" s="14"/>
      <c r="G1354" s="14"/>
      <c r="H1354" s="14"/>
      <c r="I1354" s="67"/>
      <c r="J1354" s="14"/>
      <c r="K1354" s="14"/>
      <c r="L1354" s="14"/>
      <c r="M1354" s="14"/>
    </row>
    <row r="1355" spans="1:13" x14ac:dyDescent="0.25">
      <c r="A1355" s="14"/>
      <c r="B1355" s="14"/>
      <c r="C1355" s="14"/>
      <c r="D1355" s="92"/>
      <c r="E1355" s="14"/>
      <c r="F1355" s="14"/>
      <c r="G1355" s="14"/>
      <c r="H1355" s="14"/>
      <c r="I1355" s="67"/>
      <c r="J1355" s="14"/>
      <c r="K1355" s="14"/>
      <c r="L1355" s="14"/>
      <c r="M1355" s="14"/>
    </row>
    <row r="1356" spans="1:13" x14ac:dyDescent="0.25">
      <c r="A1356" s="14"/>
      <c r="B1356" s="14"/>
      <c r="C1356" s="14"/>
      <c r="D1356" s="92"/>
      <c r="E1356" s="14"/>
      <c r="F1356" s="14"/>
      <c r="G1356" s="14"/>
      <c r="H1356" s="14"/>
      <c r="I1356" s="67"/>
      <c r="J1356" s="14"/>
      <c r="K1356" s="14"/>
      <c r="L1356" s="14"/>
      <c r="M1356" s="14"/>
    </row>
    <row r="1357" spans="1:13" x14ac:dyDescent="0.25">
      <c r="A1357" s="14"/>
      <c r="B1357" s="14"/>
      <c r="C1357" s="14"/>
      <c r="D1357" s="92"/>
      <c r="E1357" s="14"/>
      <c r="F1357" s="14"/>
      <c r="G1357" s="14"/>
      <c r="H1357" s="14"/>
      <c r="I1357" s="67"/>
      <c r="J1357" s="14"/>
      <c r="K1357" s="14"/>
      <c r="L1357" s="14"/>
      <c r="M1357" s="14"/>
    </row>
    <row r="1358" spans="1:13" x14ac:dyDescent="0.25">
      <c r="A1358" s="14"/>
      <c r="B1358" s="14"/>
      <c r="C1358" s="14"/>
      <c r="D1358" s="92"/>
      <c r="E1358" s="14"/>
      <c r="F1358" s="14"/>
      <c r="G1358" s="14"/>
      <c r="H1358" s="14"/>
      <c r="I1358" s="67"/>
      <c r="J1358" s="14"/>
      <c r="K1358" s="14"/>
      <c r="L1358" s="14"/>
      <c r="M1358" s="14"/>
    </row>
    <row r="1359" spans="1:13" x14ac:dyDescent="0.25">
      <c r="A1359" s="14"/>
      <c r="B1359" s="14"/>
      <c r="C1359" s="14"/>
      <c r="D1359" s="92"/>
      <c r="E1359" s="14"/>
      <c r="F1359" s="14"/>
      <c r="G1359" s="14"/>
      <c r="H1359" s="14"/>
      <c r="I1359" s="67"/>
      <c r="J1359" s="14"/>
      <c r="K1359" s="14"/>
      <c r="L1359" s="14"/>
      <c r="M1359" s="14"/>
    </row>
    <row r="1360" spans="1:13" x14ac:dyDescent="0.25">
      <c r="A1360" s="14"/>
      <c r="B1360" s="14"/>
      <c r="C1360" s="14"/>
      <c r="D1360" s="92"/>
      <c r="E1360" s="14"/>
      <c r="F1360" s="14"/>
      <c r="G1360" s="14"/>
      <c r="H1360" s="14"/>
      <c r="I1360" s="67"/>
      <c r="J1360" s="14"/>
      <c r="K1360" s="14"/>
      <c r="L1360" s="14"/>
      <c r="M1360" s="14"/>
    </row>
    <row r="1361" spans="1:13" x14ac:dyDescent="0.25">
      <c r="A1361" s="14"/>
      <c r="B1361" s="14"/>
      <c r="C1361" s="14"/>
      <c r="D1361" s="92"/>
      <c r="E1361" s="14"/>
      <c r="F1361" s="14"/>
      <c r="G1361" s="14"/>
      <c r="H1361" s="14"/>
      <c r="I1361" s="67"/>
      <c r="J1361" s="14"/>
      <c r="K1361" s="14"/>
      <c r="L1361" s="14"/>
      <c r="M1361" s="14"/>
    </row>
    <row r="1362" spans="1:13" x14ac:dyDescent="0.25">
      <c r="A1362" s="14"/>
      <c r="B1362" s="14"/>
      <c r="C1362" s="14"/>
      <c r="D1362" s="92"/>
      <c r="E1362" s="14"/>
      <c r="F1362" s="14"/>
      <c r="G1362" s="14"/>
      <c r="H1362" s="14"/>
      <c r="I1362" s="67"/>
      <c r="J1362" s="14"/>
      <c r="K1362" s="14"/>
      <c r="L1362" s="14"/>
      <c r="M1362" s="14"/>
    </row>
    <row r="1363" spans="1:13" x14ac:dyDescent="0.25">
      <c r="A1363" s="14"/>
      <c r="B1363" s="14"/>
      <c r="C1363" s="14"/>
      <c r="D1363" s="92"/>
      <c r="E1363" s="14"/>
      <c r="F1363" s="14"/>
      <c r="G1363" s="14"/>
      <c r="H1363" s="14"/>
      <c r="I1363" s="67"/>
      <c r="J1363" s="14"/>
      <c r="K1363" s="14"/>
      <c r="L1363" s="14"/>
      <c r="M1363" s="14"/>
    </row>
    <row r="1364" spans="1:13" x14ac:dyDescent="0.25">
      <c r="A1364" s="14"/>
      <c r="B1364" s="14"/>
      <c r="C1364" s="14"/>
      <c r="D1364" s="92"/>
      <c r="E1364" s="14"/>
      <c r="F1364" s="14"/>
      <c r="G1364" s="14"/>
      <c r="H1364" s="14"/>
      <c r="I1364" s="67"/>
      <c r="J1364" s="14"/>
      <c r="K1364" s="14"/>
      <c r="L1364" s="14"/>
      <c r="M1364" s="14"/>
    </row>
    <row r="1365" spans="1:13" x14ac:dyDescent="0.25">
      <c r="A1365" s="14"/>
      <c r="B1365" s="14"/>
      <c r="C1365" s="14"/>
      <c r="D1365" s="92"/>
      <c r="E1365" s="14"/>
      <c r="F1365" s="14"/>
      <c r="G1365" s="14"/>
      <c r="H1365" s="14"/>
      <c r="I1365" s="67"/>
      <c r="J1365" s="14"/>
      <c r="K1365" s="14"/>
      <c r="L1365" s="14"/>
      <c r="M1365" s="14"/>
    </row>
    <row r="1366" spans="1:13" x14ac:dyDescent="0.25">
      <c r="A1366" s="14"/>
      <c r="B1366" s="14"/>
      <c r="C1366" s="14"/>
      <c r="D1366" s="92"/>
      <c r="E1366" s="14"/>
      <c r="F1366" s="14"/>
      <c r="G1366" s="14"/>
      <c r="H1366" s="14"/>
      <c r="I1366" s="67"/>
      <c r="J1366" s="14"/>
      <c r="K1366" s="14"/>
      <c r="L1366" s="14"/>
      <c r="M1366" s="14"/>
    </row>
    <row r="1367" spans="1:13" x14ac:dyDescent="0.25">
      <c r="A1367" s="14"/>
      <c r="B1367" s="14"/>
      <c r="C1367" s="14"/>
      <c r="D1367" s="92"/>
      <c r="E1367" s="14"/>
      <c r="F1367" s="14"/>
      <c r="G1367" s="14"/>
      <c r="H1367" s="14"/>
      <c r="I1367" s="67"/>
      <c r="J1367" s="14"/>
      <c r="K1367" s="14"/>
      <c r="L1367" s="14"/>
      <c r="M1367" s="14"/>
    </row>
    <row r="1368" spans="1:13" x14ac:dyDescent="0.25">
      <c r="A1368" s="14"/>
      <c r="B1368" s="14"/>
      <c r="C1368" s="14"/>
      <c r="D1368" s="92"/>
      <c r="E1368" s="14"/>
      <c r="F1368" s="14"/>
      <c r="G1368" s="14"/>
      <c r="H1368" s="14"/>
      <c r="I1368" s="67"/>
      <c r="J1368" s="14"/>
      <c r="K1368" s="14"/>
      <c r="L1368" s="14"/>
      <c r="M1368" s="14"/>
    </row>
    <row r="1369" spans="1:13" x14ac:dyDescent="0.25">
      <c r="A1369" s="14"/>
      <c r="B1369" s="14"/>
      <c r="C1369" s="14"/>
      <c r="D1369" s="92"/>
      <c r="E1369" s="14"/>
      <c r="F1369" s="14"/>
      <c r="G1369" s="14"/>
      <c r="H1369" s="14"/>
      <c r="I1369" s="67"/>
      <c r="J1369" s="14"/>
      <c r="K1369" s="14"/>
      <c r="L1369" s="14"/>
      <c r="M1369" s="14"/>
    </row>
    <row r="1370" spans="1:13" x14ac:dyDescent="0.25">
      <c r="A1370" s="14"/>
      <c r="B1370" s="14"/>
      <c r="C1370" s="14"/>
      <c r="D1370" s="92"/>
      <c r="E1370" s="14"/>
      <c r="F1370" s="14"/>
      <c r="G1370" s="14"/>
      <c r="H1370" s="14"/>
      <c r="I1370" s="67"/>
      <c r="J1370" s="14"/>
      <c r="K1370" s="14"/>
      <c r="L1370" s="14"/>
      <c r="M1370" s="14"/>
    </row>
    <row r="1371" spans="1:13" x14ac:dyDescent="0.25">
      <c r="A1371" s="14"/>
      <c r="B1371" s="14"/>
      <c r="C1371" s="14"/>
      <c r="D1371" s="92"/>
      <c r="E1371" s="14"/>
      <c r="F1371" s="14"/>
      <c r="G1371" s="14"/>
      <c r="H1371" s="14"/>
      <c r="I1371" s="67"/>
      <c r="J1371" s="14"/>
      <c r="K1371" s="14"/>
      <c r="L1371" s="14"/>
      <c r="M1371" s="14"/>
    </row>
    <row r="1372" spans="1:13" x14ac:dyDescent="0.25">
      <c r="A1372" s="14"/>
      <c r="B1372" s="14"/>
      <c r="C1372" s="14"/>
      <c r="D1372" s="92"/>
      <c r="E1372" s="14"/>
      <c r="F1372" s="14"/>
      <c r="G1372" s="14"/>
      <c r="H1372" s="14"/>
      <c r="I1372" s="67"/>
      <c r="J1372" s="14"/>
      <c r="K1372" s="14"/>
      <c r="L1372" s="14"/>
      <c r="M1372" s="14"/>
    </row>
    <row r="1373" spans="1:13" x14ac:dyDescent="0.25">
      <c r="A1373" s="14"/>
      <c r="B1373" s="14"/>
      <c r="C1373" s="14"/>
      <c r="D1373" s="92"/>
      <c r="E1373" s="14"/>
      <c r="F1373" s="14"/>
      <c r="G1373" s="14"/>
      <c r="H1373" s="14"/>
      <c r="I1373" s="67"/>
      <c r="J1373" s="14"/>
      <c r="K1373" s="14"/>
      <c r="L1373" s="14"/>
      <c r="M1373" s="14"/>
    </row>
    <row r="1374" spans="1:13" x14ac:dyDescent="0.25">
      <c r="A1374" s="14"/>
      <c r="B1374" s="14"/>
      <c r="C1374" s="14"/>
      <c r="D1374" s="92"/>
      <c r="E1374" s="14"/>
      <c r="F1374" s="14"/>
      <c r="G1374" s="14"/>
      <c r="H1374" s="14"/>
      <c r="I1374" s="67"/>
      <c r="J1374" s="14"/>
      <c r="K1374" s="14"/>
      <c r="L1374" s="14"/>
      <c r="M1374" s="14"/>
    </row>
    <row r="1375" spans="1:13" x14ac:dyDescent="0.25">
      <c r="A1375" s="14"/>
      <c r="B1375" s="14"/>
      <c r="C1375" s="14"/>
      <c r="D1375" s="92"/>
      <c r="E1375" s="14"/>
      <c r="F1375" s="14"/>
      <c r="G1375" s="14"/>
      <c r="H1375" s="14"/>
      <c r="I1375" s="67"/>
      <c r="J1375" s="14"/>
      <c r="K1375" s="14"/>
      <c r="L1375" s="14"/>
      <c r="M1375" s="14"/>
    </row>
    <row r="1376" spans="1:13" x14ac:dyDescent="0.25">
      <c r="A1376" s="14"/>
      <c r="B1376" s="14"/>
      <c r="C1376" s="14"/>
      <c r="D1376" s="92"/>
      <c r="E1376" s="14"/>
      <c r="F1376" s="14"/>
      <c r="G1376" s="14"/>
      <c r="H1376" s="14"/>
      <c r="I1376" s="67"/>
      <c r="J1376" s="14"/>
      <c r="K1376" s="14"/>
      <c r="L1376" s="14"/>
      <c r="M1376" s="14"/>
    </row>
    <row r="1377" spans="1:13" x14ac:dyDescent="0.25">
      <c r="A1377" s="14"/>
      <c r="B1377" s="14"/>
      <c r="C1377" s="14"/>
      <c r="D1377" s="92"/>
      <c r="E1377" s="14"/>
      <c r="F1377" s="14"/>
      <c r="G1377" s="14"/>
      <c r="H1377" s="14"/>
      <c r="I1377" s="67"/>
      <c r="J1377" s="14"/>
      <c r="K1377" s="14"/>
      <c r="L1377" s="14"/>
      <c r="M1377" s="14"/>
    </row>
    <row r="1378" spans="1:13" x14ac:dyDescent="0.25">
      <c r="A1378" s="14"/>
      <c r="B1378" s="14"/>
      <c r="C1378" s="14"/>
      <c r="D1378" s="92"/>
      <c r="E1378" s="14"/>
      <c r="F1378" s="14"/>
      <c r="G1378" s="14"/>
      <c r="H1378" s="14"/>
      <c r="I1378" s="67"/>
      <c r="J1378" s="14"/>
      <c r="K1378" s="14"/>
      <c r="L1378" s="14"/>
      <c r="M1378" s="14"/>
    </row>
    <row r="1379" spans="1:13" x14ac:dyDescent="0.25">
      <c r="A1379" s="14"/>
      <c r="B1379" s="14"/>
      <c r="C1379" s="14"/>
      <c r="D1379" s="92"/>
      <c r="E1379" s="14"/>
      <c r="F1379" s="14"/>
      <c r="G1379" s="14"/>
      <c r="H1379" s="14"/>
      <c r="I1379" s="67"/>
      <c r="J1379" s="14"/>
      <c r="K1379" s="14"/>
      <c r="L1379" s="14"/>
      <c r="M1379" s="14"/>
    </row>
    <row r="1380" spans="1:13" x14ac:dyDescent="0.25">
      <c r="A1380" s="14"/>
      <c r="B1380" s="14"/>
      <c r="C1380" s="14"/>
      <c r="D1380" s="92"/>
      <c r="E1380" s="14"/>
      <c r="F1380" s="14"/>
      <c r="G1380" s="14"/>
      <c r="H1380" s="14"/>
      <c r="I1380" s="67"/>
      <c r="J1380" s="14"/>
      <c r="K1380" s="14"/>
      <c r="L1380" s="14"/>
      <c r="M1380" s="14"/>
    </row>
    <row r="1381" spans="1:13" x14ac:dyDescent="0.25">
      <c r="A1381" s="14"/>
      <c r="B1381" s="14"/>
      <c r="C1381" s="14"/>
      <c r="D1381" s="92"/>
      <c r="E1381" s="14"/>
      <c r="F1381" s="14"/>
      <c r="G1381" s="14"/>
      <c r="H1381" s="14"/>
      <c r="I1381" s="67"/>
      <c r="J1381" s="14"/>
      <c r="K1381" s="14"/>
      <c r="L1381" s="14"/>
      <c r="M1381" s="14"/>
    </row>
    <row r="1382" spans="1:13" x14ac:dyDescent="0.25">
      <c r="A1382" s="14"/>
      <c r="B1382" s="14"/>
      <c r="C1382" s="14"/>
      <c r="D1382" s="92"/>
      <c r="E1382" s="14"/>
      <c r="F1382" s="14"/>
      <c r="G1382" s="14"/>
      <c r="H1382" s="14"/>
      <c r="I1382" s="67"/>
      <c r="J1382" s="14"/>
      <c r="K1382" s="14"/>
      <c r="L1382" s="14"/>
      <c r="M1382" s="14"/>
    </row>
    <row r="1383" spans="1:13" x14ac:dyDescent="0.25">
      <c r="A1383" s="14"/>
      <c r="B1383" s="14"/>
      <c r="C1383" s="14"/>
      <c r="D1383" s="92"/>
      <c r="E1383" s="14"/>
      <c r="F1383" s="14"/>
      <c r="G1383" s="14"/>
      <c r="H1383" s="14"/>
      <c r="I1383" s="67"/>
      <c r="J1383" s="14"/>
      <c r="K1383" s="14"/>
      <c r="L1383" s="14"/>
      <c r="M1383" s="14"/>
    </row>
    <row r="1384" spans="1:13" x14ac:dyDescent="0.25">
      <c r="A1384" s="14"/>
      <c r="B1384" s="14"/>
      <c r="C1384" s="14"/>
      <c r="D1384" s="92"/>
      <c r="E1384" s="14"/>
      <c r="F1384" s="14"/>
      <c r="G1384" s="14"/>
      <c r="H1384" s="14"/>
      <c r="I1384" s="67"/>
      <c r="J1384" s="14"/>
      <c r="K1384" s="14"/>
      <c r="L1384" s="14"/>
      <c r="M1384" s="14"/>
    </row>
    <row r="1385" spans="1:13" x14ac:dyDescent="0.25">
      <c r="A1385" s="14"/>
      <c r="B1385" s="14"/>
      <c r="C1385" s="14"/>
      <c r="D1385" s="92"/>
      <c r="E1385" s="14"/>
      <c r="F1385" s="14"/>
      <c r="G1385" s="14"/>
      <c r="H1385" s="14"/>
      <c r="I1385" s="67"/>
      <c r="J1385" s="14"/>
      <c r="K1385" s="14"/>
      <c r="L1385" s="14"/>
      <c r="M1385" s="14"/>
    </row>
    <row r="1386" spans="1:13" x14ac:dyDescent="0.25">
      <c r="A1386" s="14"/>
      <c r="B1386" s="14"/>
      <c r="C1386" s="14"/>
      <c r="D1386" s="92"/>
      <c r="E1386" s="14"/>
      <c r="F1386" s="14"/>
      <c r="G1386" s="14"/>
      <c r="H1386" s="14"/>
      <c r="I1386" s="67"/>
      <c r="J1386" s="14"/>
      <c r="K1386" s="14"/>
      <c r="L1386" s="14"/>
      <c r="M1386" s="14"/>
    </row>
    <row r="1387" spans="1:13" x14ac:dyDescent="0.25">
      <c r="A1387" s="14"/>
      <c r="B1387" s="14"/>
      <c r="C1387" s="14"/>
      <c r="D1387" s="92"/>
      <c r="E1387" s="14"/>
      <c r="F1387" s="14"/>
      <c r="G1387" s="14"/>
      <c r="H1387" s="14"/>
      <c r="I1387" s="67"/>
      <c r="J1387" s="14"/>
      <c r="K1387" s="14"/>
      <c r="L1387" s="14"/>
      <c r="M1387" s="14"/>
    </row>
    <row r="1388" spans="1:13" x14ac:dyDescent="0.25">
      <c r="A1388" s="14"/>
      <c r="B1388" s="14"/>
      <c r="C1388" s="14"/>
      <c r="D1388" s="92"/>
      <c r="E1388" s="14"/>
      <c r="F1388" s="14"/>
      <c r="G1388" s="14"/>
      <c r="H1388" s="14"/>
      <c r="I1388" s="67"/>
      <c r="J1388" s="14"/>
      <c r="K1388" s="14"/>
      <c r="L1388" s="14"/>
      <c r="M1388" s="14"/>
    </row>
    <row r="1389" spans="1:13" x14ac:dyDescent="0.25">
      <c r="A1389" s="14"/>
      <c r="B1389" s="14"/>
      <c r="C1389" s="14"/>
      <c r="D1389" s="92"/>
      <c r="E1389" s="14"/>
      <c r="F1389" s="14"/>
      <c r="G1389" s="14"/>
      <c r="H1389" s="14"/>
      <c r="I1389" s="67"/>
      <c r="J1389" s="14"/>
      <c r="K1389" s="14"/>
      <c r="L1389" s="14"/>
      <c r="M1389" s="14"/>
    </row>
    <row r="1390" spans="1:13" x14ac:dyDescent="0.25">
      <c r="A1390" s="14"/>
      <c r="B1390" s="14"/>
      <c r="C1390" s="14"/>
      <c r="D1390" s="92"/>
      <c r="E1390" s="14"/>
      <c r="F1390" s="14"/>
      <c r="G1390" s="14"/>
      <c r="H1390" s="14"/>
      <c r="I1390" s="67"/>
      <c r="J1390" s="14"/>
      <c r="K1390" s="14"/>
      <c r="L1390" s="14"/>
      <c r="M1390" s="14"/>
    </row>
    <row r="1391" spans="1:13" x14ac:dyDescent="0.25">
      <c r="A1391" s="14"/>
      <c r="B1391" s="14"/>
      <c r="C1391" s="14"/>
      <c r="D1391" s="92"/>
      <c r="E1391" s="14"/>
      <c r="F1391" s="14"/>
      <c r="G1391" s="14"/>
      <c r="H1391" s="14"/>
      <c r="I1391" s="67"/>
      <c r="J1391" s="14"/>
      <c r="K1391" s="14"/>
      <c r="L1391" s="14"/>
      <c r="M1391" s="14"/>
    </row>
    <row r="1392" spans="1:13" x14ac:dyDescent="0.25">
      <c r="A1392" s="14"/>
      <c r="B1392" s="14"/>
      <c r="C1392" s="14"/>
      <c r="D1392" s="92"/>
      <c r="E1392" s="14"/>
      <c r="F1392" s="14"/>
      <c r="G1392" s="14"/>
      <c r="H1392" s="14"/>
      <c r="I1392" s="67"/>
      <c r="J1392" s="14"/>
      <c r="K1392" s="14"/>
      <c r="L1392" s="14"/>
      <c r="M1392" s="14"/>
    </row>
    <row r="1393" spans="1:13" x14ac:dyDescent="0.25">
      <c r="A1393" s="14"/>
      <c r="B1393" s="14"/>
      <c r="C1393" s="14"/>
      <c r="D1393" s="92"/>
      <c r="E1393" s="14"/>
      <c r="F1393" s="14"/>
      <c r="G1393" s="14"/>
      <c r="H1393" s="14"/>
      <c r="I1393" s="67"/>
      <c r="J1393" s="14"/>
      <c r="K1393" s="14"/>
      <c r="L1393" s="14"/>
      <c r="M1393" s="14"/>
    </row>
    <row r="1394" spans="1:13" x14ac:dyDescent="0.25">
      <c r="A1394" s="14"/>
      <c r="B1394" s="14"/>
      <c r="C1394" s="14"/>
      <c r="D1394" s="92"/>
      <c r="E1394" s="14"/>
      <c r="F1394" s="14"/>
      <c r="G1394" s="14"/>
      <c r="H1394" s="14"/>
      <c r="I1394" s="67"/>
      <c r="J1394" s="14"/>
      <c r="K1394" s="14"/>
      <c r="L1394" s="14"/>
      <c r="M1394" s="14"/>
    </row>
    <row r="1395" spans="1:13" x14ac:dyDescent="0.25">
      <c r="A1395" s="14"/>
      <c r="B1395" s="14"/>
      <c r="C1395" s="14"/>
      <c r="D1395" s="92"/>
      <c r="E1395" s="14"/>
      <c r="F1395" s="14"/>
      <c r="G1395" s="14"/>
      <c r="H1395" s="14"/>
      <c r="I1395" s="67"/>
      <c r="J1395" s="14"/>
      <c r="K1395" s="14"/>
      <c r="L1395" s="14"/>
      <c r="M1395" s="14"/>
    </row>
    <row r="1396" spans="1:13" x14ac:dyDescent="0.25">
      <c r="A1396" s="14"/>
      <c r="B1396" s="14"/>
      <c r="C1396" s="14"/>
      <c r="D1396" s="92"/>
      <c r="E1396" s="14"/>
      <c r="F1396" s="14"/>
      <c r="G1396" s="14"/>
      <c r="H1396" s="14"/>
      <c r="I1396" s="67"/>
      <c r="J1396" s="14"/>
      <c r="K1396" s="14"/>
      <c r="L1396" s="14"/>
      <c r="M1396" s="14"/>
    </row>
    <row r="1397" spans="1:13" x14ac:dyDescent="0.25">
      <c r="A1397" s="14"/>
      <c r="B1397" s="14"/>
      <c r="C1397" s="14"/>
      <c r="D1397" s="92"/>
      <c r="E1397" s="14"/>
      <c r="F1397" s="14"/>
      <c r="G1397" s="14"/>
      <c r="H1397" s="14"/>
      <c r="I1397" s="67"/>
      <c r="J1397" s="14"/>
      <c r="K1397" s="14"/>
      <c r="L1397" s="14"/>
      <c r="M1397" s="14"/>
    </row>
    <row r="1398" spans="1:13" x14ac:dyDescent="0.25">
      <c r="A1398" s="14"/>
      <c r="B1398" s="14"/>
      <c r="C1398" s="14"/>
      <c r="D1398" s="92"/>
      <c r="E1398" s="14"/>
      <c r="F1398" s="14"/>
      <c r="G1398" s="14"/>
      <c r="H1398" s="14"/>
      <c r="I1398" s="67"/>
      <c r="J1398" s="14"/>
      <c r="K1398" s="14"/>
      <c r="L1398" s="14"/>
      <c r="M1398" s="14"/>
    </row>
    <row r="1399" spans="1:13" x14ac:dyDescent="0.25">
      <c r="A1399" s="14"/>
      <c r="B1399" s="14"/>
      <c r="C1399" s="14"/>
      <c r="D1399" s="92"/>
      <c r="E1399" s="14"/>
      <c r="F1399" s="14"/>
      <c r="G1399" s="14"/>
      <c r="H1399" s="14"/>
      <c r="I1399" s="67"/>
      <c r="J1399" s="14"/>
      <c r="K1399" s="14"/>
      <c r="L1399" s="14"/>
      <c r="M1399" s="14"/>
    </row>
    <row r="1400" spans="1:13" x14ac:dyDescent="0.25">
      <c r="A1400" s="14"/>
      <c r="B1400" s="14"/>
      <c r="C1400" s="14"/>
      <c r="D1400" s="92"/>
      <c r="E1400" s="14"/>
      <c r="F1400" s="14"/>
      <c r="G1400" s="14"/>
      <c r="H1400" s="14"/>
      <c r="I1400" s="67"/>
      <c r="J1400" s="14"/>
      <c r="K1400" s="14"/>
      <c r="L1400" s="14"/>
      <c r="M1400" s="14"/>
    </row>
    <row r="1401" spans="1:13" x14ac:dyDescent="0.25">
      <c r="A1401" s="14"/>
      <c r="B1401" s="14"/>
      <c r="C1401" s="14"/>
      <c r="D1401" s="92"/>
      <c r="E1401" s="14"/>
      <c r="F1401" s="14"/>
      <c r="G1401" s="14"/>
      <c r="H1401" s="14"/>
      <c r="I1401" s="67"/>
      <c r="J1401" s="14"/>
      <c r="K1401" s="14"/>
      <c r="L1401" s="14"/>
      <c r="M1401" s="14"/>
    </row>
    <row r="1402" spans="1:13" x14ac:dyDescent="0.25">
      <c r="A1402" s="14"/>
      <c r="B1402" s="14"/>
      <c r="C1402" s="14"/>
      <c r="D1402" s="92"/>
      <c r="E1402" s="14"/>
      <c r="F1402" s="14"/>
      <c r="G1402" s="14"/>
      <c r="H1402" s="14"/>
      <c r="I1402" s="67"/>
      <c r="J1402" s="14"/>
      <c r="K1402" s="14"/>
      <c r="L1402" s="14"/>
      <c r="M1402" s="14"/>
    </row>
    <row r="1403" spans="1:13" x14ac:dyDescent="0.25">
      <c r="A1403" s="14"/>
      <c r="B1403" s="14"/>
      <c r="C1403" s="14"/>
      <c r="D1403" s="92"/>
      <c r="E1403" s="14"/>
      <c r="F1403" s="14"/>
      <c r="G1403" s="14"/>
      <c r="H1403" s="14"/>
      <c r="I1403" s="67"/>
      <c r="J1403" s="14"/>
      <c r="K1403" s="14"/>
      <c r="L1403" s="14"/>
      <c r="M1403" s="14"/>
    </row>
    <row r="1404" spans="1:13" x14ac:dyDescent="0.25">
      <c r="A1404" s="14"/>
      <c r="B1404" s="14"/>
      <c r="C1404" s="14"/>
      <c r="D1404" s="92"/>
      <c r="E1404" s="14"/>
      <c r="F1404" s="14"/>
      <c r="G1404" s="14"/>
      <c r="H1404" s="14"/>
      <c r="I1404" s="67"/>
      <c r="J1404" s="14"/>
      <c r="K1404" s="14"/>
      <c r="L1404" s="14"/>
      <c r="M1404" s="14"/>
    </row>
    <row r="1405" spans="1:13" x14ac:dyDescent="0.25">
      <c r="A1405" s="14"/>
      <c r="B1405" s="14"/>
      <c r="C1405" s="14"/>
      <c r="D1405" s="92"/>
      <c r="E1405" s="14"/>
      <c r="F1405" s="14"/>
      <c r="G1405" s="14"/>
      <c r="H1405" s="14"/>
      <c r="I1405" s="67"/>
      <c r="J1405" s="14"/>
      <c r="K1405" s="14"/>
      <c r="L1405" s="14"/>
      <c r="M1405" s="14"/>
    </row>
    <row r="1406" spans="1:13" x14ac:dyDescent="0.25">
      <c r="A1406" s="14"/>
      <c r="B1406" s="14"/>
      <c r="C1406" s="14"/>
      <c r="D1406" s="92"/>
      <c r="E1406" s="14"/>
      <c r="F1406" s="14"/>
      <c r="G1406" s="14"/>
      <c r="H1406" s="14"/>
      <c r="I1406" s="67"/>
      <c r="J1406" s="14"/>
      <c r="K1406" s="14"/>
      <c r="L1406" s="14"/>
      <c r="M1406" s="14"/>
    </row>
    <row r="1407" spans="1:13" x14ac:dyDescent="0.25">
      <c r="A1407" s="14"/>
      <c r="B1407" s="14"/>
      <c r="C1407" s="14"/>
      <c r="D1407" s="92"/>
      <c r="E1407" s="14"/>
      <c r="F1407" s="14"/>
      <c r="G1407" s="14"/>
      <c r="H1407" s="14"/>
      <c r="I1407" s="67"/>
      <c r="J1407" s="14"/>
      <c r="K1407" s="14"/>
      <c r="L1407" s="14"/>
      <c r="M1407" s="14"/>
    </row>
    <row r="1408" spans="1:13" x14ac:dyDescent="0.25">
      <c r="A1408" s="14"/>
      <c r="B1408" s="14"/>
      <c r="C1408" s="14"/>
      <c r="D1408" s="92"/>
      <c r="E1408" s="14"/>
      <c r="F1408" s="14"/>
      <c r="G1408" s="14"/>
      <c r="H1408" s="14"/>
      <c r="I1408" s="67"/>
      <c r="J1408" s="14"/>
      <c r="K1408" s="14"/>
      <c r="L1408" s="14"/>
      <c r="M1408" s="14"/>
    </row>
    <row r="1409" spans="1:13" x14ac:dyDescent="0.25">
      <c r="A1409" s="14"/>
      <c r="B1409" s="14"/>
      <c r="C1409" s="14"/>
      <c r="D1409" s="92"/>
      <c r="E1409" s="14"/>
      <c r="F1409" s="14"/>
      <c r="G1409" s="14"/>
      <c r="H1409" s="14"/>
      <c r="I1409" s="67"/>
      <c r="J1409" s="14"/>
      <c r="K1409" s="14"/>
      <c r="L1409" s="14"/>
      <c r="M1409" s="14"/>
    </row>
    <row r="1410" spans="1:13" x14ac:dyDescent="0.25">
      <c r="A1410" s="14"/>
      <c r="B1410" s="14"/>
      <c r="C1410" s="14"/>
      <c r="D1410" s="92"/>
      <c r="E1410" s="14"/>
      <c r="F1410" s="14"/>
      <c r="G1410" s="14"/>
      <c r="H1410" s="14"/>
      <c r="I1410" s="67"/>
      <c r="J1410" s="14"/>
      <c r="K1410" s="14"/>
      <c r="L1410" s="14"/>
      <c r="M1410" s="14"/>
    </row>
    <row r="1411" spans="1:13" x14ac:dyDescent="0.25">
      <c r="A1411" s="14"/>
      <c r="B1411" s="14"/>
      <c r="C1411" s="14"/>
      <c r="D1411" s="92"/>
      <c r="E1411" s="14"/>
      <c r="F1411" s="14"/>
      <c r="G1411" s="14"/>
      <c r="H1411" s="14"/>
      <c r="I1411" s="67"/>
      <c r="J1411" s="14"/>
      <c r="K1411" s="14"/>
      <c r="L1411" s="14"/>
      <c r="M1411" s="14"/>
    </row>
    <row r="1412" spans="1:13" x14ac:dyDescent="0.25">
      <c r="A1412" s="14"/>
      <c r="B1412" s="14"/>
      <c r="C1412" s="14"/>
      <c r="D1412" s="92"/>
      <c r="E1412" s="14"/>
      <c r="F1412" s="14"/>
      <c r="G1412" s="14"/>
      <c r="H1412" s="14"/>
      <c r="I1412" s="67"/>
      <c r="J1412" s="14"/>
      <c r="K1412" s="14"/>
      <c r="L1412" s="14"/>
      <c r="M1412" s="14"/>
    </row>
    <row r="1413" spans="1:13" x14ac:dyDescent="0.25">
      <c r="A1413" s="14"/>
      <c r="B1413" s="14"/>
      <c r="C1413" s="14"/>
      <c r="D1413" s="92"/>
      <c r="E1413" s="14"/>
      <c r="F1413" s="14"/>
      <c r="G1413" s="14"/>
      <c r="H1413" s="14"/>
      <c r="I1413" s="67"/>
      <c r="J1413" s="14"/>
      <c r="K1413" s="14"/>
      <c r="L1413" s="14"/>
      <c r="M1413" s="14"/>
    </row>
    <row r="1414" spans="1:13" x14ac:dyDescent="0.25">
      <c r="A1414" s="14"/>
      <c r="B1414" s="14"/>
      <c r="C1414" s="14"/>
      <c r="D1414" s="92"/>
      <c r="E1414" s="14"/>
      <c r="F1414" s="14"/>
      <c r="G1414" s="14"/>
      <c r="H1414" s="14"/>
      <c r="I1414" s="67"/>
      <c r="J1414" s="14"/>
      <c r="K1414" s="14"/>
      <c r="L1414" s="14"/>
      <c r="M1414" s="14"/>
    </row>
    <row r="1415" spans="1:13" x14ac:dyDescent="0.25">
      <c r="A1415" s="14"/>
      <c r="B1415" s="14"/>
      <c r="C1415" s="14"/>
      <c r="D1415" s="92"/>
      <c r="E1415" s="14"/>
      <c r="F1415" s="14"/>
      <c r="G1415" s="14"/>
      <c r="H1415" s="14"/>
      <c r="I1415" s="67"/>
      <c r="J1415" s="14"/>
      <c r="K1415" s="14"/>
      <c r="L1415" s="14"/>
      <c r="M1415" s="14"/>
    </row>
    <row r="1416" spans="1:13" x14ac:dyDescent="0.25">
      <c r="A1416" s="14"/>
      <c r="B1416" s="14"/>
      <c r="C1416" s="14"/>
      <c r="D1416" s="92"/>
      <c r="E1416" s="14"/>
      <c r="F1416" s="14"/>
      <c r="G1416" s="14"/>
      <c r="H1416" s="14"/>
      <c r="I1416" s="67"/>
      <c r="J1416" s="14"/>
      <c r="K1416" s="14"/>
      <c r="L1416" s="14"/>
      <c r="M1416" s="14"/>
    </row>
    <row r="1417" spans="1:13" x14ac:dyDescent="0.25">
      <c r="A1417" s="14"/>
      <c r="B1417" s="14"/>
      <c r="C1417" s="14"/>
      <c r="D1417" s="92"/>
      <c r="E1417" s="14"/>
      <c r="F1417" s="14"/>
      <c r="G1417" s="14"/>
      <c r="H1417" s="14"/>
      <c r="I1417" s="67"/>
      <c r="J1417" s="14"/>
      <c r="K1417" s="14"/>
      <c r="L1417" s="14"/>
      <c r="M1417" s="14"/>
    </row>
    <row r="1418" spans="1:13" x14ac:dyDescent="0.25">
      <c r="A1418" s="14"/>
      <c r="B1418" s="14"/>
      <c r="C1418" s="14"/>
      <c r="D1418" s="92"/>
      <c r="E1418" s="14"/>
      <c r="F1418" s="14"/>
      <c r="G1418" s="14"/>
      <c r="H1418" s="14"/>
      <c r="I1418" s="67"/>
      <c r="J1418" s="14"/>
      <c r="K1418" s="14"/>
      <c r="L1418" s="14"/>
      <c r="M1418" s="14"/>
    </row>
    <row r="1419" spans="1:13" x14ac:dyDescent="0.25">
      <c r="A1419" s="14"/>
      <c r="B1419" s="14"/>
      <c r="C1419" s="14"/>
      <c r="D1419" s="92"/>
      <c r="E1419" s="14"/>
      <c r="F1419" s="14"/>
      <c r="G1419" s="14"/>
      <c r="H1419" s="14"/>
      <c r="I1419" s="67"/>
      <c r="J1419" s="14"/>
      <c r="K1419" s="14"/>
      <c r="L1419" s="14"/>
      <c r="M1419" s="14"/>
    </row>
    <row r="1420" spans="1:13" x14ac:dyDescent="0.25">
      <c r="A1420" s="14"/>
      <c r="B1420" s="14"/>
      <c r="C1420" s="14"/>
      <c r="D1420" s="92"/>
      <c r="E1420" s="14"/>
      <c r="F1420" s="14"/>
      <c r="G1420" s="14"/>
      <c r="H1420" s="14"/>
      <c r="I1420" s="67"/>
      <c r="J1420" s="14"/>
      <c r="K1420" s="14"/>
      <c r="L1420" s="14"/>
      <c r="M1420" s="14"/>
    </row>
    <row r="1421" spans="1:13" x14ac:dyDescent="0.25">
      <c r="A1421" s="14"/>
      <c r="B1421" s="14"/>
      <c r="C1421" s="14"/>
      <c r="D1421" s="92"/>
      <c r="E1421" s="14"/>
      <c r="F1421" s="14"/>
      <c r="G1421" s="14"/>
      <c r="H1421" s="14"/>
      <c r="I1421" s="67"/>
      <c r="J1421" s="14"/>
      <c r="K1421" s="14"/>
      <c r="L1421" s="14"/>
      <c r="M1421" s="14"/>
    </row>
    <row r="1422" spans="1:13" x14ac:dyDescent="0.25">
      <c r="A1422" s="14"/>
      <c r="B1422" s="14"/>
      <c r="C1422" s="14"/>
      <c r="D1422" s="92"/>
      <c r="E1422" s="14"/>
      <c r="F1422" s="14"/>
      <c r="G1422" s="14"/>
      <c r="H1422" s="14"/>
      <c r="I1422" s="67"/>
      <c r="J1422" s="14"/>
      <c r="K1422" s="14"/>
      <c r="L1422" s="14"/>
      <c r="M1422" s="14"/>
    </row>
    <row r="1423" spans="1:13" x14ac:dyDescent="0.25">
      <c r="A1423" s="14"/>
      <c r="B1423" s="14"/>
      <c r="C1423" s="14"/>
      <c r="D1423" s="92"/>
      <c r="E1423" s="14"/>
      <c r="F1423" s="14"/>
      <c r="G1423" s="14"/>
      <c r="H1423" s="14"/>
      <c r="I1423" s="67"/>
      <c r="J1423" s="14"/>
      <c r="K1423" s="14"/>
      <c r="L1423" s="14"/>
      <c r="M1423" s="14"/>
    </row>
    <row r="1424" spans="1:13" x14ac:dyDescent="0.25">
      <c r="A1424" s="14"/>
      <c r="B1424" s="14"/>
      <c r="C1424" s="14"/>
      <c r="D1424" s="92"/>
      <c r="E1424" s="14"/>
      <c r="F1424" s="14"/>
      <c r="G1424" s="14"/>
      <c r="H1424" s="14"/>
      <c r="I1424" s="67"/>
      <c r="J1424" s="14"/>
      <c r="K1424" s="14"/>
      <c r="L1424" s="14"/>
      <c r="M1424" s="14"/>
    </row>
    <row r="1425" spans="1:13" x14ac:dyDescent="0.25">
      <c r="A1425" s="14"/>
      <c r="B1425" s="14"/>
      <c r="C1425" s="14"/>
      <c r="D1425" s="92"/>
      <c r="E1425" s="14"/>
      <c r="F1425" s="14"/>
      <c r="G1425" s="14"/>
      <c r="H1425" s="14"/>
      <c r="I1425" s="67"/>
      <c r="J1425" s="14"/>
      <c r="K1425" s="14"/>
      <c r="L1425" s="14"/>
      <c r="M1425" s="14"/>
    </row>
    <row r="1426" spans="1:13" x14ac:dyDescent="0.25">
      <c r="A1426" s="14"/>
      <c r="B1426" s="14"/>
      <c r="C1426" s="14"/>
      <c r="D1426" s="92"/>
      <c r="E1426" s="14"/>
      <c r="F1426" s="14"/>
      <c r="G1426" s="14"/>
      <c r="H1426" s="14"/>
      <c r="I1426" s="67"/>
      <c r="J1426" s="14"/>
      <c r="K1426" s="14"/>
      <c r="L1426" s="14"/>
      <c r="M1426" s="14"/>
    </row>
    <row r="1427" spans="1:13" x14ac:dyDescent="0.25">
      <c r="A1427" s="14"/>
      <c r="B1427" s="14"/>
      <c r="C1427" s="14"/>
      <c r="D1427" s="92"/>
      <c r="E1427" s="14"/>
      <c r="F1427" s="14"/>
      <c r="G1427" s="14"/>
      <c r="H1427" s="14"/>
      <c r="I1427" s="67"/>
      <c r="J1427" s="14"/>
      <c r="K1427" s="14"/>
      <c r="L1427" s="14"/>
      <c r="M1427" s="14"/>
    </row>
    <row r="1428" spans="1:13" x14ac:dyDescent="0.25">
      <c r="A1428" s="14"/>
      <c r="B1428" s="14"/>
      <c r="C1428" s="14"/>
      <c r="D1428" s="92"/>
      <c r="E1428" s="14"/>
      <c r="F1428" s="14"/>
      <c r="G1428" s="14"/>
      <c r="H1428" s="14"/>
      <c r="I1428" s="67"/>
      <c r="J1428" s="14"/>
      <c r="K1428" s="14"/>
      <c r="L1428" s="14"/>
      <c r="M1428" s="14"/>
    </row>
    <row r="1429" spans="1:13" x14ac:dyDescent="0.25">
      <c r="A1429" s="14"/>
      <c r="B1429" s="14"/>
      <c r="C1429" s="14"/>
      <c r="D1429" s="92"/>
      <c r="E1429" s="14"/>
      <c r="F1429" s="14"/>
      <c r="G1429" s="14"/>
      <c r="H1429" s="14"/>
      <c r="I1429" s="67"/>
      <c r="J1429" s="14"/>
      <c r="K1429" s="14"/>
      <c r="L1429" s="14"/>
      <c r="M1429" s="14"/>
    </row>
    <row r="1430" spans="1:13" x14ac:dyDescent="0.25">
      <c r="A1430" s="14"/>
      <c r="B1430" s="14"/>
      <c r="C1430" s="14"/>
      <c r="D1430" s="92"/>
      <c r="E1430" s="14"/>
      <c r="F1430" s="14"/>
      <c r="G1430" s="14"/>
      <c r="H1430" s="14"/>
      <c r="I1430" s="67"/>
      <c r="J1430" s="14"/>
      <c r="K1430" s="14"/>
      <c r="L1430" s="14"/>
      <c r="M1430" s="14"/>
    </row>
    <row r="1431" spans="1:13" x14ac:dyDescent="0.25">
      <c r="A1431" s="14"/>
      <c r="B1431" s="14"/>
      <c r="C1431" s="14"/>
      <c r="D1431" s="92"/>
      <c r="E1431" s="14"/>
      <c r="F1431" s="14"/>
      <c r="G1431" s="14"/>
      <c r="H1431" s="14"/>
      <c r="I1431" s="67"/>
      <c r="J1431" s="14"/>
      <c r="K1431" s="14"/>
      <c r="L1431" s="14"/>
      <c r="M1431" s="14"/>
    </row>
    <row r="1432" spans="1:13" x14ac:dyDescent="0.25">
      <c r="A1432" s="14"/>
      <c r="B1432" s="14"/>
      <c r="C1432" s="14"/>
      <c r="D1432" s="92"/>
      <c r="E1432" s="14"/>
      <c r="F1432" s="14"/>
      <c r="G1432" s="14"/>
      <c r="H1432" s="14"/>
      <c r="I1432" s="67"/>
      <c r="J1432" s="14"/>
      <c r="K1432" s="14"/>
      <c r="L1432" s="14"/>
      <c r="M1432" s="14"/>
    </row>
    <row r="1433" spans="1:13" x14ac:dyDescent="0.25">
      <c r="A1433" s="14"/>
      <c r="B1433" s="14"/>
      <c r="C1433" s="14"/>
      <c r="D1433" s="92"/>
      <c r="E1433" s="14"/>
      <c r="F1433" s="14"/>
      <c r="G1433" s="14"/>
      <c r="H1433" s="14"/>
      <c r="I1433" s="67"/>
      <c r="J1433" s="14"/>
      <c r="K1433" s="14"/>
      <c r="L1433" s="14"/>
      <c r="M1433" s="14"/>
    </row>
    <row r="1434" spans="1:13" x14ac:dyDescent="0.25">
      <c r="A1434" s="14"/>
      <c r="B1434" s="14"/>
      <c r="C1434" s="14"/>
      <c r="D1434" s="92"/>
      <c r="E1434" s="14"/>
      <c r="F1434" s="14"/>
      <c r="G1434" s="14"/>
      <c r="H1434" s="14"/>
      <c r="I1434" s="67"/>
      <c r="J1434" s="14"/>
      <c r="K1434" s="14"/>
      <c r="L1434" s="14"/>
      <c r="M1434" s="14"/>
    </row>
    <row r="1435" spans="1:13" x14ac:dyDescent="0.25">
      <c r="A1435" s="14"/>
      <c r="B1435" s="14"/>
      <c r="C1435" s="14"/>
      <c r="D1435" s="92"/>
      <c r="E1435" s="14"/>
      <c r="F1435" s="14"/>
      <c r="G1435" s="14"/>
      <c r="H1435" s="14"/>
      <c r="I1435" s="67"/>
      <c r="J1435" s="14"/>
      <c r="K1435" s="14"/>
      <c r="L1435" s="14"/>
      <c r="M1435" s="14"/>
    </row>
    <row r="1436" spans="1:13" x14ac:dyDescent="0.25">
      <c r="A1436" s="14"/>
      <c r="B1436" s="14"/>
      <c r="C1436" s="14"/>
      <c r="D1436" s="92"/>
      <c r="E1436" s="14"/>
      <c r="F1436" s="14"/>
      <c r="G1436" s="14"/>
      <c r="H1436" s="14"/>
      <c r="I1436" s="67"/>
      <c r="J1436" s="14"/>
      <c r="K1436" s="14"/>
      <c r="L1436" s="14"/>
      <c r="M1436" s="14"/>
    </row>
    <row r="1437" spans="1:13" x14ac:dyDescent="0.25">
      <c r="A1437" s="14"/>
      <c r="B1437" s="14"/>
      <c r="C1437" s="14"/>
      <c r="D1437" s="92"/>
      <c r="E1437" s="14"/>
      <c r="F1437" s="14"/>
      <c r="G1437" s="14"/>
      <c r="H1437" s="14"/>
      <c r="I1437" s="67"/>
      <c r="J1437" s="14"/>
      <c r="K1437" s="14"/>
      <c r="L1437" s="14"/>
      <c r="M1437" s="14"/>
    </row>
    <row r="1438" spans="1:13" x14ac:dyDescent="0.25">
      <c r="A1438" s="14"/>
      <c r="B1438" s="14"/>
      <c r="C1438" s="14"/>
      <c r="D1438" s="92"/>
      <c r="E1438" s="14"/>
      <c r="F1438" s="14"/>
      <c r="G1438" s="14"/>
      <c r="H1438" s="14"/>
      <c r="I1438" s="67"/>
      <c r="J1438" s="14"/>
      <c r="K1438" s="14"/>
      <c r="L1438" s="14"/>
      <c r="M1438" s="14"/>
    </row>
    <row r="1439" spans="1:13" x14ac:dyDescent="0.25">
      <c r="A1439" s="14"/>
      <c r="B1439" s="14"/>
      <c r="C1439" s="14"/>
      <c r="D1439" s="92"/>
      <c r="E1439" s="14"/>
      <c r="F1439" s="14"/>
      <c r="G1439" s="14"/>
      <c r="H1439" s="14"/>
      <c r="I1439" s="67"/>
      <c r="J1439" s="14"/>
      <c r="K1439" s="14"/>
      <c r="L1439" s="14"/>
      <c r="M1439" s="14"/>
    </row>
    <row r="1440" spans="1:13" x14ac:dyDescent="0.25">
      <c r="A1440" s="14"/>
      <c r="B1440" s="14"/>
      <c r="C1440" s="14"/>
      <c r="D1440" s="92"/>
      <c r="E1440" s="14"/>
      <c r="F1440" s="14"/>
      <c r="G1440" s="14"/>
      <c r="H1440" s="14"/>
      <c r="I1440" s="67"/>
      <c r="J1440" s="14"/>
      <c r="K1440" s="14"/>
      <c r="L1440" s="14"/>
      <c r="M1440" s="14"/>
    </row>
    <row r="1441" spans="1:13" x14ac:dyDescent="0.25">
      <c r="A1441" s="14"/>
      <c r="B1441" s="14"/>
      <c r="C1441" s="14"/>
      <c r="D1441" s="92"/>
      <c r="E1441" s="14"/>
      <c r="F1441" s="14"/>
      <c r="G1441" s="14"/>
      <c r="H1441" s="14"/>
      <c r="I1441" s="67"/>
      <c r="J1441" s="14"/>
      <c r="K1441" s="14"/>
      <c r="L1441" s="14"/>
      <c r="M1441" s="14"/>
    </row>
    <row r="1442" spans="1:13" x14ac:dyDescent="0.25">
      <c r="A1442" s="14"/>
      <c r="B1442" s="14"/>
      <c r="C1442" s="14"/>
      <c r="D1442" s="92"/>
      <c r="E1442" s="14"/>
      <c r="F1442" s="14"/>
      <c r="G1442" s="14"/>
      <c r="H1442" s="14"/>
      <c r="I1442" s="67"/>
      <c r="J1442" s="14"/>
      <c r="K1442" s="14"/>
      <c r="L1442" s="14"/>
      <c r="M1442" s="14"/>
    </row>
    <row r="1443" spans="1:13" x14ac:dyDescent="0.25">
      <c r="A1443" s="14"/>
      <c r="B1443" s="14"/>
      <c r="C1443" s="14"/>
      <c r="D1443" s="92"/>
      <c r="E1443" s="14"/>
      <c r="F1443" s="14"/>
      <c r="G1443" s="14"/>
      <c r="H1443" s="14"/>
      <c r="I1443" s="67"/>
      <c r="J1443" s="14"/>
      <c r="K1443" s="14"/>
      <c r="L1443" s="14"/>
      <c r="M1443" s="14"/>
    </row>
    <row r="1444" spans="1:13" x14ac:dyDescent="0.25">
      <c r="A1444" s="14"/>
      <c r="B1444" s="14"/>
      <c r="C1444" s="14"/>
      <c r="D1444" s="92"/>
      <c r="E1444" s="14"/>
      <c r="F1444" s="14"/>
      <c r="G1444" s="14"/>
      <c r="H1444" s="14"/>
      <c r="I1444" s="67"/>
      <c r="J1444" s="14"/>
      <c r="K1444" s="14"/>
      <c r="L1444" s="14"/>
      <c r="M1444" s="14"/>
    </row>
    <row r="1445" spans="1:13" x14ac:dyDescent="0.25">
      <c r="A1445" s="14"/>
      <c r="B1445" s="14"/>
      <c r="C1445" s="14"/>
      <c r="D1445" s="92"/>
      <c r="E1445" s="14"/>
      <c r="F1445" s="14"/>
      <c r="G1445" s="14"/>
      <c r="H1445" s="14"/>
      <c r="I1445" s="67"/>
      <c r="J1445" s="14"/>
      <c r="K1445" s="14"/>
      <c r="L1445" s="14"/>
      <c r="M1445" s="14"/>
    </row>
    <row r="1446" spans="1:13" x14ac:dyDescent="0.25">
      <c r="A1446" s="14"/>
      <c r="B1446" s="14"/>
      <c r="C1446" s="14"/>
      <c r="D1446" s="92"/>
      <c r="E1446" s="14"/>
      <c r="F1446" s="14"/>
      <c r="G1446" s="14"/>
      <c r="H1446" s="14"/>
      <c r="I1446" s="67"/>
      <c r="J1446" s="14"/>
      <c r="K1446" s="14"/>
      <c r="L1446" s="14"/>
      <c r="M1446" s="14"/>
    </row>
    <row r="1447" spans="1:13" x14ac:dyDescent="0.25">
      <c r="A1447" s="14"/>
      <c r="B1447" s="14"/>
      <c r="C1447" s="14"/>
      <c r="D1447" s="92"/>
      <c r="E1447" s="14"/>
      <c r="F1447" s="14"/>
      <c r="G1447" s="14"/>
      <c r="H1447" s="14"/>
      <c r="I1447" s="67"/>
      <c r="J1447" s="14"/>
      <c r="K1447" s="14"/>
      <c r="L1447" s="14"/>
      <c r="M1447" s="14"/>
    </row>
    <row r="1448" spans="1:13" x14ac:dyDescent="0.25">
      <c r="A1448" s="14"/>
      <c r="B1448" s="14"/>
      <c r="C1448" s="14"/>
      <c r="D1448" s="92"/>
      <c r="E1448" s="14"/>
      <c r="F1448" s="14"/>
      <c r="G1448" s="14"/>
      <c r="H1448" s="14"/>
      <c r="I1448" s="67"/>
      <c r="J1448" s="14"/>
      <c r="K1448" s="14"/>
      <c r="L1448" s="14"/>
      <c r="M1448" s="14"/>
    </row>
    <row r="1449" spans="1:13" x14ac:dyDescent="0.25">
      <c r="A1449" s="14"/>
      <c r="B1449" s="14"/>
      <c r="C1449" s="14"/>
      <c r="D1449" s="92"/>
      <c r="E1449" s="14"/>
      <c r="F1449" s="14"/>
      <c r="G1449" s="14"/>
      <c r="H1449" s="14"/>
      <c r="I1449" s="67"/>
      <c r="J1449" s="14"/>
      <c r="K1449" s="14"/>
      <c r="L1449" s="14"/>
      <c r="M1449" s="14"/>
    </row>
    <row r="1450" spans="1:13" x14ac:dyDescent="0.25">
      <c r="A1450" s="14"/>
      <c r="B1450" s="14"/>
      <c r="C1450" s="14"/>
      <c r="D1450" s="92"/>
      <c r="E1450" s="14"/>
      <c r="F1450" s="14"/>
      <c r="G1450" s="14"/>
      <c r="H1450" s="14"/>
      <c r="I1450" s="67"/>
      <c r="J1450" s="14"/>
      <c r="K1450" s="14"/>
      <c r="L1450" s="14"/>
      <c r="M1450" s="14"/>
    </row>
    <row r="1451" spans="1:13" x14ac:dyDescent="0.25">
      <c r="A1451" s="14"/>
      <c r="B1451" s="14"/>
      <c r="C1451" s="14"/>
      <c r="D1451" s="92"/>
      <c r="E1451" s="14"/>
      <c r="F1451" s="14"/>
      <c r="G1451" s="14"/>
      <c r="H1451" s="14"/>
      <c r="I1451" s="67"/>
      <c r="J1451" s="14"/>
      <c r="K1451" s="14"/>
      <c r="L1451" s="14"/>
      <c r="M1451" s="14"/>
    </row>
    <row r="1452" spans="1:13" x14ac:dyDescent="0.25">
      <c r="A1452" s="14"/>
      <c r="B1452" s="14"/>
      <c r="C1452" s="14"/>
      <c r="D1452" s="92"/>
      <c r="E1452" s="14"/>
      <c r="F1452" s="14"/>
      <c r="G1452" s="14"/>
      <c r="H1452" s="14"/>
      <c r="I1452" s="67"/>
      <c r="J1452" s="14"/>
      <c r="K1452" s="14"/>
      <c r="L1452" s="14"/>
      <c r="M1452" s="14"/>
    </row>
    <row r="1453" spans="1:13" x14ac:dyDescent="0.25">
      <c r="A1453" s="14"/>
      <c r="B1453" s="14"/>
      <c r="C1453" s="14"/>
      <c r="D1453" s="92"/>
      <c r="E1453" s="14"/>
      <c r="F1453" s="14"/>
      <c r="G1453" s="14"/>
      <c r="H1453" s="14"/>
      <c r="I1453" s="67"/>
      <c r="J1453" s="14"/>
      <c r="K1453" s="14"/>
      <c r="L1453" s="14"/>
      <c r="M1453" s="14"/>
    </row>
    <row r="1454" spans="1:13" x14ac:dyDescent="0.25">
      <c r="A1454" s="14"/>
      <c r="B1454" s="14"/>
      <c r="C1454" s="14"/>
      <c r="D1454" s="92"/>
      <c r="E1454" s="14"/>
      <c r="F1454" s="14"/>
      <c r="G1454" s="14"/>
      <c r="H1454" s="14"/>
      <c r="I1454" s="67"/>
      <c r="J1454" s="14"/>
      <c r="K1454" s="14"/>
      <c r="L1454" s="14"/>
      <c r="M1454" s="14"/>
    </row>
    <row r="1455" spans="1:13" x14ac:dyDescent="0.25">
      <c r="A1455" s="14"/>
      <c r="B1455" s="14"/>
      <c r="C1455" s="14"/>
      <c r="D1455" s="92"/>
      <c r="E1455" s="14"/>
      <c r="F1455" s="14"/>
      <c r="G1455" s="14"/>
      <c r="H1455" s="14"/>
      <c r="I1455" s="67"/>
      <c r="J1455" s="14"/>
      <c r="K1455" s="14"/>
      <c r="L1455" s="14"/>
      <c r="M1455" s="14"/>
    </row>
    <row r="1456" spans="1:13" x14ac:dyDescent="0.25">
      <c r="A1456" s="14"/>
      <c r="B1456" s="14"/>
      <c r="C1456" s="14"/>
      <c r="D1456" s="92"/>
      <c r="E1456" s="14"/>
      <c r="F1456" s="14"/>
      <c r="G1456" s="14"/>
      <c r="H1456" s="14"/>
      <c r="I1456" s="67"/>
      <c r="J1456" s="14"/>
      <c r="K1456" s="14"/>
      <c r="L1456" s="14"/>
      <c r="M1456" s="14"/>
    </row>
    <row r="1457" spans="1:13" x14ac:dyDescent="0.25">
      <c r="A1457" s="14"/>
      <c r="B1457" s="14"/>
      <c r="C1457" s="14"/>
      <c r="D1457" s="92"/>
      <c r="E1457" s="14"/>
      <c r="F1457" s="14"/>
      <c r="G1457" s="14"/>
      <c r="H1457" s="14"/>
      <c r="I1457" s="67"/>
      <c r="J1457" s="14"/>
      <c r="K1457" s="14"/>
      <c r="L1457" s="14"/>
      <c r="M1457" s="14"/>
    </row>
    <row r="1458" spans="1:13" x14ac:dyDescent="0.25">
      <c r="A1458" s="14"/>
      <c r="B1458" s="14"/>
      <c r="C1458" s="14"/>
      <c r="D1458" s="92"/>
      <c r="E1458" s="14"/>
      <c r="F1458" s="14"/>
      <c r="G1458" s="14"/>
      <c r="H1458" s="14"/>
      <c r="I1458" s="67"/>
      <c r="J1458" s="14"/>
      <c r="K1458" s="14"/>
      <c r="L1458" s="14"/>
      <c r="M1458" s="14"/>
    </row>
    <row r="1459" spans="1:13" x14ac:dyDescent="0.25">
      <c r="A1459" s="14"/>
      <c r="B1459" s="14"/>
      <c r="C1459" s="14"/>
      <c r="D1459" s="92"/>
      <c r="E1459" s="14"/>
      <c r="F1459" s="14"/>
      <c r="G1459" s="14"/>
      <c r="H1459" s="14"/>
      <c r="I1459" s="67"/>
      <c r="J1459" s="14"/>
      <c r="K1459" s="14"/>
      <c r="L1459" s="14"/>
      <c r="M1459" s="14"/>
    </row>
    <row r="1460" spans="1:13" x14ac:dyDescent="0.25">
      <c r="A1460" s="14"/>
      <c r="B1460" s="14"/>
      <c r="C1460" s="14"/>
      <c r="D1460" s="92"/>
      <c r="E1460" s="14"/>
      <c r="F1460" s="14"/>
      <c r="G1460" s="14"/>
      <c r="H1460" s="14"/>
      <c r="I1460" s="67"/>
      <c r="J1460" s="14"/>
      <c r="K1460" s="14"/>
      <c r="L1460" s="14"/>
      <c r="M1460" s="14"/>
    </row>
    <row r="1461" spans="1:13" x14ac:dyDescent="0.25">
      <c r="A1461" s="14"/>
      <c r="B1461" s="14"/>
      <c r="C1461" s="14"/>
      <c r="D1461" s="92"/>
      <c r="E1461" s="14"/>
      <c r="F1461" s="14"/>
      <c r="G1461" s="14"/>
      <c r="H1461" s="14"/>
      <c r="I1461" s="67"/>
      <c r="J1461" s="14"/>
      <c r="K1461" s="14"/>
      <c r="L1461" s="14"/>
      <c r="M1461" s="14"/>
    </row>
    <row r="1462" spans="1:13" x14ac:dyDescent="0.25">
      <c r="A1462" s="14"/>
      <c r="B1462" s="14"/>
      <c r="C1462" s="14"/>
      <c r="D1462" s="92"/>
      <c r="E1462" s="14"/>
      <c r="F1462" s="14"/>
      <c r="G1462" s="14"/>
      <c r="H1462" s="14"/>
      <c r="I1462" s="67"/>
      <c r="J1462" s="14"/>
      <c r="K1462" s="14"/>
      <c r="L1462" s="14"/>
      <c r="M1462" s="14"/>
    </row>
    <row r="1463" spans="1:13" x14ac:dyDescent="0.25">
      <c r="A1463" s="14"/>
      <c r="B1463" s="14"/>
      <c r="C1463" s="14"/>
      <c r="D1463" s="92"/>
      <c r="E1463" s="14"/>
      <c r="F1463" s="14"/>
      <c r="G1463" s="14"/>
      <c r="H1463" s="14"/>
      <c r="I1463" s="67"/>
      <c r="J1463" s="14"/>
      <c r="K1463" s="14"/>
      <c r="L1463" s="14"/>
      <c r="M1463" s="14"/>
    </row>
    <row r="1464" spans="1:13" x14ac:dyDescent="0.25">
      <c r="A1464" s="14"/>
      <c r="B1464" s="14"/>
      <c r="C1464" s="14"/>
      <c r="D1464" s="92"/>
      <c r="E1464" s="14"/>
      <c r="F1464" s="14"/>
      <c r="G1464" s="14"/>
      <c r="H1464" s="14"/>
      <c r="I1464" s="67"/>
      <c r="J1464" s="14"/>
      <c r="K1464" s="14"/>
      <c r="L1464" s="14"/>
      <c r="M1464" s="14"/>
    </row>
    <row r="1465" spans="1:13" x14ac:dyDescent="0.25">
      <c r="A1465" s="14"/>
      <c r="B1465" s="14"/>
      <c r="C1465" s="14"/>
      <c r="D1465" s="92"/>
      <c r="E1465" s="14"/>
      <c r="F1465" s="14"/>
      <c r="G1465" s="14"/>
      <c r="H1465" s="14"/>
      <c r="I1465" s="67"/>
      <c r="J1465" s="14"/>
      <c r="K1465" s="14"/>
      <c r="L1465" s="14"/>
      <c r="M1465" s="14"/>
    </row>
    <row r="1466" spans="1:13" x14ac:dyDescent="0.25">
      <c r="A1466" s="14"/>
      <c r="B1466" s="14"/>
      <c r="C1466" s="14"/>
      <c r="D1466" s="92"/>
      <c r="E1466" s="14"/>
      <c r="F1466" s="14"/>
      <c r="G1466" s="14"/>
      <c r="H1466" s="14"/>
      <c r="I1466" s="67"/>
      <c r="J1466" s="14"/>
      <c r="K1466" s="14"/>
      <c r="L1466" s="14"/>
      <c r="M1466" s="14"/>
    </row>
    <row r="1467" spans="1:13" x14ac:dyDescent="0.25">
      <c r="A1467" s="14"/>
      <c r="B1467" s="14"/>
      <c r="C1467" s="14"/>
      <c r="D1467" s="92"/>
      <c r="E1467" s="14"/>
      <c r="F1467" s="14"/>
      <c r="G1467" s="14"/>
      <c r="H1467" s="14"/>
      <c r="I1467" s="67"/>
      <c r="J1467" s="14"/>
      <c r="K1467" s="14"/>
      <c r="L1467" s="14"/>
      <c r="M1467" s="14"/>
    </row>
    <row r="1468" spans="1:13" x14ac:dyDescent="0.25">
      <c r="A1468" s="14"/>
      <c r="B1468" s="14"/>
      <c r="C1468" s="14"/>
      <c r="D1468" s="92"/>
      <c r="E1468" s="14"/>
      <c r="F1468" s="14"/>
      <c r="G1468" s="14"/>
      <c r="H1468" s="14"/>
      <c r="I1468" s="67"/>
      <c r="J1468" s="14"/>
      <c r="K1468" s="14"/>
      <c r="L1468" s="14"/>
      <c r="M1468" s="14"/>
    </row>
    <row r="1469" spans="1:13" x14ac:dyDescent="0.25">
      <c r="A1469" s="14"/>
      <c r="B1469" s="14"/>
      <c r="C1469" s="14"/>
      <c r="D1469" s="92"/>
      <c r="E1469" s="14"/>
      <c r="F1469" s="14"/>
      <c r="G1469" s="14"/>
      <c r="H1469" s="14"/>
      <c r="I1469" s="67"/>
      <c r="J1469" s="14"/>
      <c r="K1469" s="14"/>
      <c r="L1469" s="14"/>
      <c r="M1469" s="14"/>
    </row>
    <row r="1470" spans="1:13" x14ac:dyDescent="0.25">
      <c r="A1470" s="14"/>
      <c r="B1470" s="14"/>
      <c r="C1470" s="14"/>
      <c r="D1470" s="92"/>
      <c r="E1470" s="14"/>
      <c r="F1470" s="14"/>
      <c r="G1470" s="14"/>
      <c r="H1470" s="14"/>
      <c r="I1470" s="67"/>
      <c r="J1470" s="14"/>
      <c r="K1470" s="14"/>
      <c r="L1470" s="14"/>
      <c r="M1470" s="14"/>
    </row>
    <row r="1471" spans="1:13" x14ac:dyDescent="0.25">
      <c r="A1471" s="14"/>
      <c r="B1471" s="14"/>
      <c r="C1471" s="14"/>
      <c r="D1471" s="92"/>
      <c r="E1471" s="14"/>
      <c r="F1471" s="14"/>
      <c r="G1471" s="14"/>
      <c r="H1471" s="14"/>
      <c r="I1471" s="67"/>
      <c r="J1471" s="14"/>
      <c r="K1471" s="14"/>
      <c r="L1471" s="14"/>
      <c r="M1471" s="14"/>
    </row>
    <row r="1472" spans="1:13" x14ac:dyDescent="0.25">
      <c r="A1472" s="14"/>
      <c r="B1472" s="14"/>
      <c r="C1472" s="14"/>
      <c r="D1472" s="92"/>
      <c r="E1472" s="14"/>
      <c r="F1472" s="14"/>
      <c r="G1472" s="14"/>
      <c r="H1472" s="14"/>
      <c r="I1472" s="67"/>
      <c r="J1472" s="14"/>
      <c r="K1472" s="14"/>
      <c r="L1472" s="14"/>
      <c r="M1472" s="14"/>
    </row>
    <row r="1473" spans="1:13" x14ac:dyDescent="0.25">
      <c r="A1473" s="14"/>
      <c r="B1473" s="14"/>
      <c r="C1473" s="14"/>
      <c r="D1473" s="92"/>
      <c r="E1473" s="14"/>
      <c r="F1473" s="14"/>
      <c r="G1473" s="14"/>
      <c r="H1473" s="14"/>
      <c r="I1473" s="67"/>
      <c r="J1473" s="14"/>
      <c r="K1473" s="14"/>
      <c r="L1473" s="14"/>
      <c r="M1473" s="14"/>
    </row>
    <row r="1474" spans="1:13" x14ac:dyDescent="0.25">
      <c r="A1474" s="14"/>
      <c r="B1474" s="14"/>
      <c r="C1474" s="14"/>
      <c r="D1474" s="92"/>
      <c r="E1474" s="14"/>
      <c r="F1474" s="14"/>
      <c r="G1474" s="14"/>
      <c r="H1474" s="14"/>
      <c r="I1474" s="67"/>
      <c r="J1474" s="14"/>
      <c r="K1474" s="14"/>
      <c r="L1474" s="14"/>
      <c r="M1474" s="14"/>
    </row>
    <row r="1475" spans="1:13" x14ac:dyDescent="0.25">
      <c r="A1475" s="14"/>
      <c r="B1475" s="14"/>
      <c r="C1475" s="14"/>
      <c r="D1475" s="92"/>
      <c r="E1475" s="14"/>
      <c r="F1475" s="14"/>
      <c r="G1475" s="14"/>
      <c r="H1475" s="14"/>
      <c r="I1475" s="67"/>
      <c r="J1475" s="14"/>
      <c r="K1475" s="14"/>
      <c r="L1475" s="14"/>
      <c r="M1475" s="14"/>
    </row>
    <row r="1476" spans="1:13" x14ac:dyDescent="0.25">
      <c r="A1476" s="14"/>
      <c r="B1476" s="14"/>
      <c r="C1476" s="14"/>
      <c r="D1476" s="92"/>
      <c r="E1476" s="14"/>
      <c r="F1476" s="14"/>
      <c r="G1476" s="14"/>
      <c r="H1476" s="14"/>
      <c r="I1476" s="67"/>
      <c r="J1476" s="14"/>
      <c r="K1476" s="14"/>
      <c r="L1476" s="14"/>
      <c r="M1476" s="14"/>
    </row>
    <row r="1477" spans="1:13" x14ac:dyDescent="0.25">
      <c r="A1477" s="14"/>
      <c r="B1477" s="14"/>
      <c r="C1477" s="14"/>
      <c r="D1477" s="92"/>
      <c r="E1477" s="14"/>
      <c r="F1477" s="14"/>
      <c r="G1477" s="14"/>
      <c r="H1477" s="14"/>
      <c r="I1477" s="67"/>
      <c r="J1477" s="14"/>
      <c r="K1477" s="14"/>
      <c r="L1477" s="14"/>
      <c r="M1477" s="14"/>
    </row>
    <row r="1478" spans="1:13" x14ac:dyDescent="0.25">
      <c r="A1478" s="14"/>
      <c r="B1478" s="14"/>
      <c r="C1478" s="14"/>
      <c r="D1478" s="92"/>
      <c r="E1478" s="14"/>
      <c r="F1478" s="14"/>
      <c r="G1478" s="14"/>
      <c r="H1478" s="14"/>
      <c r="I1478" s="67"/>
      <c r="J1478" s="14"/>
      <c r="K1478" s="14"/>
      <c r="L1478" s="14"/>
      <c r="M1478" s="14"/>
    </row>
    <row r="1479" spans="1:13" x14ac:dyDescent="0.25">
      <c r="A1479" s="14"/>
      <c r="B1479" s="14"/>
      <c r="C1479" s="14"/>
      <c r="D1479" s="92"/>
      <c r="E1479" s="14"/>
      <c r="F1479" s="14"/>
      <c r="G1479" s="14"/>
      <c r="H1479" s="14"/>
      <c r="I1479" s="67"/>
      <c r="J1479" s="14"/>
      <c r="K1479" s="14"/>
      <c r="L1479" s="14"/>
      <c r="M1479" s="14"/>
    </row>
    <row r="1480" spans="1:13" x14ac:dyDescent="0.25">
      <c r="A1480" s="14"/>
      <c r="B1480" s="14"/>
      <c r="C1480" s="14"/>
      <c r="D1480" s="92"/>
      <c r="E1480" s="14"/>
      <c r="F1480" s="14"/>
      <c r="G1480" s="14"/>
      <c r="H1480" s="14"/>
      <c r="I1480" s="67"/>
      <c r="J1480" s="14"/>
      <c r="K1480" s="14"/>
      <c r="L1480" s="14"/>
      <c r="M1480" s="14"/>
    </row>
    <row r="1481" spans="1:13" x14ac:dyDescent="0.25">
      <c r="A1481" s="14"/>
      <c r="B1481" s="14"/>
      <c r="C1481" s="14"/>
      <c r="D1481" s="92"/>
      <c r="E1481" s="14"/>
      <c r="F1481" s="14"/>
      <c r="G1481" s="14"/>
      <c r="H1481" s="14"/>
      <c r="I1481" s="67"/>
      <c r="J1481" s="14"/>
      <c r="K1481" s="14"/>
      <c r="L1481" s="14"/>
      <c r="M1481" s="14"/>
    </row>
    <row r="1482" spans="1:13" x14ac:dyDescent="0.25">
      <c r="A1482" s="14"/>
      <c r="B1482" s="14"/>
      <c r="C1482" s="14"/>
      <c r="D1482" s="92"/>
      <c r="E1482" s="14"/>
      <c r="F1482" s="14"/>
      <c r="G1482" s="14"/>
      <c r="H1482" s="14"/>
      <c r="I1482" s="67"/>
      <c r="J1482" s="14"/>
      <c r="K1482" s="14"/>
      <c r="L1482" s="14"/>
      <c r="M1482" s="14"/>
    </row>
    <row r="1483" spans="1:13" x14ac:dyDescent="0.25">
      <c r="A1483" s="14"/>
      <c r="B1483" s="14"/>
      <c r="C1483" s="14"/>
      <c r="D1483" s="92"/>
      <c r="E1483" s="14"/>
      <c r="F1483" s="14"/>
      <c r="G1483" s="14"/>
      <c r="H1483" s="14"/>
      <c r="I1483" s="67"/>
      <c r="J1483" s="14"/>
      <c r="K1483" s="14"/>
      <c r="L1483" s="14"/>
      <c r="M1483" s="14"/>
    </row>
    <row r="1484" spans="1:13" x14ac:dyDescent="0.25">
      <c r="A1484" s="14"/>
      <c r="B1484" s="14"/>
      <c r="C1484" s="14"/>
      <c r="D1484" s="92"/>
      <c r="E1484" s="14"/>
      <c r="F1484" s="14"/>
      <c r="G1484" s="14"/>
      <c r="H1484" s="14"/>
      <c r="I1484" s="67"/>
      <c r="J1484" s="14"/>
      <c r="K1484" s="14"/>
      <c r="L1484" s="14"/>
      <c r="M1484" s="14"/>
    </row>
    <row r="1485" spans="1:13" x14ac:dyDescent="0.25">
      <c r="A1485" s="14"/>
      <c r="B1485" s="14"/>
      <c r="C1485" s="14"/>
      <c r="D1485" s="92"/>
      <c r="E1485" s="14"/>
      <c r="F1485" s="14"/>
      <c r="G1485" s="14"/>
      <c r="H1485" s="14"/>
      <c r="I1485" s="67"/>
      <c r="J1485" s="14"/>
      <c r="K1485" s="14"/>
      <c r="L1485" s="14"/>
      <c r="M1485" s="14"/>
    </row>
    <row r="1486" spans="1:13" x14ac:dyDescent="0.25">
      <c r="A1486" s="14"/>
      <c r="B1486" s="14"/>
      <c r="C1486" s="14"/>
      <c r="D1486" s="92"/>
      <c r="E1486" s="14"/>
      <c r="F1486" s="14"/>
      <c r="G1486" s="14"/>
      <c r="H1486" s="14"/>
      <c r="I1486" s="67"/>
      <c r="J1486" s="14"/>
      <c r="K1486" s="14"/>
      <c r="L1486" s="14"/>
      <c r="M1486" s="14"/>
    </row>
    <row r="1487" spans="1:13" x14ac:dyDescent="0.25">
      <c r="A1487" s="14"/>
      <c r="B1487" s="14"/>
      <c r="C1487" s="14"/>
      <c r="D1487" s="92"/>
      <c r="E1487" s="14"/>
      <c r="F1487" s="14"/>
      <c r="G1487" s="14"/>
      <c r="H1487" s="14"/>
      <c r="I1487" s="67"/>
      <c r="J1487" s="14"/>
      <c r="K1487" s="14"/>
      <c r="L1487" s="14"/>
      <c r="M1487" s="14"/>
    </row>
    <row r="1488" spans="1:13" x14ac:dyDescent="0.25">
      <c r="A1488" s="14"/>
      <c r="B1488" s="14"/>
      <c r="C1488" s="14"/>
      <c r="D1488" s="92"/>
      <c r="E1488" s="14"/>
      <c r="F1488" s="14"/>
      <c r="G1488" s="14"/>
      <c r="H1488" s="14"/>
      <c r="I1488" s="67"/>
      <c r="J1488" s="14"/>
      <c r="K1488" s="14"/>
      <c r="L1488" s="14"/>
      <c r="M1488" s="14"/>
    </row>
    <row r="1489" spans="1:13" x14ac:dyDescent="0.25">
      <c r="A1489" s="14"/>
      <c r="B1489" s="14"/>
      <c r="C1489" s="14"/>
      <c r="D1489" s="92"/>
      <c r="E1489" s="14"/>
      <c r="F1489" s="14"/>
      <c r="G1489" s="14"/>
      <c r="H1489" s="14"/>
      <c r="I1489" s="67"/>
      <c r="J1489" s="14"/>
      <c r="K1489" s="14"/>
      <c r="L1489" s="14"/>
      <c r="M1489" s="14"/>
    </row>
    <row r="1490" spans="1:13" x14ac:dyDescent="0.25">
      <c r="A1490" s="14"/>
      <c r="B1490" s="14"/>
      <c r="C1490" s="14"/>
      <c r="D1490" s="92"/>
      <c r="E1490" s="14"/>
      <c r="F1490" s="14"/>
      <c r="G1490" s="14"/>
      <c r="H1490" s="14"/>
      <c r="I1490" s="67"/>
      <c r="J1490" s="14"/>
      <c r="K1490" s="14"/>
      <c r="L1490" s="14"/>
      <c r="M1490" s="14"/>
    </row>
    <row r="1491" spans="1:13" x14ac:dyDescent="0.25">
      <c r="A1491" s="14"/>
      <c r="B1491" s="14"/>
      <c r="C1491" s="14"/>
      <c r="D1491" s="92"/>
      <c r="E1491" s="14"/>
      <c r="F1491" s="14"/>
      <c r="G1491" s="14"/>
      <c r="H1491" s="14"/>
      <c r="I1491" s="67"/>
      <c r="J1491" s="14"/>
      <c r="K1491" s="14"/>
      <c r="L1491" s="14"/>
      <c r="M1491" s="14"/>
    </row>
    <row r="1492" spans="1:13" x14ac:dyDescent="0.25">
      <c r="A1492" s="14"/>
      <c r="B1492" s="14"/>
      <c r="C1492" s="14"/>
      <c r="D1492" s="92"/>
      <c r="E1492" s="14"/>
      <c r="F1492" s="14"/>
      <c r="G1492" s="14"/>
      <c r="H1492" s="14"/>
      <c r="I1492" s="67"/>
      <c r="J1492" s="14"/>
      <c r="K1492" s="14"/>
      <c r="L1492" s="14"/>
      <c r="M1492" s="14"/>
    </row>
    <row r="1493" spans="1:13" x14ac:dyDescent="0.25">
      <c r="A1493" s="14"/>
      <c r="B1493" s="14"/>
      <c r="C1493" s="14"/>
      <c r="D1493" s="92"/>
      <c r="E1493" s="14"/>
      <c r="F1493" s="14"/>
      <c r="G1493" s="14"/>
      <c r="H1493" s="14"/>
      <c r="I1493" s="67"/>
      <c r="J1493" s="14"/>
      <c r="K1493" s="14"/>
      <c r="L1493" s="14"/>
      <c r="M1493" s="14"/>
    </row>
    <row r="1494" spans="1:13" x14ac:dyDescent="0.25">
      <c r="A1494" s="14"/>
      <c r="B1494" s="14"/>
      <c r="C1494" s="14"/>
      <c r="D1494" s="92"/>
      <c r="E1494" s="14"/>
      <c r="F1494" s="14"/>
      <c r="G1494" s="14"/>
      <c r="H1494" s="14"/>
      <c r="I1494" s="67"/>
      <c r="J1494" s="14"/>
      <c r="K1494" s="14"/>
      <c r="L1494" s="14"/>
      <c r="M1494" s="14"/>
    </row>
    <row r="1495" spans="1:13" x14ac:dyDescent="0.25">
      <c r="A1495" s="14"/>
      <c r="B1495" s="14"/>
      <c r="C1495" s="14"/>
      <c r="D1495" s="92"/>
      <c r="E1495" s="14"/>
      <c r="F1495" s="14"/>
      <c r="G1495" s="14"/>
      <c r="H1495" s="14"/>
      <c r="I1495" s="67"/>
      <c r="J1495" s="14"/>
      <c r="K1495" s="14"/>
      <c r="L1495" s="14"/>
      <c r="M1495" s="14"/>
    </row>
    <row r="1496" spans="1:13" x14ac:dyDescent="0.25">
      <c r="A1496" s="14"/>
      <c r="B1496" s="14"/>
      <c r="C1496" s="14"/>
      <c r="D1496" s="92"/>
      <c r="E1496" s="14"/>
      <c r="F1496" s="14"/>
      <c r="G1496" s="14"/>
      <c r="H1496" s="14"/>
      <c r="I1496" s="67"/>
      <c r="J1496" s="14"/>
      <c r="K1496" s="14"/>
      <c r="L1496" s="14"/>
      <c r="M1496" s="14"/>
    </row>
    <row r="1497" spans="1:13" x14ac:dyDescent="0.25">
      <c r="A1497" s="14"/>
      <c r="B1497" s="14"/>
      <c r="C1497" s="14"/>
      <c r="D1497" s="92"/>
      <c r="E1497" s="14"/>
      <c r="F1497" s="14"/>
      <c r="G1497" s="14"/>
      <c r="H1497" s="14"/>
      <c r="I1497" s="67"/>
      <c r="J1497" s="14"/>
      <c r="K1497" s="14"/>
      <c r="L1497" s="14"/>
      <c r="M1497" s="14"/>
    </row>
    <row r="1498" spans="1:13" x14ac:dyDescent="0.25">
      <c r="A1498" s="14"/>
      <c r="B1498" s="14"/>
      <c r="C1498" s="14"/>
      <c r="D1498" s="92"/>
      <c r="E1498" s="14"/>
      <c r="F1498" s="14"/>
      <c r="G1498" s="14"/>
      <c r="H1498" s="14"/>
      <c r="I1498" s="67"/>
      <c r="J1498" s="14"/>
      <c r="K1498" s="14"/>
      <c r="L1498" s="14"/>
      <c r="M1498" s="14"/>
    </row>
    <row r="1499" spans="1:13" x14ac:dyDescent="0.25">
      <c r="A1499" s="14"/>
      <c r="B1499" s="14"/>
      <c r="C1499" s="14"/>
      <c r="D1499" s="92"/>
      <c r="E1499" s="14"/>
      <c r="F1499" s="14"/>
      <c r="G1499" s="14"/>
      <c r="H1499" s="14"/>
      <c r="I1499" s="67"/>
      <c r="J1499" s="14"/>
      <c r="K1499" s="14"/>
      <c r="L1499" s="14"/>
      <c r="M1499" s="14"/>
    </row>
    <row r="1500" spans="1:13" x14ac:dyDescent="0.25">
      <c r="A1500" s="14"/>
      <c r="B1500" s="14"/>
      <c r="C1500" s="14"/>
      <c r="D1500" s="92"/>
      <c r="E1500" s="14"/>
      <c r="F1500" s="14"/>
      <c r="G1500" s="14"/>
      <c r="H1500" s="14"/>
      <c r="I1500" s="67"/>
      <c r="J1500" s="14"/>
      <c r="K1500" s="14"/>
      <c r="L1500" s="14"/>
      <c r="M1500" s="14"/>
    </row>
    <row r="1501" spans="1:13" x14ac:dyDescent="0.25">
      <c r="A1501" s="14"/>
      <c r="B1501" s="14"/>
      <c r="C1501" s="14"/>
      <c r="D1501" s="92"/>
      <c r="E1501" s="14"/>
      <c r="F1501" s="14"/>
      <c r="G1501" s="14"/>
      <c r="H1501" s="14"/>
      <c r="I1501" s="67"/>
      <c r="J1501" s="14"/>
      <c r="K1501" s="14"/>
      <c r="L1501" s="14"/>
      <c r="M1501" s="14"/>
    </row>
    <row r="1502" spans="1:13" x14ac:dyDescent="0.25">
      <c r="A1502" s="14"/>
      <c r="B1502" s="14"/>
      <c r="C1502" s="14"/>
      <c r="D1502" s="92"/>
      <c r="E1502" s="14"/>
      <c r="F1502" s="14"/>
      <c r="G1502" s="14"/>
      <c r="H1502" s="14"/>
      <c r="I1502" s="67"/>
      <c r="J1502" s="14"/>
      <c r="K1502" s="14"/>
      <c r="L1502" s="14"/>
      <c r="M1502" s="14"/>
    </row>
    <row r="1503" spans="1:13" x14ac:dyDescent="0.25">
      <c r="A1503" s="14"/>
      <c r="B1503" s="14"/>
      <c r="C1503" s="14"/>
      <c r="D1503" s="92"/>
      <c r="E1503" s="14"/>
      <c r="F1503" s="14"/>
      <c r="G1503" s="14"/>
      <c r="H1503" s="14"/>
      <c r="I1503" s="67"/>
      <c r="J1503" s="14"/>
      <c r="K1503" s="14"/>
      <c r="L1503" s="14"/>
      <c r="M1503" s="14"/>
    </row>
    <row r="1504" spans="1:13" x14ac:dyDescent="0.25">
      <c r="A1504" s="14"/>
      <c r="B1504" s="14"/>
      <c r="C1504" s="14"/>
      <c r="D1504" s="92"/>
      <c r="E1504" s="14"/>
      <c r="F1504" s="14"/>
      <c r="G1504" s="14"/>
      <c r="H1504" s="14"/>
      <c r="I1504" s="67"/>
      <c r="J1504" s="14"/>
      <c r="K1504" s="14"/>
      <c r="L1504" s="14"/>
      <c r="M1504" s="14"/>
    </row>
    <row r="1505" spans="1:13" x14ac:dyDescent="0.25">
      <c r="A1505" s="14"/>
      <c r="B1505" s="14"/>
      <c r="C1505" s="14"/>
      <c r="D1505" s="92"/>
      <c r="E1505" s="14"/>
      <c r="F1505" s="14"/>
      <c r="G1505" s="14"/>
      <c r="H1505" s="14"/>
      <c r="I1505" s="67"/>
      <c r="J1505" s="14"/>
      <c r="K1505" s="14"/>
      <c r="L1505" s="14"/>
      <c r="M1505" s="14"/>
    </row>
    <row r="1506" spans="1:13" x14ac:dyDescent="0.25">
      <c r="A1506" s="14"/>
      <c r="B1506" s="14"/>
      <c r="C1506" s="14"/>
      <c r="D1506" s="92"/>
      <c r="E1506" s="14"/>
      <c r="F1506" s="14"/>
      <c r="G1506" s="14"/>
      <c r="H1506" s="14"/>
      <c r="I1506" s="67"/>
      <c r="J1506" s="14"/>
      <c r="K1506" s="14"/>
      <c r="L1506" s="14"/>
      <c r="M1506" s="14"/>
    </row>
    <row r="1507" spans="1:13" x14ac:dyDescent="0.25">
      <c r="A1507" s="14"/>
      <c r="B1507" s="14"/>
      <c r="C1507" s="14"/>
      <c r="D1507" s="92"/>
      <c r="E1507" s="14"/>
      <c r="F1507" s="14"/>
      <c r="G1507" s="14"/>
      <c r="H1507" s="14"/>
      <c r="I1507" s="67"/>
      <c r="J1507" s="14"/>
      <c r="K1507" s="14"/>
      <c r="L1507" s="14"/>
      <c r="M1507" s="14"/>
    </row>
    <row r="1508" spans="1:13" x14ac:dyDescent="0.25">
      <c r="A1508" s="14"/>
      <c r="B1508" s="14"/>
      <c r="C1508" s="14"/>
      <c r="D1508" s="92"/>
      <c r="E1508" s="14"/>
      <c r="F1508" s="14"/>
      <c r="G1508" s="14"/>
      <c r="H1508" s="14"/>
      <c r="I1508" s="67"/>
      <c r="J1508" s="14"/>
      <c r="K1508" s="14"/>
      <c r="L1508" s="14"/>
      <c r="M1508" s="14"/>
    </row>
    <row r="1509" spans="1:13" x14ac:dyDescent="0.25">
      <c r="A1509" s="14"/>
      <c r="B1509" s="14"/>
      <c r="C1509" s="14"/>
      <c r="D1509" s="92"/>
      <c r="E1509" s="14"/>
      <c r="F1509" s="14"/>
      <c r="G1509" s="14"/>
      <c r="H1509" s="14"/>
      <c r="I1509" s="67"/>
      <c r="J1509" s="14"/>
      <c r="K1509" s="14"/>
      <c r="L1509" s="14"/>
      <c r="M1509" s="14"/>
    </row>
    <row r="1510" spans="1:13" x14ac:dyDescent="0.25">
      <c r="A1510" s="14"/>
      <c r="B1510" s="14"/>
      <c r="C1510" s="14"/>
      <c r="D1510" s="92"/>
      <c r="E1510" s="14"/>
      <c r="F1510" s="14"/>
      <c r="G1510" s="14"/>
      <c r="H1510" s="14"/>
      <c r="I1510" s="67"/>
      <c r="J1510" s="14"/>
      <c r="K1510" s="14"/>
      <c r="L1510" s="14"/>
      <c r="M1510" s="14"/>
    </row>
    <row r="1511" spans="1:13" x14ac:dyDescent="0.25">
      <c r="A1511" s="14"/>
      <c r="B1511" s="14"/>
      <c r="C1511" s="14"/>
      <c r="D1511" s="92"/>
      <c r="E1511" s="14"/>
      <c r="F1511" s="14"/>
      <c r="G1511" s="14"/>
      <c r="H1511" s="14"/>
      <c r="I1511" s="67"/>
      <c r="J1511" s="14"/>
      <c r="K1511" s="14"/>
      <c r="L1511" s="14"/>
      <c r="M1511" s="14"/>
    </row>
    <row r="1512" spans="1:13" x14ac:dyDescent="0.25">
      <c r="A1512" s="14"/>
      <c r="B1512" s="14"/>
      <c r="C1512" s="14"/>
      <c r="D1512" s="92"/>
      <c r="E1512" s="14"/>
      <c r="F1512" s="14"/>
      <c r="G1512" s="14"/>
      <c r="H1512" s="14"/>
      <c r="I1512" s="67"/>
      <c r="J1512" s="14"/>
      <c r="K1512" s="14"/>
      <c r="L1512" s="14"/>
      <c r="M1512" s="14"/>
    </row>
    <row r="1513" spans="1:13" x14ac:dyDescent="0.25">
      <c r="A1513" s="14"/>
      <c r="B1513" s="14"/>
      <c r="C1513" s="14"/>
      <c r="D1513" s="92"/>
      <c r="E1513" s="14"/>
      <c r="F1513" s="14"/>
      <c r="G1513" s="14"/>
      <c r="H1513" s="14"/>
      <c r="I1513" s="67"/>
      <c r="J1513" s="14"/>
      <c r="K1513" s="14"/>
      <c r="L1513" s="14"/>
      <c r="M1513" s="14"/>
    </row>
    <row r="1514" spans="1:13" x14ac:dyDescent="0.25">
      <c r="A1514" s="14"/>
      <c r="B1514" s="14"/>
      <c r="C1514" s="14"/>
      <c r="D1514" s="92"/>
      <c r="E1514" s="14"/>
      <c r="F1514" s="14"/>
      <c r="G1514" s="14"/>
      <c r="H1514" s="14"/>
      <c r="I1514" s="67"/>
      <c r="J1514" s="14"/>
      <c r="K1514" s="14"/>
      <c r="L1514" s="14"/>
      <c r="M1514" s="14"/>
    </row>
    <row r="1515" spans="1:13" x14ac:dyDescent="0.25">
      <c r="A1515" s="14"/>
      <c r="B1515" s="14"/>
      <c r="C1515" s="14"/>
      <c r="D1515" s="92"/>
      <c r="E1515" s="14"/>
      <c r="F1515" s="14"/>
      <c r="G1515" s="14"/>
      <c r="H1515" s="14"/>
      <c r="I1515" s="67"/>
      <c r="J1515" s="14"/>
      <c r="K1515" s="14"/>
      <c r="L1515" s="14"/>
      <c r="M1515" s="14"/>
    </row>
    <row r="1516" spans="1:13" x14ac:dyDescent="0.25">
      <c r="A1516" s="14"/>
      <c r="B1516" s="14"/>
      <c r="C1516" s="14"/>
      <c r="D1516" s="92"/>
      <c r="E1516" s="14"/>
      <c r="F1516" s="14"/>
      <c r="G1516" s="14"/>
      <c r="H1516" s="14"/>
      <c r="I1516" s="67"/>
      <c r="J1516" s="14"/>
      <c r="K1516" s="14"/>
      <c r="L1516" s="14"/>
      <c r="M1516" s="14"/>
    </row>
    <row r="1517" spans="1:13" x14ac:dyDescent="0.25">
      <c r="A1517" s="14"/>
      <c r="B1517" s="14"/>
      <c r="C1517" s="14"/>
      <c r="D1517" s="92"/>
      <c r="E1517" s="14"/>
      <c r="F1517" s="14"/>
      <c r="G1517" s="14"/>
      <c r="H1517" s="14"/>
      <c r="I1517" s="67"/>
      <c r="J1517" s="14"/>
      <c r="K1517" s="14"/>
      <c r="L1517" s="14"/>
      <c r="M1517" s="14"/>
    </row>
    <row r="1518" spans="1:13" x14ac:dyDescent="0.25">
      <c r="A1518" s="14"/>
      <c r="B1518" s="14"/>
      <c r="C1518" s="14"/>
      <c r="D1518" s="92"/>
      <c r="E1518" s="14"/>
      <c r="F1518" s="14"/>
      <c r="G1518" s="14"/>
      <c r="H1518" s="14"/>
      <c r="I1518" s="67"/>
      <c r="J1518" s="14"/>
      <c r="K1518" s="14"/>
      <c r="L1518" s="14"/>
      <c r="M1518" s="14"/>
    </row>
    <row r="1519" spans="1:13" x14ac:dyDescent="0.25">
      <c r="A1519" s="14"/>
      <c r="B1519" s="14"/>
      <c r="C1519" s="14"/>
      <c r="D1519" s="92"/>
      <c r="E1519" s="14"/>
      <c r="F1519" s="14"/>
      <c r="G1519" s="14"/>
      <c r="H1519" s="14"/>
      <c r="I1519" s="67"/>
      <c r="J1519" s="14"/>
      <c r="K1519" s="14"/>
      <c r="L1519" s="14"/>
      <c r="M1519" s="14"/>
    </row>
    <row r="1520" spans="1:13" x14ac:dyDescent="0.25">
      <c r="A1520" s="14"/>
      <c r="B1520" s="14"/>
      <c r="C1520" s="14"/>
      <c r="D1520" s="92"/>
      <c r="E1520" s="14"/>
      <c r="F1520" s="14"/>
      <c r="G1520" s="14"/>
      <c r="H1520" s="14"/>
      <c r="I1520" s="67"/>
      <c r="J1520" s="14"/>
      <c r="K1520" s="14"/>
      <c r="L1520" s="14"/>
      <c r="M1520" s="14"/>
    </row>
    <row r="1521" spans="1:13" x14ac:dyDescent="0.25">
      <c r="A1521" s="14"/>
      <c r="B1521" s="14"/>
      <c r="C1521" s="14"/>
      <c r="D1521" s="92"/>
      <c r="E1521" s="14"/>
      <c r="F1521" s="14"/>
      <c r="G1521" s="14"/>
      <c r="H1521" s="14"/>
      <c r="I1521" s="67"/>
      <c r="J1521" s="14"/>
      <c r="K1521" s="14"/>
      <c r="L1521" s="14"/>
      <c r="M1521" s="14"/>
    </row>
    <row r="1522" spans="1:13" x14ac:dyDescent="0.25">
      <c r="A1522" s="14"/>
      <c r="B1522" s="14"/>
      <c r="C1522" s="14"/>
      <c r="D1522" s="92"/>
      <c r="E1522" s="14"/>
      <c r="F1522" s="14"/>
      <c r="G1522" s="14"/>
      <c r="H1522" s="14"/>
      <c r="I1522" s="67"/>
      <c r="J1522" s="14"/>
      <c r="K1522" s="14"/>
      <c r="L1522" s="14"/>
      <c r="M1522" s="14"/>
    </row>
    <row r="1523" spans="1:13" x14ac:dyDescent="0.25">
      <c r="A1523" s="14"/>
      <c r="B1523" s="14"/>
      <c r="C1523" s="14"/>
      <c r="D1523" s="92"/>
      <c r="E1523" s="14"/>
      <c r="F1523" s="14"/>
      <c r="G1523" s="14"/>
      <c r="H1523" s="14"/>
      <c r="I1523" s="67"/>
      <c r="J1523" s="14"/>
      <c r="K1523" s="14"/>
      <c r="L1523" s="14"/>
      <c r="M1523" s="14"/>
    </row>
    <row r="1524" spans="1:13" x14ac:dyDescent="0.25">
      <c r="A1524" s="14"/>
      <c r="B1524" s="14"/>
      <c r="C1524" s="14"/>
      <c r="D1524" s="92"/>
      <c r="E1524" s="14"/>
      <c r="F1524" s="14"/>
      <c r="G1524" s="14"/>
      <c r="H1524" s="14"/>
      <c r="I1524" s="67"/>
      <c r="J1524" s="14"/>
      <c r="K1524" s="14"/>
      <c r="L1524" s="14"/>
      <c r="M1524" s="14"/>
    </row>
    <row r="1525" spans="1:13" x14ac:dyDescent="0.25">
      <c r="A1525" s="14"/>
      <c r="B1525" s="14"/>
      <c r="C1525" s="14"/>
      <c r="D1525" s="92"/>
      <c r="E1525" s="14"/>
      <c r="F1525" s="14"/>
      <c r="G1525" s="14"/>
      <c r="H1525" s="14"/>
      <c r="I1525" s="67"/>
      <c r="J1525" s="14"/>
      <c r="K1525" s="14"/>
      <c r="L1525" s="14"/>
      <c r="M1525" s="14"/>
    </row>
    <row r="1526" spans="1:13" x14ac:dyDescent="0.25">
      <c r="A1526" s="14"/>
      <c r="B1526" s="14"/>
      <c r="C1526" s="14"/>
      <c r="D1526" s="92"/>
      <c r="E1526" s="14"/>
      <c r="F1526" s="14"/>
      <c r="G1526" s="14"/>
      <c r="H1526" s="14"/>
      <c r="I1526" s="67"/>
      <c r="J1526" s="14"/>
      <c r="K1526" s="14"/>
      <c r="L1526" s="14"/>
      <c r="M1526" s="14"/>
    </row>
    <row r="1527" spans="1:13" x14ac:dyDescent="0.25">
      <c r="A1527" s="14"/>
      <c r="B1527" s="14"/>
      <c r="C1527" s="14"/>
      <c r="D1527" s="92"/>
      <c r="E1527" s="14"/>
      <c r="F1527" s="14"/>
      <c r="G1527" s="14"/>
      <c r="H1527" s="14"/>
      <c r="I1527" s="67"/>
      <c r="J1527" s="14"/>
      <c r="K1527" s="14"/>
      <c r="L1527" s="14"/>
      <c r="M1527" s="14"/>
    </row>
    <row r="1528" spans="1:13" x14ac:dyDescent="0.25">
      <c r="A1528" s="14"/>
      <c r="B1528" s="14"/>
      <c r="C1528" s="14"/>
      <c r="D1528" s="92"/>
      <c r="E1528" s="14"/>
      <c r="F1528" s="14"/>
      <c r="G1528" s="14"/>
      <c r="H1528" s="14"/>
      <c r="I1528" s="67"/>
      <c r="J1528" s="14"/>
      <c r="K1528" s="14"/>
      <c r="L1528" s="14"/>
      <c r="M1528" s="14"/>
    </row>
    <row r="1529" spans="1:13" x14ac:dyDescent="0.25">
      <c r="A1529" s="14"/>
      <c r="B1529" s="14"/>
      <c r="C1529" s="14"/>
      <c r="D1529" s="92"/>
      <c r="E1529" s="14"/>
      <c r="F1529" s="14"/>
      <c r="G1529" s="14"/>
      <c r="H1529" s="14"/>
      <c r="I1529" s="67"/>
      <c r="J1529" s="14"/>
      <c r="K1529" s="14"/>
      <c r="L1529" s="14"/>
      <c r="M1529" s="14"/>
    </row>
    <row r="1530" spans="1:13" x14ac:dyDescent="0.25">
      <c r="A1530" s="14"/>
      <c r="B1530" s="14"/>
      <c r="C1530" s="14"/>
      <c r="D1530" s="92"/>
      <c r="E1530" s="14"/>
      <c r="F1530" s="14"/>
      <c r="G1530" s="14"/>
      <c r="H1530" s="14"/>
      <c r="I1530" s="67"/>
      <c r="J1530" s="14"/>
      <c r="K1530" s="14"/>
      <c r="L1530" s="14"/>
      <c r="M1530" s="14"/>
    </row>
    <row r="1531" spans="1:13" x14ac:dyDescent="0.25">
      <c r="A1531" s="14"/>
      <c r="B1531" s="14"/>
      <c r="C1531" s="14"/>
      <c r="D1531" s="92"/>
      <c r="E1531" s="14"/>
      <c r="F1531" s="14"/>
      <c r="G1531" s="14"/>
      <c r="H1531" s="14"/>
      <c r="I1531" s="67"/>
      <c r="J1531" s="14"/>
      <c r="K1531" s="14"/>
      <c r="L1531" s="14"/>
      <c r="M1531" s="14"/>
    </row>
    <row r="1532" spans="1:13" x14ac:dyDescent="0.25">
      <c r="A1532" s="14"/>
      <c r="B1532" s="14"/>
      <c r="C1532" s="14"/>
      <c r="D1532" s="92"/>
      <c r="E1532" s="14"/>
      <c r="F1532" s="14"/>
      <c r="G1532" s="14"/>
      <c r="H1532" s="14"/>
      <c r="I1532" s="67"/>
      <c r="J1532" s="14"/>
      <c r="K1532" s="14"/>
      <c r="L1532" s="14"/>
      <c r="M1532" s="14"/>
    </row>
    <row r="1533" spans="1:13" x14ac:dyDescent="0.25">
      <c r="A1533" s="14"/>
      <c r="B1533" s="14"/>
      <c r="C1533" s="14"/>
      <c r="D1533" s="92"/>
      <c r="E1533" s="14"/>
      <c r="F1533" s="14"/>
      <c r="G1533" s="14"/>
      <c r="H1533" s="14"/>
      <c r="I1533" s="67"/>
      <c r="J1533" s="14"/>
      <c r="K1533" s="14"/>
      <c r="L1533" s="14"/>
      <c r="M1533" s="14"/>
    </row>
    <row r="1534" spans="1:13" x14ac:dyDescent="0.25">
      <c r="A1534" s="14"/>
      <c r="B1534" s="14"/>
      <c r="C1534" s="14"/>
      <c r="D1534" s="92"/>
      <c r="E1534" s="14"/>
      <c r="F1534" s="14"/>
      <c r="G1534" s="14"/>
      <c r="H1534" s="14"/>
      <c r="I1534" s="67"/>
      <c r="J1534" s="14"/>
      <c r="K1534" s="14"/>
      <c r="L1534" s="14"/>
      <c r="M1534" s="14"/>
    </row>
    <row r="1535" spans="1:13" x14ac:dyDescent="0.25">
      <c r="A1535" s="14"/>
      <c r="B1535" s="14"/>
      <c r="C1535" s="14"/>
      <c r="D1535" s="92"/>
      <c r="E1535" s="14"/>
      <c r="F1535" s="14"/>
      <c r="G1535" s="14"/>
      <c r="H1535" s="14"/>
      <c r="I1535" s="67"/>
      <c r="J1535" s="14"/>
      <c r="K1535" s="14"/>
      <c r="L1535" s="14"/>
      <c r="M1535" s="14"/>
    </row>
    <row r="1536" spans="1:13" x14ac:dyDescent="0.25">
      <c r="A1536" s="14"/>
      <c r="B1536" s="14"/>
      <c r="C1536" s="14"/>
      <c r="D1536" s="92"/>
      <c r="E1536" s="14"/>
      <c r="F1536" s="14"/>
      <c r="G1536" s="14"/>
      <c r="H1536" s="14"/>
      <c r="I1536" s="67"/>
      <c r="J1536" s="14"/>
      <c r="K1536" s="14"/>
      <c r="L1536" s="14"/>
      <c r="M1536" s="14"/>
    </row>
    <row r="1537" spans="1:13" x14ac:dyDescent="0.25">
      <c r="A1537" s="14"/>
      <c r="B1537" s="14"/>
      <c r="C1537" s="14"/>
      <c r="D1537" s="92"/>
      <c r="E1537" s="14"/>
      <c r="F1537" s="14"/>
      <c r="G1537" s="14"/>
      <c r="H1537" s="14"/>
      <c r="I1537" s="67"/>
      <c r="J1537" s="14"/>
      <c r="K1537" s="14"/>
      <c r="L1537" s="14"/>
      <c r="M1537" s="14"/>
    </row>
    <row r="1538" spans="1:13" x14ac:dyDescent="0.25">
      <c r="A1538" s="14"/>
      <c r="B1538" s="14"/>
      <c r="C1538" s="14"/>
      <c r="D1538" s="92"/>
      <c r="E1538" s="14"/>
      <c r="F1538" s="14"/>
      <c r="G1538" s="14"/>
      <c r="H1538" s="14"/>
      <c r="I1538" s="67"/>
      <c r="J1538" s="14"/>
      <c r="K1538" s="14"/>
      <c r="L1538" s="14"/>
      <c r="M1538" s="14"/>
    </row>
    <row r="1539" spans="1:13" x14ac:dyDescent="0.25">
      <c r="A1539" s="14"/>
      <c r="B1539" s="14"/>
      <c r="C1539" s="14"/>
      <c r="D1539" s="92"/>
      <c r="E1539" s="14"/>
      <c r="F1539" s="14"/>
      <c r="G1539" s="14"/>
      <c r="H1539" s="14"/>
      <c r="I1539" s="67"/>
      <c r="J1539" s="14"/>
      <c r="K1539" s="14"/>
      <c r="L1539" s="14"/>
      <c r="M1539" s="14"/>
    </row>
    <row r="1540" spans="1:13" x14ac:dyDescent="0.25">
      <c r="A1540" s="14"/>
      <c r="B1540" s="14"/>
      <c r="C1540" s="14"/>
      <c r="D1540" s="92"/>
      <c r="E1540" s="14"/>
      <c r="F1540" s="14"/>
      <c r="G1540" s="14"/>
      <c r="H1540" s="14"/>
      <c r="I1540" s="67"/>
      <c r="J1540" s="14"/>
      <c r="K1540" s="14"/>
      <c r="L1540" s="14"/>
      <c r="M1540" s="14"/>
    </row>
    <row r="1541" spans="1:13" x14ac:dyDescent="0.25">
      <c r="A1541" s="14"/>
      <c r="B1541" s="14"/>
      <c r="C1541" s="14"/>
      <c r="D1541" s="92"/>
      <c r="E1541" s="14"/>
      <c r="F1541" s="14"/>
      <c r="G1541" s="14"/>
      <c r="H1541" s="14"/>
      <c r="I1541" s="67"/>
      <c r="J1541" s="14"/>
      <c r="K1541" s="14"/>
      <c r="L1541" s="14"/>
      <c r="M1541" s="14"/>
    </row>
    <row r="1542" spans="1:13" x14ac:dyDescent="0.25">
      <c r="A1542" s="14"/>
      <c r="B1542" s="14"/>
      <c r="C1542" s="14"/>
      <c r="D1542" s="92"/>
      <c r="E1542" s="14"/>
      <c r="F1542" s="14"/>
      <c r="G1542" s="14"/>
      <c r="H1542" s="14"/>
      <c r="I1542" s="67"/>
      <c r="J1542" s="14"/>
      <c r="K1542" s="14"/>
      <c r="L1542" s="14"/>
      <c r="M1542" s="14"/>
    </row>
    <row r="1543" spans="1:13" x14ac:dyDescent="0.25">
      <c r="A1543" s="14"/>
      <c r="B1543" s="14"/>
      <c r="C1543" s="14"/>
      <c r="D1543" s="92"/>
      <c r="E1543" s="14"/>
      <c r="F1543" s="14"/>
      <c r="G1543" s="14"/>
      <c r="H1543" s="14"/>
      <c r="I1543" s="67"/>
      <c r="J1543" s="14"/>
      <c r="K1543" s="14"/>
      <c r="L1543" s="14"/>
      <c r="M1543" s="14"/>
    </row>
    <row r="1544" spans="1:13" x14ac:dyDescent="0.25">
      <c r="A1544" s="14"/>
      <c r="B1544" s="14"/>
      <c r="C1544" s="14"/>
      <c r="D1544" s="92"/>
      <c r="E1544" s="14"/>
      <c r="F1544" s="14"/>
      <c r="G1544" s="14"/>
      <c r="H1544" s="14"/>
      <c r="I1544" s="67"/>
      <c r="J1544" s="14"/>
      <c r="K1544" s="14"/>
      <c r="L1544" s="14"/>
      <c r="M1544" s="14"/>
    </row>
    <row r="1545" spans="1:13" x14ac:dyDescent="0.25">
      <c r="A1545" s="14"/>
      <c r="B1545" s="14"/>
      <c r="C1545" s="14"/>
      <c r="D1545" s="92"/>
      <c r="E1545" s="14"/>
      <c r="F1545" s="14"/>
      <c r="G1545" s="14"/>
      <c r="H1545" s="14"/>
      <c r="I1545" s="67"/>
      <c r="J1545" s="14"/>
      <c r="K1545" s="14"/>
      <c r="L1545" s="14"/>
      <c r="M1545" s="14"/>
    </row>
    <row r="1546" spans="1:13" x14ac:dyDescent="0.25">
      <c r="A1546" s="14"/>
      <c r="B1546" s="14"/>
      <c r="C1546" s="14"/>
      <c r="D1546" s="92"/>
      <c r="E1546" s="14"/>
      <c r="F1546" s="14"/>
      <c r="G1546" s="14"/>
      <c r="H1546" s="14"/>
      <c r="I1546" s="67"/>
      <c r="J1546" s="14"/>
      <c r="K1546" s="14"/>
      <c r="L1546" s="14"/>
      <c r="M1546" s="14"/>
    </row>
    <row r="1547" spans="1:13" x14ac:dyDescent="0.25">
      <c r="A1547" s="14"/>
      <c r="B1547" s="14"/>
      <c r="C1547" s="14"/>
      <c r="D1547" s="92"/>
      <c r="E1547" s="14"/>
      <c r="F1547" s="14"/>
      <c r="G1547" s="14"/>
      <c r="H1547" s="14"/>
      <c r="I1547" s="67"/>
      <c r="J1547" s="14"/>
      <c r="K1547" s="14"/>
      <c r="L1547" s="14"/>
      <c r="M1547" s="14"/>
    </row>
    <row r="1548" spans="1:13" x14ac:dyDescent="0.25">
      <c r="A1548" s="14"/>
      <c r="B1548" s="14"/>
      <c r="C1548" s="14"/>
      <c r="D1548" s="92"/>
      <c r="E1548" s="14"/>
      <c r="F1548" s="14"/>
      <c r="G1548" s="14"/>
      <c r="H1548" s="14"/>
      <c r="I1548" s="67"/>
      <c r="J1548" s="14"/>
      <c r="K1548" s="14"/>
      <c r="L1548" s="14"/>
      <c r="M1548" s="14"/>
    </row>
    <row r="1549" spans="1:13" x14ac:dyDescent="0.25">
      <c r="A1549" s="14"/>
      <c r="B1549" s="14"/>
      <c r="C1549" s="14"/>
      <c r="D1549" s="92"/>
      <c r="E1549" s="14"/>
      <c r="F1549" s="14"/>
      <c r="G1549" s="14"/>
      <c r="H1549" s="14"/>
      <c r="I1549" s="67"/>
      <c r="J1549" s="14"/>
      <c r="K1549" s="14"/>
      <c r="L1549" s="14"/>
      <c r="M1549" s="14"/>
    </row>
    <row r="1550" spans="1:13" x14ac:dyDescent="0.25">
      <c r="A1550" s="14"/>
      <c r="B1550" s="14"/>
      <c r="C1550" s="14"/>
      <c r="D1550" s="92"/>
      <c r="E1550" s="14"/>
      <c r="F1550" s="14"/>
      <c r="G1550" s="14"/>
      <c r="H1550" s="14"/>
      <c r="I1550" s="67"/>
      <c r="J1550" s="14"/>
      <c r="K1550" s="14"/>
      <c r="L1550" s="14"/>
      <c r="M1550" s="14"/>
    </row>
    <row r="1551" spans="1:13" x14ac:dyDescent="0.25">
      <c r="A1551" s="14"/>
      <c r="B1551" s="14"/>
      <c r="C1551" s="14"/>
      <c r="D1551" s="92"/>
      <c r="E1551" s="14"/>
      <c r="F1551" s="14"/>
      <c r="G1551" s="14"/>
      <c r="H1551" s="14"/>
      <c r="I1551" s="67"/>
      <c r="J1551" s="14"/>
      <c r="K1551" s="14"/>
      <c r="L1551" s="14"/>
      <c r="M1551" s="14"/>
    </row>
    <row r="1552" spans="1:13" x14ac:dyDescent="0.25">
      <c r="A1552" s="14"/>
      <c r="B1552" s="14"/>
      <c r="C1552" s="14"/>
      <c r="D1552" s="92"/>
      <c r="E1552" s="14"/>
      <c r="F1552" s="14"/>
      <c r="G1552" s="14"/>
      <c r="H1552" s="14"/>
      <c r="I1552" s="67"/>
      <c r="J1552" s="14"/>
      <c r="K1552" s="14"/>
      <c r="L1552" s="14"/>
      <c r="M1552" s="14"/>
    </row>
    <row r="1553" spans="1:13" x14ac:dyDescent="0.25">
      <c r="A1553" s="14"/>
      <c r="B1553" s="14"/>
      <c r="C1553" s="14"/>
      <c r="D1553" s="92"/>
      <c r="E1553" s="14"/>
      <c r="F1553" s="14"/>
      <c r="G1553" s="14"/>
      <c r="H1553" s="14"/>
      <c r="I1553" s="67"/>
      <c r="J1553" s="14"/>
      <c r="K1553" s="14"/>
      <c r="L1553" s="14"/>
      <c r="M1553" s="14"/>
    </row>
    <row r="1554" spans="1:13" x14ac:dyDescent="0.25">
      <c r="A1554" s="14"/>
      <c r="B1554" s="14"/>
      <c r="C1554" s="14"/>
      <c r="D1554" s="92"/>
      <c r="E1554" s="14"/>
      <c r="F1554" s="14"/>
      <c r="G1554" s="14"/>
      <c r="H1554" s="14"/>
      <c r="I1554" s="67"/>
      <c r="J1554" s="14"/>
      <c r="K1554" s="14"/>
      <c r="L1554" s="14"/>
      <c r="M1554" s="14"/>
    </row>
    <row r="1555" spans="1:13" x14ac:dyDescent="0.25">
      <c r="A1555" s="14"/>
      <c r="B1555" s="14"/>
      <c r="C1555" s="14"/>
      <c r="D1555" s="92"/>
      <c r="E1555" s="14"/>
      <c r="F1555" s="14"/>
      <c r="G1555" s="14"/>
      <c r="H1555" s="14"/>
      <c r="I1555" s="67"/>
      <c r="J1555" s="14"/>
      <c r="K1555" s="14"/>
      <c r="L1555" s="14"/>
      <c r="M1555" s="14"/>
    </row>
    <row r="1556" spans="1:13" x14ac:dyDescent="0.25">
      <c r="A1556" s="14"/>
      <c r="B1556" s="14"/>
      <c r="C1556" s="14"/>
      <c r="D1556" s="92"/>
      <c r="E1556" s="14"/>
      <c r="F1556" s="14"/>
      <c r="G1556" s="14"/>
      <c r="H1556" s="14"/>
      <c r="I1556" s="67"/>
      <c r="J1556" s="14"/>
      <c r="K1556" s="14"/>
      <c r="L1556" s="14"/>
      <c r="M1556" s="14"/>
    </row>
    <row r="1557" spans="1:13" x14ac:dyDescent="0.25">
      <c r="A1557" s="14"/>
      <c r="B1557" s="14"/>
      <c r="C1557" s="14"/>
      <c r="D1557" s="92"/>
      <c r="E1557" s="14"/>
      <c r="F1557" s="14"/>
      <c r="G1557" s="14"/>
      <c r="H1557" s="14"/>
      <c r="I1557" s="67"/>
      <c r="J1557" s="14"/>
      <c r="K1557" s="14"/>
      <c r="L1557" s="14"/>
      <c r="M1557" s="14"/>
    </row>
    <row r="1558" spans="1:13" x14ac:dyDescent="0.25">
      <c r="A1558" s="14"/>
      <c r="B1558" s="14"/>
      <c r="C1558" s="14"/>
      <c r="D1558" s="92"/>
      <c r="E1558" s="14"/>
      <c r="F1558" s="14"/>
      <c r="G1558" s="14"/>
      <c r="H1558" s="14"/>
      <c r="I1558" s="67"/>
      <c r="J1558" s="14"/>
      <c r="K1558" s="14"/>
      <c r="L1558" s="14"/>
      <c r="M1558" s="14"/>
    </row>
    <row r="1559" spans="1:13" x14ac:dyDescent="0.25">
      <c r="A1559" s="14"/>
      <c r="B1559" s="14"/>
      <c r="C1559" s="14"/>
      <c r="D1559" s="92"/>
      <c r="E1559" s="14"/>
      <c r="F1559" s="14"/>
      <c r="G1559" s="14"/>
      <c r="H1559" s="14"/>
      <c r="I1559" s="67"/>
      <c r="J1559" s="14"/>
      <c r="K1559" s="14"/>
      <c r="L1559" s="14"/>
      <c r="M1559" s="14"/>
    </row>
    <row r="1560" spans="1:13" x14ac:dyDescent="0.25">
      <c r="A1560" s="14"/>
      <c r="B1560" s="14"/>
      <c r="C1560" s="14"/>
      <c r="D1560" s="92"/>
      <c r="E1560" s="14"/>
      <c r="F1560" s="14"/>
      <c r="G1560" s="14"/>
      <c r="H1560" s="14"/>
      <c r="I1560" s="67"/>
      <c r="J1560" s="14"/>
      <c r="K1560" s="14"/>
      <c r="L1560" s="14"/>
      <c r="M1560" s="14"/>
    </row>
    <row r="1561" spans="1:13" x14ac:dyDescent="0.25">
      <c r="A1561" s="14"/>
      <c r="B1561" s="14"/>
      <c r="C1561" s="14"/>
      <c r="D1561" s="92"/>
      <c r="E1561" s="14"/>
      <c r="F1561" s="14"/>
      <c r="G1561" s="14"/>
      <c r="H1561" s="14"/>
      <c r="I1561" s="67"/>
      <c r="J1561" s="14"/>
      <c r="K1561" s="14"/>
      <c r="L1561" s="14"/>
      <c r="M1561" s="14"/>
    </row>
    <row r="1562" spans="1:13" x14ac:dyDescent="0.25">
      <c r="A1562" s="14"/>
      <c r="B1562" s="14"/>
      <c r="C1562" s="14"/>
      <c r="D1562" s="92"/>
      <c r="E1562" s="14"/>
      <c r="F1562" s="14"/>
      <c r="G1562" s="14"/>
      <c r="H1562" s="14"/>
      <c r="I1562" s="67"/>
      <c r="J1562" s="14"/>
      <c r="K1562" s="14"/>
      <c r="L1562" s="14"/>
      <c r="M1562" s="14"/>
    </row>
    <row r="1563" spans="1:13" x14ac:dyDescent="0.25">
      <c r="A1563" s="14"/>
      <c r="B1563" s="14"/>
      <c r="C1563" s="14"/>
      <c r="D1563" s="92"/>
      <c r="E1563" s="14"/>
      <c r="F1563" s="14"/>
      <c r="G1563" s="14"/>
      <c r="H1563" s="14"/>
      <c r="I1563" s="67"/>
      <c r="J1563" s="14"/>
      <c r="K1563" s="14"/>
      <c r="L1563" s="14"/>
      <c r="M1563" s="14"/>
    </row>
    <row r="1564" spans="1:13" x14ac:dyDescent="0.25">
      <c r="A1564" s="14"/>
      <c r="B1564" s="14"/>
      <c r="C1564" s="14"/>
      <c r="D1564" s="92"/>
      <c r="E1564" s="14"/>
      <c r="F1564" s="14"/>
      <c r="G1564" s="14"/>
      <c r="H1564" s="14"/>
      <c r="I1564" s="67"/>
      <c r="J1564" s="14"/>
      <c r="K1564" s="14"/>
      <c r="L1564" s="14"/>
      <c r="M1564" s="14"/>
    </row>
    <row r="1565" spans="1:13" x14ac:dyDescent="0.25">
      <c r="A1565" s="14"/>
      <c r="B1565" s="14"/>
      <c r="C1565" s="14"/>
      <c r="D1565" s="92"/>
      <c r="E1565" s="14"/>
      <c r="F1565" s="14"/>
      <c r="G1565" s="14"/>
      <c r="H1565" s="14"/>
      <c r="I1565" s="67"/>
      <c r="J1565" s="14"/>
      <c r="K1565" s="14"/>
      <c r="L1565" s="14"/>
      <c r="M1565" s="14"/>
    </row>
    <row r="1566" spans="1:13" x14ac:dyDescent="0.25">
      <c r="A1566" s="14"/>
      <c r="B1566" s="14"/>
      <c r="C1566" s="14"/>
      <c r="D1566" s="92"/>
      <c r="E1566" s="14"/>
      <c r="F1566" s="14"/>
      <c r="G1566" s="14"/>
      <c r="H1566" s="14"/>
      <c r="I1566" s="67"/>
      <c r="J1566" s="14"/>
      <c r="K1566" s="14"/>
      <c r="L1566" s="14"/>
      <c r="M1566" s="14"/>
    </row>
    <row r="1567" spans="1:13" x14ac:dyDescent="0.25">
      <c r="A1567" s="14"/>
      <c r="B1567" s="14"/>
      <c r="C1567" s="14"/>
      <c r="D1567" s="92"/>
      <c r="E1567" s="14"/>
      <c r="F1567" s="14"/>
      <c r="G1567" s="14"/>
      <c r="H1567" s="14"/>
      <c r="I1567" s="67"/>
      <c r="J1567" s="14"/>
      <c r="K1567" s="14"/>
      <c r="L1567" s="14"/>
      <c r="M1567" s="14"/>
    </row>
    <row r="1568" spans="1:13" x14ac:dyDescent="0.25">
      <c r="A1568" s="14"/>
      <c r="B1568" s="14"/>
      <c r="C1568" s="14"/>
      <c r="D1568" s="92"/>
      <c r="E1568" s="14"/>
      <c r="F1568" s="14"/>
      <c r="G1568" s="14"/>
      <c r="H1568" s="14"/>
      <c r="I1568" s="67"/>
      <c r="J1568" s="14"/>
      <c r="K1568" s="14"/>
      <c r="L1568" s="14"/>
      <c r="M1568" s="14"/>
    </row>
    <row r="1569" spans="1:13" x14ac:dyDescent="0.25">
      <c r="A1569" s="14"/>
      <c r="B1569" s="14"/>
      <c r="C1569" s="14"/>
      <c r="D1569" s="92"/>
      <c r="E1569" s="14"/>
      <c r="F1569" s="14"/>
      <c r="G1569" s="14"/>
      <c r="H1569" s="14"/>
      <c r="I1569" s="67"/>
      <c r="J1569" s="14"/>
      <c r="K1569" s="14"/>
      <c r="L1569" s="14"/>
      <c r="M1569" s="14"/>
    </row>
    <row r="1570" spans="1:13" x14ac:dyDescent="0.25">
      <c r="A1570" s="14"/>
      <c r="B1570" s="14"/>
      <c r="C1570" s="14"/>
      <c r="D1570" s="92"/>
      <c r="E1570" s="14"/>
      <c r="F1570" s="14"/>
      <c r="G1570" s="14"/>
      <c r="H1570" s="14"/>
      <c r="I1570" s="67"/>
      <c r="J1570" s="14"/>
      <c r="K1570" s="14"/>
      <c r="L1570" s="14"/>
      <c r="M1570" s="14"/>
    </row>
    <row r="1571" spans="1:13" x14ac:dyDescent="0.25">
      <c r="A1571" s="14"/>
      <c r="B1571" s="14"/>
      <c r="C1571" s="14"/>
      <c r="D1571" s="92"/>
      <c r="E1571" s="14"/>
      <c r="F1571" s="14"/>
      <c r="G1571" s="14"/>
      <c r="H1571" s="14"/>
      <c r="I1571" s="67"/>
      <c r="J1571" s="14"/>
      <c r="K1571" s="14"/>
      <c r="L1571" s="14"/>
      <c r="M1571" s="14"/>
    </row>
    <row r="1572" spans="1:13" x14ac:dyDescent="0.25">
      <c r="A1572" s="14"/>
      <c r="B1572" s="14"/>
      <c r="C1572" s="14"/>
      <c r="D1572" s="92"/>
      <c r="E1572" s="14"/>
      <c r="F1572" s="14"/>
      <c r="G1572" s="14"/>
      <c r="H1572" s="14"/>
      <c r="I1572" s="67"/>
      <c r="J1572" s="14"/>
      <c r="K1572" s="14"/>
      <c r="L1572" s="14"/>
      <c r="M1572" s="14"/>
    </row>
    <row r="1573" spans="1:13" x14ac:dyDescent="0.25">
      <c r="A1573" s="14"/>
      <c r="B1573" s="14"/>
      <c r="C1573" s="14"/>
      <c r="D1573" s="92"/>
      <c r="E1573" s="14"/>
      <c r="F1573" s="14"/>
      <c r="G1573" s="14"/>
      <c r="H1573" s="14"/>
      <c r="I1573" s="67"/>
      <c r="J1573" s="14"/>
      <c r="K1573" s="14"/>
      <c r="L1573" s="14"/>
      <c r="M1573" s="14"/>
    </row>
    <row r="1574" spans="1:13" x14ac:dyDescent="0.25">
      <c r="A1574" s="14"/>
      <c r="B1574" s="14"/>
      <c r="C1574" s="14"/>
      <c r="D1574" s="92"/>
      <c r="E1574" s="14"/>
      <c r="F1574" s="14"/>
      <c r="G1574" s="14"/>
      <c r="H1574" s="14"/>
      <c r="I1574" s="67"/>
      <c r="J1574" s="14"/>
      <c r="K1574" s="14"/>
      <c r="L1574" s="14"/>
      <c r="M1574" s="14"/>
    </row>
    <row r="1575" spans="1:13" x14ac:dyDescent="0.25">
      <c r="A1575" s="14"/>
      <c r="B1575" s="14"/>
      <c r="C1575" s="14"/>
      <c r="D1575" s="92"/>
      <c r="E1575" s="14"/>
      <c r="F1575" s="14"/>
      <c r="G1575" s="14"/>
      <c r="H1575" s="14"/>
      <c r="I1575" s="67"/>
      <c r="J1575" s="14"/>
      <c r="K1575" s="14"/>
      <c r="L1575" s="14"/>
      <c r="M1575" s="14"/>
    </row>
    <row r="1576" spans="1:13" x14ac:dyDescent="0.25">
      <c r="A1576" s="14"/>
      <c r="B1576" s="14"/>
      <c r="C1576" s="14"/>
      <c r="D1576" s="92"/>
      <c r="E1576" s="14"/>
      <c r="F1576" s="14"/>
      <c r="G1576" s="14"/>
      <c r="H1576" s="14"/>
      <c r="I1576" s="67"/>
      <c r="J1576" s="14"/>
      <c r="K1576" s="14"/>
      <c r="L1576" s="14"/>
      <c r="M1576" s="14"/>
    </row>
    <row r="1577" spans="1:13" x14ac:dyDescent="0.25">
      <c r="A1577" s="14"/>
      <c r="B1577" s="14"/>
      <c r="C1577" s="14"/>
      <c r="D1577" s="92"/>
      <c r="E1577" s="14"/>
      <c r="F1577" s="14"/>
      <c r="G1577" s="14"/>
      <c r="H1577" s="14"/>
      <c r="I1577" s="67"/>
      <c r="J1577" s="14"/>
      <c r="K1577" s="14"/>
      <c r="L1577" s="14"/>
      <c r="M1577" s="14"/>
    </row>
    <row r="1578" spans="1:13" x14ac:dyDescent="0.25">
      <c r="A1578" s="14"/>
      <c r="B1578" s="14"/>
      <c r="C1578" s="14"/>
      <c r="D1578" s="92"/>
      <c r="E1578" s="14"/>
      <c r="F1578" s="14"/>
      <c r="G1578" s="14"/>
      <c r="H1578" s="14"/>
      <c r="I1578" s="67"/>
      <c r="J1578" s="14"/>
      <c r="K1578" s="14"/>
      <c r="L1578" s="14"/>
      <c r="M1578" s="14"/>
    </row>
    <row r="1579" spans="1:13" x14ac:dyDescent="0.25">
      <c r="A1579" s="14"/>
      <c r="B1579" s="14"/>
      <c r="C1579" s="14"/>
      <c r="D1579" s="92"/>
      <c r="E1579" s="14"/>
      <c r="F1579" s="14"/>
      <c r="G1579" s="14"/>
      <c r="H1579" s="14"/>
      <c r="I1579" s="67"/>
      <c r="J1579" s="14"/>
      <c r="K1579" s="14"/>
      <c r="L1579" s="14"/>
      <c r="M1579" s="14"/>
    </row>
    <row r="1580" spans="1:13" x14ac:dyDescent="0.25">
      <c r="A1580" s="14"/>
      <c r="B1580" s="14"/>
      <c r="C1580" s="14"/>
      <c r="D1580" s="92"/>
      <c r="E1580" s="14"/>
      <c r="F1580" s="14"/>
      <c r="G1580" s="14"/>
      <c r="H1580" s="14"/>
      <c r="I1580" s="67"/>
      <c r="J1580" s="14"/>
      <c r="K1580" s="14"/>
      <c r="L1580" s="14"/>
      <c r="M1580" s="14"/>
    </row>
    <row r="1581" spans="1:13" x14ac:dyDescent="0.25">
      <c r="A1581" s="14"/>
      <c r="B1581" s="14"/>
      <c r="C1581" s="14"/>
      <c r="D1581" s="92"/>
      <c r="E1581" s="14"/>
      <c r="F1581" s="14"/>
      <c r="G1581" s="14"/>
      <c r="H1581" s="14"/>
      <c r="I1581" s="67"/>
      <c r="J1581" s="14"/>
      <c r="K1581" s="14"/>
      <c r="L1581" s="14"/>
      <c r="M1581" s="14"/>
    </row>
    <row r="1582" spans="1:13" x14ac:dyDescent="0.25">
      <c r="A1582" s="14"/>
      <c r="B1582" s="14"/>
      <c r="C1582" s="14"/>
      <c r="D1582" s="92"/>
      <c r="E1582" s="14"/>
      <c r="F1582" s="14"/>
      <c r="G1582" s="14"/>
      <c r="H1582" s="14"/>
      <c r="I1582" s="67"/>
      <c r="J1582" s="14"/>
      <c r="K1582" s="14"/>
      <c r="L1582" s="14"/>
      <c r="M1582" s="14"/>
    </row>
    <row r="1583" spans="1:13" x14ac:dyDescent="0.25">
      <c r="A1583" s="14"/>
      <c r="B1583" s="14"/>
      <c r="C1583" s="14"/>
      <c r="D1583" s="92"/>
      <c r="E1583" s="14"/>
      <c r="F1583" s="14"/>
      <c r="G1583" s="14"/>
      <c r="H1583" s="14"/>
      <c r="I1583" s="67"/>
      <c r="J1583" s="14"/>
      <c r="K1583" s="14"/>
      <c r="L1583" s="14"/>
      <c r="M1583" s="14"/>
    </row>
    <row r="1584" spans="1:13" x14ac:dyDescent="0.25">
      <c r="A1584" s="14"/>
      <c r="B1584" s="14"/>
      <c r="C1584" s="14"/>
      <c r="D1584" s="92"/>
      <c r="E1584" s="14"/>
      <c r="F1584" s="14"/>
      <c r="G1584" s="14"/>
      <c r="H1584" s="14"/>
      <c r="I1584" s="67"/>
      <c r="J1584" s="14"/>
      <c r="K1584" s="14"/>
      <c r="L1584" s="14"/>
      <c r="M1584" s="14"/>
    </row>
    <row r="1585" spans="1:13" x14ac:dyDescent="0.25">
      <c r="A1585" s="14"/>
      <c r="B1585" s="14"/>
      <c r="C1585" s="14"/>
      <c r="D1585" s="92"/>
      <c r="E1585" s="14"/>
      <c r="F1585" s="14"/>
      <c r="G1585" s="14"/>
      <c r="H1585" s="14"/>
      <c r="I1585" s="67"/>
      <c r="J1585" s="14"/>
      <c r="K1585" s="14"/>
      <c r="L1585" s="14"/>
      <c r="M1585" s="14"/>
    </row>
    <row r="1586" spans="1:13" x14ac:dyDescent="0.25">
      <c r="A1586" s="14"/>
      <c r="B1586" s="14"/>
      <c r="C1586" s="14"/>
      <c r="D1586" s="92"/>
      <c r="E1586" s="14"/>
      <c r="F1586" s="14"/>
      <c r="G1586" s="14"/>
      <c r="H1586" s="14"/>
      <c r="I1586" s="67"/>
      <c r="J1586" s="14"/>
      <c r="K1586" s="14"/>
      <c r="L1586" s="14"/>
      <c r="M1586" s="14"/>
    </row>
    <row r="1587" spans="1:13" x14ac:dyDescent="0.25">
      <c r="A1587" s="14"/>
      <c r="B1587" s="14"/>
      <c r="C1587" s="14"/>
      <c r="D1587" s="92"/>
      <c r="E1587" s="14"/>
      <c r="F1587" s="14"/>
      <c r="G1587" s="14"/>
      <c r="H1587" s="14"/>
      <c r="I1587" s="67"/>
      <c r="J1587" s="14"/>
      <c r="K1587" s="14"/>
      <c r="L1587" s="14"/>
      <c r="M1587" s="14"/>
    </row>
    <row r="1588" spans="1:13" x14ac:dyDescent="0.25">
      <c r="A1588" s="14"/>
      <c r="B1588" s="14"/>
      <c r="C1588" s="14"/>
      <c r="D1588" s="92"/>
      <c r="E1588" s="14"/>
      <c r="F1588" s="14"/>
      <c r="G1588" s="14"/>
      <c r="H1588" s="14"/>
      <c r="I1588" s="67"/>
      <c r="J1588" s="14"/>
      <c r="K1588" s="14"/>
      <c r="L1588" s="14"/>
      <c r="M1588" s="14"/>
    </row>
    <row r="1589" spans="1:13" x14ac:dyDescent="0.25">
      <c r="A1589" s="14"/>
      <c r="B1589" s="14"/>
      <c r="C1589" s="14"/>
      <c r="D1589" s="92"/>
      <c r="E1589" s="14"/>
      <c r="F1589" s="14"/>
      <c r="G1589" s="14"/>
      <c r="H1589" s="14"/>
      <c r="I1589" s="67"/>
      <c r="J1589" s="14"/>
      <c r="K1589" s="14"/>
      <c r="L1589" s="14"/>
      <c r="M1589" s="14"/>
    </row>
    <row r="1590" spans="1:13" x14ac:dyDescent="0.25">
      <c r="A1590" s="14"/>
      <c r="B1590" s="14"/>
      <c r="C1590" s="14"/>
      <c r="D1590" s="92"/>
      <c r="E1590" s="14"/>
      <c r="F1590" s="14"/>
      <c r="G1590" s="14"/>
      <c r="H1590" s="14"/>
      <c r="I1590" s="67"/>
      <c r="J1590" s="14"/>
      <c r="K1590" s="14"/>
      <c r="L1590" s="14"/>
      <c r="M1590" s="14"/>
    </row>
    <row r="1591" spans="1:13" x14ac:dyDescent="0.25">
      <c r="A1591" s="14"/>
      <c r="B1591" s="14"/>
      <c r="C1591" s="14"/>
      <c r="D1591" s="92"/>
      <c r="E1591" s="14"/>
      <c r="F1591" s="14"/>
      <c r="G1591" s="14"/>
      <c r="H1591" s="14"/>
      <c r="I1591" s="67"/>
      <c r="J1591" s="14"/>
      <c r="K1591" s="14"/>
      <c r="L1591" s="14"/>
      <c r="M1591" s="14"/>
    </row>
    <row r="1592" spans="1:13" x14ac:dyDescent="0.25">
      <c r="A1592" s="14"/>
      <c r="B1592" s="14"/>
      <c r="C1592" s="14"/>
      <c r="D1592" s="92"/>
      <c r="E1592" s="14"/>
      <c r="F1592" s="14"/>
      <c r="G1592" s="14"/>
      <c r="H1592" s="14"/>
      <c r="I1592" s="67"/>
      <c r="J1592" s="14"/>
      <c r="K1592" s="14"/>
      <c r="L1592" s="14"/>
      <c r="M1592" s="14"/>
    </row>
    <row r="1593" spans="1:13" x14ac:dyDescent="0.25">
      <c r="A1593" s="14"/>
      <c r="B1593" s="14"/>
      <c r="C1593" s="14"/>
      <c r="D1593" s="92"/>
      <c r="E1593" s="14"/>
      <c r="F1593" s="14"/>
      <c r="G1593" s="14"/>
      <c r="H1593" s="14"/>
      <c r="I1593" s="67"/>
      <c r="J1593" s="14"/>
      <c r="K1593" s="14"/>
      <c r="L1593" s="14"/>
      <c r="M1593" s="14"/>
    </row>
    <row r="1594" spans="1:13" x14ac:dyDescent="0.25">
      <c r="A1594" s="14"/>
      <c r="B1594" s="14"/>
      <c r="C1594" s="14"/>
      <c r="D1594" s="92"/>
      <c r="E1594" s="14"/>
      <c r="F1594" s="14"/>
      <c r="G1594" s="14"/>
      <c r="H1594" s="14"/>
      <c r="I1594" s="67"/>
      <c r="J1594" s="14"/>
      <c r="K1594" s="14"/>
      <c r="L1594" s="14"/>
      <c r="M1594" s="14"/>
    </row>
    <row r="1595" spans="1:13" x14ac:dyDescent="0.25">
      <c r="A1595" s="14"/>
      <c r="B1595" s="14"/>
      <c r="C1595" s="14"/>
      <c r="D1595" s="92"/>
      <c r="E1595" s="14"/>
      <c r="F1595" s="14"/>
      <c r="G1595" s="14"/>
      <c r="H1595" s="14"/>
      <c r="I1595" s="67"/>
      <c r="J1595" s="14"/>
      <c r="K1595" s="14"/>
      <c r="L1595" s="14"/>
      <c r="M1595" s="14"/>
    </row>
    <row r="1596" spans="1:13" x14ac:dyDescent="0.25">
      <c r="A1596" s="14"/>
      <c r="B1596" s="14"/>
      <c r="C1596" s="14"/>
      <c r="D1596" s="92"/>
      <c r="E1596" s="14"/>
      <c r="F1596" s="14"/>
      <c r="G1596" s="14"/>
      <c r="H1596" s="14"/>
      <c r="I1596" s="67"/>
      <c r="J1596" s="14"/>
      <c r="K1596" s="14"/>
      <c r="L1596" s="14"/>
      <c r="M1596" s="14"/>
    </row>
    <row r="1597" spans="1:13" x14ac:dyDescent="0.25">
      <c r="A1597" s="14"/>
      <c r="B1597" s="14"/>
      <c r="C1597" s="14"/>
      <c r="D1597" s="92"/>
      <c r="E1597" s="14"/>
      <c r="F1597" s="14"/>
      <c r="G1597" s="14"/>
      <c r="H1597" s="14"/>
      <c r="I1597" s="67"/>
      <c r="J1597" s="14"/>
      <c r="K1597" s="14"/>
      <c r="L1597" s="14"/>
      <c r="M1597" s="14"/>
    </row>
    <row r="1598" spans="1:13" x14ac:dyDescent="0.25">
      <c r="A1598" s="14"/>
      <c r="B1598" s="14"/>
      <c r="C1598" s="14"/>
      <c r="D1598" s="92"/>
      <c r="E1598" s="14"/>
      <c r="F1598" s="14"/>
      <c r="G1598" s="14"/>
      <c r="H1598" s="14"/>
      <c r="I1598" s="67"/>
      <c r="J1598" s="14"/>
      <c r="K1598" s="14"/>
      <c r="L1598" s="14"/>
      <c r="M1598" s="14"/>
    </row>
    <row r="1599" spans="1:13" x14ac:dyDescent="0.25">
      <c r="A1599" s="14"/>
      <c r="B1599" s="14"/>
      <c r="C1599" s="14"/>
      <c r="D1599" s="92"/>
      <c r="E1599" s="14"/>
      <c r="F1599" s="14"/>
      <c r="G1599" s="14"/>
      <c r="H1599" s="14"/>
      <c r="I1599" s="67"/>
      <c r="J1599" s="14"/>
      <c r="K1599" s="14"/>
      <c r="L1599" s="14"/>
      <c r="M1599" s="14"/>
    </row>
    <row r="1600" spans="1:13" x14ac:dyDescent="0.25">
      <c r="A1600" s="14"/>
      <c r="B1600" s="14"/>
      <c r="C1600" s="14"/>
      <c r="D1600" s="92"/>
      <c r="E1600" s="14"/>
      <c r="F1600" s="14"/>
      <c r="G1600" s="14"/>
      <c r="H1600" s="14"/>
      <c r="I1600" s="67"/>
      <c r="J1600" s="14"/>
      <c r="K1600" s="14"/>
      <c r="L1600" s="14"/>
      <c r="M1600" s="14"/>
    </row>
    <row r="1601" spans="1:13" x14ac:dyDescent="0.25">
      <c r="A1601" s="14"/>
      <c r="B1601" s="14"/>
      <c r="C1601" s="14"/>
      <c r="D1601" s="92"/>
      <c r="E1601" s="14"/>
      <c r="F1601" s="14"/>
      <c r="G1601" s="14"/>
      <c r="H1601" s="14"/>
      <c r="I1601" s="67"/>
      <c r="J1601" s="14"/>
      <c r="K1601" s="14"/>
      <c r="L1601" s="14"/>
      <c r="M1601" s="14"/>
    </row>
    <row r="1602" spans="1:13" x14ac:dyDescent="0.25">
      <c r="A1602" s="14"/>
      <c r="B1602" s="14"/>
      <c r="C1602" s="14"/>
      <c r="D1602" s="92"/>
      <c r="E1602" s="14"/>
      <c r="F1602" s="14"/>
      <c r="G1602" s="14"/>
      <c r="H1602" s="14"/>
      <c r="I1602" s="67"/>
      <c r="J1602" s="14"/>
      <c r="K1602" s="14"/>
      <c r="L1602" s="14"/>
      <c r="M1602" s="14"/>
    </row>
    <row r="1603" spans="1:13" x14ac:dyDescent="0.25">
      <c r="A1603" s="14"/>
      <c r="B1603" s="14"/>
      <c r="C1603" s="14"/>
      <c r="D1603" s="92"/>
      <c r="E1603" s="14"/>
      <c r="F1603" s="14"/>
      <c r="G1603" s="14"/>
      <c r="H1603" s="14"/>
      <c r="I1603" s="67"/>
      <c r="J1603" s="14"/>
      <c r="K1603" s="14"/>
      <c r="L1603" s="14"/>
      <c r="M1603" s="14"/>
    </row>
    <row r="1604" spans="1:13" x14ac:dyDescent="0.25">
      <c r="A1604" s="14"/>
      <c r="B1604" s="14"/>
      <c r="C1604" s="14"/>
      <c r="D1604" s="92"/>
      <c r="E1604" s="14"/>
      <c r="F1604" s="14"/>
      <c r="G1604" s="14"/>
      <c r="H1604" s="14"/>
      <c r="I1604" s="67"/>
      <c r="J1604" s="14"/>
      <c r="K1604" s="14"/>
      <c r="L1604" s="14"/>
      <c r="M1604" s="14"/>
    </row>
    <row r="1605" spans="1:13" x14ac:dyDescent="0.25">
      <c r="A1605" s="14"/>
      <c r="B1605" s="14"/>
      <c r="C1605" s="14"/>
      <c r="D1605" s="92"/>
      <c r="E1605" s="14"/>
      <c r="F1605" s="14"/>
      <c r="G1605" s="14"/>
      <c r="H1605" s="14"/>
      <c r="I1605" s="67"/>
      <c r="J1605" s="14"/>
      <c r="K1605" s="14"/>
      <c r="L1605" s="14"/>
      <c r="M1605" s="14"/>
    </row>
    <row r="1606" spans="1:13" x14ac:dyDescent="0.25">
      <c r="A1606" s="14"/>
      <c r="B1606" s="14"/>
      <c r="C1606" s="14"/>
      <c r="D1606" s="92"/>
      <c r="E1606" s="14"/>
      <c r="F1606" s="14"/>
      <c r="G1606" s="14"/>
      <c r="H1606" s="14"/>
      <c r="I1606" s="67"/>
      <c r="J1606" s="14"/>
      <c r="K1606" s="14"/>
      <c r="L1606" s="14"/>
      <c r="M1606" s="14"/>
    </row>
    <row r="1607" spans="1:13" x14ac:dyDescent="0.25">
      <c r="A1607" s="14"/>
      <c r="B1607" s="14"/>
      <c r="C1607" s="14"/>
      <c r="D1607" s="92"/>
      <c r="E1607" s="14"/>
      <c r="F1607" s="14"/>
      <c r="G1607" s="14"/>
      <c r="H1607" s="14"/>
      <c r="I1607" s="67"/>
      <c r="J1607" s="14"/>
      <c r="K1607" s="14"/>
      <c r="L1607" s="14"/>
      <c r="M1607" s="14"/>
    </row>
    <row r="1608" spans="1:13" x14ac:dyDescent="0.25">
      <c r="A1608" s="14"/>
      <c r="B1608" s="14"/>
      <c r="C1608" s="14"/>
      <c r="D1608" s="92"/>
      <c r="E1608" s="14"/>
      <c r="F1608" s="14"/>
      <c r="G1608" s="14"/>
      <c r="H1608" s="14"/>
      <c r="I1608" s="67"/>
      <c r="J1608" s="14"/>
      <c r="K1608" s="14"/>
      <c r="L1608" s="14"/>
      <c r="M1608" s="14"/>
    </row>
    <row r="1609" spans="1:13" x14ac:dyDescent="0.25">
      <c r="A1609" s="14"/>
      <c r="B1609" s="14"/>
      <c r="C1609" s="14"/>
      <c r="D1609" s="92"/>
      <c r="E1609" s="14"/>
      <c r="F1609" s="14"/>
      <c r="G1609" s="14"/>
      <c r="H1609" s="14"/>
      <c r="I1609" s="67"/>
      <c r="J1609" s="14"/>
      <c r="K1609" s="14"/>
      <c r="L1609" s="14"/>
      <c r="M1609" s="14"/>
    </row>
    <row r="1610" spans="1:13" x14ac:dyDescent="0.25">
      <c r="A1610" s="14"/>
      <c r="B1610" s="14"/>
      <c r="C1610" s="14"/>
      <c r="D1610" s="92"/>
      <c r="E1610" s="14"/>
      <c r="F1610" s="14"/>
      <c r="G1610" s="14"/>
      <c r="H1610" s="14"/>
      <c r="I1610" s="67"/>
      <c r="J1610" s="14"/>
      <c r="K1610" s="14"/>
      <c r="L1610" s="14"/>
      <c r="M1610" s="14"/>
    </row>
    <row r="1611" spans="1:13" x14ac:dyDescent="0.25">
      <c r="A1611" s="14"/>
      <c r="B1611" s="14"/>
      <c r="C1611" s="14"/>
      <c r="D1611" s="92"/>
      <c r="E1611" s="14"/>
      <c r="F1611" s="14"/>
      <c r="G1611" s="14"/>
      <c r="H1611" s="14"/>
      <c r="I1611" s="67"/>
      <c r="J1611" s="14"/>
      <c r="K1611" s="14"/>
      <c r="L1611" s="14"/>
      <c r="M1611" s="14"/>
    </row>
    <row r="1612" spans="1:13" x14ac:dyDescent="0.25">
      <c r="A1612" s="14"/>
      <c r="B1612" s="14"/>
      <c r="C1612" s="14"/>
      <c r="D1612" s="92"/>
      <c r="E1612" s="14"/>
      <c r="F1612" s="14"/>
      <c r="G1612" s="14"/>
      <c r="H1612" s="14"/>
      <c r="I1612" s="67"/>
      <c r="J1612" s="14"/>
      <c r="K1612" s="14"/>
      <c r="L1612" s="14"/>
      <c r="M1612" s="14"/>
    </row>
    <row r="1613" spans="1:13" x14ac:dyDescent="0.25">
      <c r="A1613" s="14"/>
      <c r="B1613" s="14"/>
      <c r="C1613" s="14"/>
      <c r="D1613" s="92"/>
      <c r="E1613" s="14"/>
      <c r="F1613" s="14"/>
      <c r="G1613" s="14"/>
      <c r="H1613" s="14"/>
      <c r="I1613" s="67"/>
      <c r="J1613" s="14"/>
      <c r="K1613" s="14"/>
      <c r="L1613" s="14"/>
      <c r="M1613" s="14"/>
    </row>
    <row r="1614" spans="1:13" x14ac:dyDescent="0.25">
      <c r="A1614" s="14"/>
      <c r="B1614" s="14"/>
      <c r="C1614" s="14"/>
      <c r="D1614" s="92"/>
      <c r="E1614" s="14"/>
      <c r="F1614" s="14"/>
      <c r="G1614" s="14"/>
      <c r="H1614" s="14"/>
      <c r="I1614" s="67"/>
      <c r="J1614" s="14"/>
      <c r="K1614" s="14"/>
      <c r="L1614" s="14"/>
      <c r="M1614" s="14"/>
    </row>
    <row r="1615" spans="1:13" x14ac:dyDescent="0.25">
      <c r="A1615" s="14"/>
      <c r="B1615" s="14"/>
      <c r="C1615" s="14"/>
      <c r="D1615" s="92"/>
      <c r="E1615" s="14"/>
      <c r="F1615" s="14"/>
      <c r="G1615" s="14"/>
      <c r="H1615" s="14"/>
      <c r="I1615" s="67"/>
      <c r="J1615" s="14"/>
      <c r="K1615" s="14"/>
      <c r="L1615" s="14"/>
      <c r="M1615" s="14"/>
    </row>
    <row r="1616" spans="1:13" x14ac:dyDescent="0.25">
      <c r="A1616" s="14"/>
      <c r="B1616" s="14"/>
      <c r="C1616" s="14"/>
      <c r="D1616" s="92"/>
      <c r="E1616" s="14"/>
      <c r="F1616" s="14"/>
      <c r="G1616" s="14"/>
      <c r="H1616" s="14"/>
      <c r="I1616" s="67"/>
      <c r="J1616" s="14"/>
      <c r="K1616" s="14"/>
      <c r="L1616" s="14"/>
      <c r="M1616" s="14"/>
    </row>
    <row r="1617" spans="1:13" x14ac:dyDescent="0.25">
      <c r="A1617" s="14"/>
      <c r="B1617" s="14"/>
      <c r="C1617" s="14"/>
      <c r="D1617" s="92"/>
      <c r="E1617" s="14"/>
      <c r="F1617" s="14"/>
      <c r="G1617" s="14"/>
      <c r="H1617" s="14"/>
      <c r="I1617" s="67"/>
      <c r="J1617" s="14"/>
      <c r="K1617" s="14"/>
      <c r="L1617" s="14"/>
      <c r="M1617" s="14"/>
    </row>
    <row r="1618" spans="1:13" x14ac:dyDescent="0.25">
      <c r="A1618" s="14"/>
      <c r="B1618" s="14"/>
      <c r="C1618" s="14"/>
      <c r="D1618" s="92"/>
      <c r="E1618" s="14"/>
      <c r="F1618" s="14"/>
      <c r="G1618" s="14"/>
      <c r="H1618" s="14"/>
      <c r="I1618" s="67"/>
      <c r="J1618" s="14"/>
      <c r="K1618" s="14"/>
      <c r="L1618" s="14"/>
      <c r="M1618" s="14"/>
    </row>
    <row r="1619" spans="1:13" x14ac:dyDescent="0.25">
      <c r="A1619" s="14"/>
      <c r="B1619" s="14"/>
      <c r="C1619" s="14"/>
      <c r="D1619" s="92"/>
      <c r="E1619" s="14"/>
      <c r="F1619" s="14"/>
      <c r="G1619" s="14"/>
      <c r="H1619" s="14"/>
      <c r="I1619" s="67"/>
      <c r="J1619" s="14"/>
      <c r="K1619" s="14"/>
      <c r="L1619" s="14"/>
      <c r="M1619" s="14"/>
    </row>
    <row r="1620" spans="1:13" x14ac:dyDescent="0.25">
      <c r="A1620" s="14"/>
      <c r="B1620" s="14"/>
      <c r="C1620" s="14"/>
      <c r="D1620" s="92"/>
      <c r="E1620" s="14"/>
      <c r="F1620" s="14"/>
      <c r="G1620" s="14"/>
      <c r="H1620" s="14"/>
      <c r="I1620" s="67"/>
      <c r="J1620" s="14"/>
      <c r="K1620" s="14"/>
      <c r="L1620" s="14"/>
      <c r="M1620" s="14"/>
    </row>
    <row r="1621" spans="1:13" x14ac:dyDescent="0.25">
      <c r="A1621" s="14"/>
      <c r="B1621" s="14"/>
      <c r="C1621" s="14"/>
      <c r="D1621" s="92"/>
      <c r="E1621" s="14"/>
      <c r="F1621" s="14"/>
      <c r="G1621" s="14"/>
      <c r="H1621" s="14"/>
      <c r="I1621" s="67"/>
      <c r="J1621" s="14"/>
      <c r="K1621" s="14"/>
      <c r="L1621" s="14"/>
      <c r="M1621" s="14"/>
    </row>
    <row r="1622" spans="1:13" x14ac:dyDescent="0.25">
      <c r="A1622" s="14"/>
      <c r="B1622" s="14"/>
      <c r="C1622" s="14"/>
      <c r="D1622" s="92"/>
      <c r="E1622" s="14"/>
      <c r="F1622" s="14"/>
      <c r="G1622" s="14"/>
      <c r="H1622" s="14"/>
      <c r="I1622" s="67"/>
      <c r="J1622" s="14"/>
      <c r="K1622" s="14"/>
      <c r="L1622" s="14"/>
      <c r="M1622" s="14"/>
    </row>
    <row r="1623" spans="1:13" x14ac:dyDescent="0.25">
      <c r="A1623" s="14"/>
      <c r="B1623" s="14"/>
      <c r="C1623" s="14"/>
      <c r="D1623" s="92"/>
      <c r="E1623" s="14"/>
      <c r="F1623" s="14"/>
      <c r="G1623" s="14"/>
      <c r="H1623" s="14"/>
      <c r="I1623" s="67"/>
      <c r="J1623" s="14"/>
      <c r="K1623" s="14"/>
      <c r="L1623" s="14"/>
      <c r="M1623" s="14"/>
    </row>
    <row r="1624" spans="1:13" x14ac:dyDescent="0.25">
      <c r="A1624" s="14"/>
      <c r="B1624" s="14"/>
      <c r="C1624" s="14"/>
      <c r="D1624" s="92"/>
      <c r="E1624" s="14"/>
      <c r="F1624" s="14"/>
      <c r="G1624" s="14"/>
      <c r="H1624" s="14"/>
      <c r="I1624" s="67"/>
      <c r="J1624" s="14"/>
      <c r="K1624" s="14"/>
      <c r="L1624" s="14"/>
      <c r="M1624" s="14"/>
    </row>
    <row r="1625" spans="1:13" x14ac:dyDescent="0.25">
      <c r="A1625" s="14"/>
      <c r="B1625" s="14"/>
      <c r="C1625" s="14"/>
      <c r="D1625" s="92"/>
      <c r="E1625" s="14"/>
      <c r="F1625" s="14"/>
      <c r="G1625" s="14"/>
      <c r="H1625" s="14"/>
      <c r="I1625" s="67"/>
      <c r="J1625" s="14"/>
      <c r="K1625" s="14"/>
      <c r="L1625" s="14"/>
      <c r="M1625" s="14"/>
    </row>
    <row r="1626" spans="1:13" x14ac:dyDescent="0.25">
      <c r="A1626" s="14"/>
      <c r="B1626" s="14"/>
      <c r="C1626" s="14"/>
      <c r="D1626" s="92"/>
      <c r="E1626" s="14"/>
      <c r="F1626" s="14"/>
      <c r="G1626" s="14"/>
      <c r="H1626" s="14"/>
      <c r="I1626" s="67"/>
      <c r="J1626" s="14"/>
      <c r="K1626" s="14"/>
      <c r="L1626" s="14"/>
      <c r="M1626" s="14"/>
    </row>
    <row r="1627" spans="1:13" x14ac:dyDescent="0.25">
      <c r="A1627" s="14"/>
      <c r="B1627" s="14"/>
      <c r="C1627" s="14"/>
      <c r="D1627" s="92"/>
      <c r="E1627" s="14"/>
      <c r="F1627" s="14"/>
      <c r="G1627" s="14"/>
      <c r="H1627" s="14"/>
      <c r="I1627" s="67"/>
      <c r="J1627" s="14"/>
      <c r="K1627" s="14"/>
      <c r="L1627" s="14"/>
      <c r="M1627" s="14"/>
    </row>
    <row r="1628" spans="1:13" x14ac:dyDescent="0.25">
      <c r="A1628" s="14"/>
      <c r="B1628" s="14"/>
      <c r="C1628" s="14"/>
      <c r="D1628" s="92"/>
      <c r="E1628" s="14"/>
      <c r="F1628" s="14"/>
      <c r="G1628" s="14"/>
      <c r="H1628" s="14"/>
      <c r="I1628" s="67"/>
      <c r="J1628" s="14"/>
      <c r="K1628" s="14"/>
      <c r="L1628" s="14"/>
      <c r="M1628" s="14"/>
    </row>
    <row r="1629" spans="1:13" x14ac:dyDescent="0.25">
      <c r="A1629" s="14"/>
      <c r="B1629" s="14"/>
      <c r="C1629" s="14"/>
      <c r="D1629" s="92"/>
      <c r="E1629" s="14"/>
      <c r="F1629" s="14"/>
      <c r="G1629" s="14"/>
      <c r="H1629" s="14"/>
      <c r="I1629" s="67"/>
      <c r="J1629" s="14"/>
      <c r="K1629" s="14"/>
      <c r="L1629" s="14"/>
      <c r="M1629" s="14"/>
    </row>
    <row r="1630" spans="1:13" x14ac:dyDescent="0.25">
      <c r="A1630" s="14"/>
      <c r="B1630" s="14"/>
      <c r="C1630" s="14"/>
      <c r="D1630" s="92"/>
      <c r="E1630" s="14"/>
      <c r="F1630" s="14"/>
      <c r="G1630" s="14"/>
      <c r="H1630" s="14"/>
      <c r="I1630" s="67"/>
      <c r="J1630" s="14"/>
      <c r="K1630" s="14"/>
      <c r="L1630" s="14"/>
      <c r="M1630" s="14"/>
    </row>
    <row r="1631" spans="1:13" x14ac:dyDescent="0.25">
      <c r="A1631" s="14"/>
      <c r="B1631" s="14"/>
      <c r="C1631" s="14"/>
      <c r="D1631" s="92"/>
      <c r="E1631" s="14"/>
      <c r="F1631" s="14"/>
      <c r="G1631" s="14"/>
      <c r="H1631" s="14"/>
      <c r="I1631" s="67"/>
      <c r="J1631" s="14"/>
      <c r="K1631" s="14"/>
      <c r="L1631" s="14"/>
      <c r="M1631" s="14"/>
    </row>
    <row r="1632" spans="1:13" x14ac:dyDescent="0.25">
      <c r="A1632" s="14"/>
      <c r="B1632" s="14"/>
      <c r="C1632" s="14"/>
      <c r="D1632" s="92"/>
      <c r="E1632" s="14"/>
      <c r="F1632" s="14"/>
      <c r="G1632" s="14"/>
      <c r="H1632" s="14"/>
      <c r="I1632" s="67"/>
      <c r="J1632" s="14"/>
      <c r="K1632" s="14"/>
      <c r="L1632" s="14"/>
      <c r="M1632" s="14"/>
    </row>
    <row r="1633" spans="1:13" x14ac:dyDescent="0.25">
      <c r="A1633" s="14"/>
      <c r="B1633" s="14"/>
      <c r="C1633" s="14"/>
      <c r="D1633" s="92"/>
      <c r="E1633" s="14"/>
      <c r="F1633" s="14"/>
      <c r="G1633" s="14"/>
      <c r="H1633" s="14"/>
      <c r="I1633" s="67"/>
      <c r="J1633" s="14"/>
      <c r="K1633" s="14"/>
      <c r="L1633" s="14"/>
      <c r="M1633" s="14"/>
    </row>
    <row r="1634" spans="1:13" x14ac:dyDescent="0.25">
      <c r="A1634" s="14"/>
      <c r="B1634" s="14"/>
      <c r="C1634" s="14"/>
      <c r="D1634" s="92"/>
      <c r="E1634" s="14"/>
      <c r="F1634" s="14"/>
      <c r="G1634" s="14"/>
      <c r="H1634" s="14"/>
      <c r="I1634" s="67"/>
      <c r="J1634" s="14"/>
      <c r="K1634" s="14"/>
      <c r="L1634" s="14"/>
      <c r="M1634" s="14"/>
    </row>
    <row r="1635" spans="1:13" x14ac:dyDescent="0.25">
      <c r="A1635" s="14"/>
      <c r="B1635" s="14"/>
      <c r="C1635" s="14"/>
      <c r="D1635" s="92"/>
      <c r="E1635" s="14"/>
      <c r="F1635" s="14"/>
      <c r="G1635" s="14"/>
      <c r="H1635" s="14"/>
      <c r="I1635" s="67"/>
      <c r="J1635" s="14"/>
      <c r="K1635" s="14"/>
      <c r="L1635" s="14"/>
      <c r="M1635" s="14"/>
    </row>
    <row r="1636" spans="1:13" x14ac:dyDescent="0.25">
      <c r="A1636" s="14"/>
      <c r="B1636" s="14"/>
      <c r="C1636" s="14"/>
      <c r="D1636" s="92"/>
      <c r="E1636" s="14"/>
      <c r="F1636" s="14"/>
      <c r="G1636" s="14"/>
      <c r="H1636" s="14"/>
      <c r="I1636" s="67"/>
      <c r="J1636" s="14"/>
      <c r="K1636" s="14"/>
      <c r="L1636" s="14"/>
      <c r="M1636" s="14"/>
    </row>
    <row r="1637" spans="1:13" x14ac:dyDescent="0.25">
      <c r="A1637" s="14"/>
      <c r="B1637" s="14"/>
      <c r="C1637" s="14"/>
      <c r="D1637" s="92"/>
      <c r="E1637" s="14"/>
      <c r="F1637" s="14"/>
      <c r="G1637" s="14"/>
      <c r="H1637" s="14"/>
      <c r="I1637" s="67"/>
      <c r="J1637" s="14"/>
      <c r="K1637" s="14"/>
      <c r="L1637" s="14"/>
      <c r="M1637" s="14"/>
    </row>
    <row r="1638" spans="1:13" x14ac:dyDescent="0.25">
      <c r="A1638" s="14"/>
      <c r="B1638" s="14"/>
      <c r="C1638" s="14"/>
      <c r="D1638" s="92"/>
      <c r="E1638" s="14"/>
      <c r="F1638" s="14"/>
      <c r="G1638" s="14"/>
      <c r="H1638" s="14"/>
      <c r="I1638" s="67"/>
      <c r="J1638" s="14"/>
      <c r="K1638" s="14"/>
      <c r="L1638" s="14"/>
      <c r="M1638" s="14"/>
    </row>
    <row r="1639" spans="1:13" x14ac:dyDescent="0.25">
      <c r="A1639" s="14"/>
      <c r="B1639" s="14"/>
      <c r="C1639" s="14"/>
      <c r="D1639" s="92"/>
      <c r="E1639" s="14"/>
      <c r="F1639" s="14"/>
      <c r="G1639" s="14"/>
      <c r="H1639" s="14"/>
      <c r="I1639" s="67"/>
      <c r="J1639" s="14"/>
      <c r="K1639" s="14"/>
      <c r="L1639" s="14"/>
      <c r="M1639" s="14"/>
    </row>
    <row r="1640" spans="1:13" x14ac:dyDescent="0.25">
      <c r="A1640" s="14"/>
      <c r="B1640" s="14"/>
      <c r="C1640" s="14"/>
      <c r="D1640" s="92"/>
      <c r="E1640" s="14"/>
      <c r="F1640" s="14"/>
      <c r="G1640" s="14"/>
      <c r="H1640" s="14"/>
      <c r="I1640" s="67"/>
      <c r="J1640" s="14"/>
      <c r="K1640" s="14"/>
      <c r="L1640" s="14"/>
      <c r="M1640" s="14"/>
    </row>
    <row r="1641" spans="1:13" x14ac:dyDescent="0.25">
      <c r="A1641" s="14"/>
      <c r="B1641" s="14"/>
      <c r="C1641" s="14"/>
      <c r="D1641" s="92"/>
      <c r="E1641" s="14"/>
      <c r="F1641" s="14"/>
      <c r="G1641" s="14"/>
      <c r="H1641" s="14"/>
      <c r="I1641" s="67"/>
      <c r="J1641" s="14"/>
      <c r="K1641" s="14"/>
      <c r="L1641" s="14"/>
      <c r="M1641" s="14"/>
    </row>
    <row r="1642" spans="1:13" x14ac:dyDescent="0.25">
      <c r="A1642" s="14"/>
      <c r="B1642" s="14"/>
      <c r="C1642" s="14"/>
      <c r="D1642" s="92"/>
      <c r="E1642" s="14"/>
      <c r="F1642" s="14"/>
      <c r="G1642" s="14"/>
      <c r="H1642" s="14"/>
      <c r="I1642" s="67"/>
      <c r="J1642" s="14"/>
      <c r="K1642" s="14"/>
      <c r="L1642" s="14"/>
      <c r="M1642" s="14"/>
    </row>
    <row r="1643" spans="1:13" x14ac:dyDescent="0.25">
      <c r="A1643" s="14"/>
      <c r="B1643" s="14"/>
      <c r="C1643" s="14"/>
      <c r="D1643" s="92"/>
      <c r="E1643" s="14"/>
      <c r="F1643" s="14"/>
      <c r="G1643" s="14"/>
      <c r="H1643" s="14"/>
      <c r="I1643" s="67"/>
      <c r="J1643" s="14"/>
      <c r="K1643" s="14"/>
      <c r="L1643" s="14"/>
      <c r="M1643" s="14"/>
    </row>
    <row r="1644" spans="1:13" x14ac:dyDescent="0.25">
      <c r="A1644" s="14"/>
      <c r="B1644" s="14"/>
      <c r="C1644" s="14"/>
      <c r="D1644" s="92"/>
      <c r="E1644" s="14"/>
      <c r="F1644" s="14"/>
      <c r="G1644" s="14"/>
      <c r="H1644" s="14"/>
      <c r="I1644" s="67"/>
      <c r="J1644" s="14"/>
      <c r="K1644" s="14"/>
      <c r="L1644" s="14"/>
      <c r="M1644" s="14"/>
    </row>
    <row r="1645" spans="1:13" x14ac:dyDescent="0.25">
      <c r="A1645" s="14"/>
      <c r="B1645" s="14"/>
      <c r="C1645" s="14"/>
      <c r="D1645" s="92"/>
      <c r="E1645" s="14"/>
      <c r="F1645" s="14"/>
      <c r="G1645" s="14"/>
      <c r="H1645" s="14"/>
      <c r="I1645" s="67"/>
      <c r="J1645" s="14"/>
      <c r="K1645" s="14"/>
      <c r="L1645" s="14"/>
      <c r="M1645" s="14"/>
    </row>
    <row r="1646" spans="1:13" x14ac:dyDescent="0.25">
      <c r="A1646" s="14"/>
      <c r="B1646" s="14"/>
      <c r="C1646" s="14"/>
      <c r="D1646" s="92"/>
      <c r="E1646" s="14"/>
      <c r="F1646" s="14"/>
      <c r="G1646" s="14"/>
      <c r="H1646" s="14"/>
      <c r="I1646" s="67"/>
      <c r="J1646" s="14"/>
      <c r="K1646" s="14"/>
      <c r="L1646" s="14"/>
      <c r="M1646" s="14"/>
    </row>
    <row r="1647" spans="1:13" x14ac:dyDescent="0.25">
      <c r="A1647" s="14"/>
      <c r="B1647" s="14"/>
      <c r="C1647" s="14"/>
      <c r="D1647" s="92"/>
      <c r="E1647" s="14"/>
      <c r="F1647" s="14"/>
      <c r="G1647" s="14"/>
      <c r="H1647" s="14"/>
      <c r="I1647" s="67"/>
      <c r="J1647" s="14"/>
      <c r="K1647" s="14"/>
      <c r="L1647" s="14"/>
      <c r="M1647" s="14"/>
    </row>
    <row r="1648" spans="1:13" x14ac:dyDescent="0.25">
      <c r="A1648" s="14"/>
      <c r="B1648" s="14"/>
      <c r="C1648" s="14"/>
      <c r="D1648" s="92"/>
      <c r="E1648" s="14"/>
      <c r="F1648" s="14"/>
      <c r="G1648" s="14"/>
      <c r="H1648" s="14"/>
      <c r="I1648" s="67"/>
      <c r="J1648" s="14"/>
      <c r="K1648" s="14"/>
      <c r="L1648" s="14"/>
      <c r="M1648" s="14"/>
    </row>
    <row r="1649" spans="1:13" x14ac:dyDescent="0.25">
      <c r="A1649" s="14"/>
      <c r="B1649" s="14"/>
      <c r="C1649" s="14"/>
      <c r="D1649" s="92"/>
      <c r="E1649" s="14"/>
      <c r="F1649" s="14"/>
      <c r="G1649" s="14"/>
      <c r="H1649" s="14"/>
      <c r="I1649" s="67"/>
      <c r="J1649" s="14"/>
      <c r="K1649" s="14"/>
      <c r="L1649" s="14"/>
      <c r="M1649" s="14"/>
    </row>
    <row r="1650" spans="1:13" x14ac:dyDescent="0.25">
      <c r="A1650" s="14"/>
      <c r="B1650" s="14"/>
      <c r="C1650" s="14"/>
      <c r="D1650" s="92"/>
      <c r="E1650" s="14"/>
      <c r="F1650" s="14"/>
      <c r="G1650" s="14"/>
      <c r="H1650" s="14"/>
      <c r="I1650" s="67"/>
      <c r="J1650" s="14"/>
      <c r="K1650" s="14"/>
      <c r="L1650" s="14"/>
      <c r="M1650" s="14"/>
    </row>
    <row r="1651" spans="1:13" x14ac:dyDescent="0.25">
      <c r="A1651" s="14"/>
      <c r="B1651" s="14"/>
      <c r="C1651" s="14"/>
      <c r="D1651" s="92"/>
      <c r="E1651" s="14"/>
      <c r="F1651" s="14"/>
      <c r="G1651" s="14"/>
      <c r="H1651" s="14"/>
      <c r="I1651" s="67"/>
      <c r="J1651" s="14"/>
      <c r="K1651" s="14"/>
      <c r="L1651" s="14"/>
      <c r="M1651" s="14"/>
    </row>
    <row r="1652" spans="1:13" x14ac:dyDescent="0.25">
      <c r="A1652" s="14"/>
      <c r="B1652" s="14"/>
      <c r="C1652" s="14"/>
      <c r="D1652" s="92"/>
      <c r="E1652" s="14"/>
      <c r="F1652" s="14"/>
      <c r="G1652" s="14"/>
      <c r="H1652" s="14"/>
      <c r="I1652" s="67"/>
      <c r="J1652" s="14"/>
      <c r="K1652" s="14"/>
      <c r="L1652" s="14"/>
      <c r="M1652" s="14"/>
    </row>
    <row r="1653" spans="1:13" x14ac:dyDescent="0.25">
      <c r="A1653" s="14"/>
      <c r="B1653" s="14"/>
      <c r="C1653" s="14"/>
      <c r="D1653" s="92"/>
      <c r="E1653" s="14"/>
      <c r="F1653" s="14"/>
      <c r="G1653" s="14"/>
      <c r="H1653" s="14"/>
      <c r="I1653" s="67"/>
      <c r="J1653" s="14"/>
      <c r="K1653" s="14"/>
      <c r="L1653" s="14"/>
      <c r="M1653" s="14"/>
    </row>
    <row r="1654" spans="1:13" x14ac:dyDescent="0.25">
      <c r="A1654" s="14"/>
      <c r="B1654" s="14"/>
      <c r="C1654" s="14"/>
      <c r="D1654" s="92"/>
      <c r="E1654" s="14"/>
      <c r="F1654" s="14"/>
      <c r="G1654" s="14"/>
      <c r="H1654" s="14"/>
      <c r="I1654" s="67"/>
      <c r="J1654" s="14"/>
      <c r="K1654" s="14"/>
      <c r="L1654" s="14"/>
      <c r="M1654" s="14"/>
    </row>
    <row r="1655" spans="1:13" x14ac:dyDescent="0.25">
      <c r="A1655" s="14"/>
      <c r="B1655" s="14"/>
      <c r="C1655" s="14"/>
      <c r="D1655" s="92"/>
      <c r="E1655" s="14"/>
      <c r="F1655" s="14"/>
      <c r="G1655" s="14"/>
      <c r="H1655" s="14"/>
      <c r="I1655" s="67"/>
      <c r="J1655" s="14"/>
      <c r="K1655" s="14"/>
      <c r="L1655" s="14"/>
      <c r="M1655" s="14"/>
    </row>
    <row r="1656" spans="1:13" x14ac:dyDescent="0.25">
      <c r="A1656" s="14"/>
      <c r="B1656" s="14"/>
      <c r="C1656" s="14"/>
      <c r="D1656" s="92"/>
      <c r="E1656" s="14"/>
      <c r="F1656" s="14"/>
      <c r="G1656" s="14"/>
      <c r="H1656" s="14"/>
      <c r="I1656" s="67"/>
      <c r="J1656" s="14"/>
      <c r="K1656" s="14"/>
      <c r="L1656" s="14"/>
      <c r="M1656" s="14"/>
    </row>
    <row r="1657" spans="1:13" x14ac:dyDescent="0.25">
      <c r="A1657" s="14"/>
      <c r="B1657" s="14"/>
      <c r="C1657" s="14"/>
      <c r="D1657" s="92"/>
      <c r="E1657" s="14"/>
      <c r="F1657" s="14"/>
      <c r="G1657" s="14"/>
      <c r="H1657" s="14"/>
      <c r="I1657" s="67"/>
      <c r="J1657" s="14"/>
      <c r="K1657" s="14"/>
      <c r="L1657" s="14"/>
      <c r="M1657" s="14"/>
    </row>
    <row r="1658" spans="1:13" x14ac:dyDescent="0.25">
      <c r="A1658" s="14"/>
      <c r="B1658" s="14"/>
      <c r="C1658" s="14"/>
      <c r="D1658" s="92"/>
      <c r="E1658" s="14"/>
      <c r="F1658" s="14"/>
      <c r="G1658" s="14"/>
      <c r="H1658" s="14"/>
      <c r="I1658" s="67"/>
      <c r="J1658" s="14"/>
      <c r="K1658" s="14"/>
      <c r="L1658" s="14"/>
      <c r="M1658" s="14"/>
    </row>
    <row r="1659" spans="1:13" x14ac:dyDescent="0.25">
      <c r="A1659" s="14"/>
      <c r="B1659" s="14"/>
      <c r="C1659" s="14"/>
      <c r="D1659" s="92"/>
      <c r="E1659" s="14"/>
      <c r="F1659" s="14"/>
      <c r="G1659" s="14"/>
      <c r="H1659" s="14"/>
      <c r="I1659" s="67"/>
      <c r="J1659" s="14"/>
      <c r="K1659" s="14"/>
      <c r="L1659" s="14"/>
      <c r="M1659" s="14"/>
    </row>
    <row r="1660" spans="1:13" x14ac:dyDescent="0.25">
      <c r="A1660" s="14"/>
      <c r="B1660" s="14"/>
      <c r="C1660" s="14"/>
      <c r="D1660" s="92"/>
      <c r="E1660" s="14"/>
      <c r="F1660" s="14"/>
      <c r="G1660" s="14"/>
      <c r="H1660" s="14"/>
      <c r="I1660" s="67"/>
      <c r="J1660" s="14"/>
      <c r="K1660" s="14"/>
      <c r="L1660" s="14"/>
      <c r="M1660" s="14"/>
    </row>
    <row r="1661" spans="1:13" x14ac:dyDescent="0.25">
      <c r="A1661" s="14"/>
      <c r="B1661" s="14"/>
      <c r="C1661" s="14"/>
      <c r="D1661" s="92"/>
      <c r="E1661" s="14"/>
      <c r="F1661" s="14"/>
      <c r="G1661" s="14"/>
      <c r="H1661" s="14"/>
      <c r="I1661" s="67"/>
      <c r="J1661" s="14"/>
      <c r="K1661" s="14"/>
      <c r="L1661" s="14"/>
      <c r="M1661" s="14"/>
    </row>
    <row r="1662" spans="1:13" x14ac:dyDescent="0.25">
      <c r="A1662" s="14"/>
      <c r="B1662" s="14"/>
      <c r="C1662" s="14"/>
      <c r="D1662" s="92"/>
      <c r="E1662" s="14"/>
      <c r="F1662" s="14"/>
      <c r="G1662" s="14"/>
      <c r="H1662" s="14"/>
      <c r="I1662" s="67"/>
      <c r="J1662" s="14"/>
      <c r="K1662" s="14"/>
      <c r="L1662" s="14"/>
      <c r="M1662" s="14"/>
    </row>
    <row r="1663" spans="1:13" x14ac:dyDescent="0.25">
      <c r="A1663" s="14"/>
      <c r="B1663" s="14"/>
      <c r="C1663" s="14"/>
      <c r="D1663" s="92"/>
      <c r="E1663" s="14"/>
      <c r="F1663" s="14"/>
      <c r="G1663" s="14"/>
      <c r="H1663" s="14"/>
      <c r="I1663" s="67"/>
      <c r="J1663" s="14"/>
      <c r="K1663" s="14"/>
      <c r="L1663" s="14"/>
      <c r="M1663" s="14"/>
    </row>
    <row r="1664" spans="1:13" x14ac:dyDescent="0.25">
      <c r="A1664" s="14"/>
      <c r="B1664" s="14"/>
      <c r="C1664" s="14"/>
      <c r="D1664" s="92"/>
      <c r="E1664" s="14"/>
      <c r="F1664" s="14"/>
      <c r="G1664" s="14"/>
      <c r="H1664" s="14"/>
      <c r="I1664" s="67"/>
      <c r="J1664" s="14"/>
      <c r="K1664" s="14"/>
      <c r="L1664" s="14"/>
      <c r="M1664" s="14"/>
    </row>
    <row r="1665" spans="1:13" x14ac:dyDescent="0.25">
      <c r="A1665" s="14"/>
      <c r="B1665" s="14"/>
      <c r="C1665" s="14"/>
      <c r="D1665" s="92"/>
      <c r="E1665" s="14"/>
      <c r="F1665" s="14"/>
      <c r="G1665" s="14"/>
      <c r="H1665" s="14"/>
      <c r="I1665" s="67"/>
      <c r="J1665" s="14"/>
      <c r="K1665" s="14"/>
      <c r="L1665" s="14"/>
      <c r="M1665" s="14"/>
    </row>
    <row r="1666" spans="1:13" x14ac:dyDescent="0.25">
      <c r="A1666" s="14"/>
      <c r="B1666" s="14"/>
      <c r="C1666" s="14"/>
      <c r="D1666" s="92"/>
      <c r="E1666" s="14"/>
      <c r="F1666" s="14"/>
      <c r="G1666" s="14"/>
      <c r="H1666" s="14"/>
      <c r="I1666" s="67"/>
      <c r="J1666" s="14"/>
      <c r="K1666" s="14"/>
      <c r="L1666" s="14"/>
      <c r="M1666" s="14"/>
    </row>
    <row r="1667" spans="1:13" x14ac:dyDescent="0.25">
      <c r="A1667" s="14"/>
      <c r="B1667" s="14"/>
      <c r="C1667" s="14"/>
      <c r="D1667" s="92"/>
      <c r="E1667" s="14"/>
      <c r="F1667" s="14"/>
      <c r="G1667" s="14"/>
      <c r="H1667" s="14"/>
      <c r="I1667" s="67"/>
      <c r="J1667" s="14"/>
      <c r="K1667" s="14"/>
      <c r="L1667" s="14"/>
      <c r="M1667" s="14"/>
    </row>
    <row r="1668" spans="1:13" x14ac:dyDescent="0.25">
      <c r="A1668" s="14"/>
      <c r="B1668" s="14"/>
      <c r="C1668" s="14"/>
      <c r="D1668" s="92"/>
      <c r="E1668" s="14"/>
      <c r="F1668" s="14"/>
      <c r="G1668" s="14"/>
      <c r="H1668" s="14"/>
      <c r="I1668" s="67"/>
      <c r="J1668" s="14"/>
      <c r="K1668" s="14"/>
      <c r="L1668" s="14"/>
      <c r="M1668" s="14"/>
    </row>
    <row r="1669" spans="1:13" x14ac:dyDescent="0.25">
      <c r="A1669" s="14"/>
      <c r="B1669" s="14"/>
      <c r="C1669" s="14"/>
      <c r="D1669" s="92"/>
      <c r="E1669" s="14"/>
      <c r="F1669" s="14"/>
      <c r="G1669" s="14"/>
      <c r="H1669" s="14"/>
      <c r="I1669" s="67"/>
      <c r="J1669" s="14"/>
      <c r="K1669" s="14"/>
      <c r="L1669" s="14"/>
      <c r="M1669" s="14"/>
    </row>
    <row r="1670" spans="1:13" x14ac:dyDescent="0.25">
      <c r="A1670" s="14"/>
      <c r="B1670" s="14"/>
      <c r="C1670" s="14"/>
      <c r="D1670" s="92"/>
      <c r="E1670" s="14"/>
      <c r="F1670" s="14"/>
      <c r="G1670" s="14"/>
      <c r="H1670" s="14"/>
      <c r="I1670" s="67"/>
      <c r="J1670" s="14"/>
      <c r="K1670" s="14"/>
      <c r="L1670" s="14"/>
      <c r="M1670" s="14"/>
    </row>
    <row r="1671" spans="1:13" x14ac:dyDescent="0.25">
      <c r="A1671" s="14"/>
      <c r="B1671" s="14"/>
      <c r="C1671" s="14"/>
      <c r="D1671" s="92"/>
      <c r="E1671" s="14"/>
      <c r="F1671" s="14"/>
      <c r="G1671" s="14"/>
      <c r="H1671" s="14"/>
      <c r="I1671" s="67"/>
      <c r="J1671" s="14"/>
      <c r="K1671" s="14"/>
      <c r="L1671" s="14"/>
      <c r="M1671" s="14"/>
    </row>
    <row r="1672" spans="1:13" x14ac:dyDescent="0.25">
      <c r="A1672" s="14"/>
      <c r="B1672" s="14"/>
      <c r="C1672" s="14"/>
      <c r="D1672" s="92"/>
      <c r="E1672" s="14"/>
      <c r="F1672" s="14"/>
      <c r="G1672" s="14"/>
      <c r="H1672" s="14"/>
      <c r="I1672" s="67"/>
      <c r="J1672" s="14"/>
      <c r="K1672" s="14"/>
      <c r="L1672" s="14"/>
      <c r="M1672" s="14"/>
    </row>
    <row r="1673" spans="1:13" x14ac:dyDescent="0.25">
      <c r="A1673" s="14"/>
      <c r="B1673" s="14"/>
      <c r="C1673" s="14"/>
      <c r="D1673" s="92"/>
      <c r="E1673" s="14"/>
      <c r="F1673" s="14"/>
      <c r="G1673" s="14"/>
      <c r="H1673" s="14"/>
      <c r="I1673" s="67"/>
      <c r="J1673" s="14"/>
      <c r="K1673" s="14"/>
      <c r="L1673" s="14"/>
      <c r="M1673" s="14"/>
    </row>
    <row r="1674" spans="1:13" x14ac:dyDescent="0.25">
      <c r="A1674" s="14"/>
      <c r="B1674" s="14"/>
      <c r="C1674" s="14"/>
      <c r="D1674" s="92"/>
      <c r="E1674" s="14"/>
      <c r="F1674" s="14"/>
      <c r="G1674" s="14"/>
      <c r="H1674" s="14"/>
      <c r="I1674" s="67"/>
      <c r="J1674" s="14"/>
      <c r="K1674" s="14"/>
      <c r="L1674" s="14"/>
      <c r="M1674" s="14"/>
    </row>
    <row r="1675" spans="1:13" x14ac:dyDescent="0.25">
      <c r="A1675" s="14"/>
      <c r="B1675" s="14"/>
      <c r="C1675" s="14"/>
      <c r="D1675" s="92"/>
      <c r="E1675" s="14"/>
      <c r="F1675" s="14"/>
      <c r="G1675" s="14"/>
      <c r="H1675" s="14"/>
      <c r="I1675" s="67"/>
      <c r="J1675" s="14"/>
      <c r="K1675" s="14"/>
      <c r="L1675" s="14"/>
      <c r="M1675" s="14"/>
    </row>
    <row r="1676" spans="1:13" x14ac:dyDescent="0.25">
      <c r="A1676" s="14"/>
      <c r="B1676" s="14"/>
      <c r="C1676" s="14"/>
      <c r="D1676" s="92"/>
      <c r="E1676" s="14"/>
      <c r="F1676" s="14"/>
      <c r="G1676" s="14"/>
      <c r="H1676" s="14"/>
      <c r="I1676" s="67"/>
      <c r="J1676" s="14"/>
      <c r="K1676" s="14"/>
      <c r="L1676" s="14"/>
      <c r="M1676" s="14"/>
    </row>
    <row r="1677" spans="1:13" x14ac:dyDescent="0.25">
      <c r="A1677" s="14"/>
      <c r="B1677" s="14"/>
      <c r="C1677" s="14"/>
      <c r="D1677" s="92"/>
      <c r="E1677" s="14"/>
      <c r="F1677" s="14"/>
      <c r="G1677" s="14"/>
      <c r="H1677" s="14"/>
      <c r="I1677" s="67"/>
      <c r="J1677" s="14"/>
      <c r="K1677" s="14"/>
      <c r="L1677" s="14"/>
      <c r="M1677" s="14"/>
    </row>
    <row r="1678" spans="1:13" x14ac:dyDescent="0.25">
      <c r="A1678" s="14"/>
      <c r="B1678" s="14"/>
      <c r="C1678" s="14"/>
      <c r="D1678" s="92"/>
      <c r="E1678" s="14"/>
      <c r="F1678" s="14"/>
      <c r="G1678" s="14"/>
      <c r="H1678" s="14"/>
      <c r="I1678" s="67"/>
      <c r="J1678" s="14"/>
      <c r="K1678" s="14"/>
      <c r="L1678" s="14"/>
      <c r="M1678" s="14"/>
    </row>
    <row r="1679" spans="1:13" x14ac:dyDescent="0.25">
      <c r="A1679" s="14"/>
      <c r="B1679" s="14"/>
      <c r="C1679" s="14"/>
      <c r="D1679" s="92"/>
      <c r="E1679" s="14"/>
      <c r="F1679" s="14"/>
      <c r="G1679" s="14"/>
      <c r="H1679" s="14"/>
      <c r="I1679" s="67"/>
      <c r="J1679" s="14"/>
      <c r="K1679" s="14"/>
      <c r="L1679" s="14"/>
      <c r="M1679" s="14"/>
    </row>
    <row r="1680" spans="1:13" x14ac:dyDescent="0.25">
      <c r="A1680" s="14"/>
      <c r="B1680" s="14"/>
      <c r="C1680" s="14"/>
      <c r="D1680" s="92"/>
      <c r="E1680" s="14"/>
      <c r="F1680" s="14"/>
      <c r="G1680" s="14"/>
      <c r="H1680" s="14"/>
      <c r="I1680" s="67"/>
      <c r="J1680" s="14"/>
      <c r="K1680" s="14"/>
      <c r="L1680" s="14"/>
      <c r="M1680" s="14"/>
    </row>
    <row r="1681" spans="1:13" x14ac:dyDescent="0.25">
      <c r="A1681" s="14"/>
      <c r="B1681" s="14"/>
      <c r="C1681" s="14"/>
      <c r="D1681" s="92"/>
      <c r="E1681" s="14"/>
      <c r="F1681" s="14"/>
      <c r="G1681" s="14"/>
      <c r="H1681" s="14"/>
      <c r="I1681" s="67"/>
      <c r="J1681" s="14"/>
      <c r="K1681" s="14"/>
      <c r="L1681" s="14"/>
      <c r="M1681" s="14"/>
    </row>
    <row r="1682" spans="1:13" x14ac:dyDescent="0.25">
      <c r="A1682" s="14"/>
      <c r="B1682" s="14"/>
      <c r="C1682" s="14"/>
      <c r="D1682" s="92"/>
      <c r="E1682" s="14"/>
      <c r="F1682" s="14"/>
      <c r="G1682" s="14"/>
      <c r="H1682" s="14"/>
      <c r="I1682" s="67"/>
      <c r="J1682" s="14"/>
      <c r="K1682" s="14"/>
      <c r="L1682" s="14"/>
      <c r="M1682" s="14"/>
    </row>
    <row r="1683" spans="1:13" x14ac:dyDescent="0.25">
      <c r="A1683" s="14"/>
      <c r="B1683" s="14"/>
      <c r="C1683" s="14"/>
      <c r="D1683" s="92"/>
      <c r="E1683" s="14"/>
      <c r="F1683" s="14"/>
      <c r="G1683" s="14"/>
      <c r="H1683" s="14"/>
      <c r="I1683" s="67"/>
      <c r="J1683" s="14"/>
      <c r="K1683" s="14"/>
      <c r="L1683" s="14"/>
      <c r="M1683" s="14"/>
    </row>
    <row r="1684" spans="1:13" x14ac:dyDescent="0.25">
      <c r="A1684" s="14"/>
      <c r="B1684" s="14"/>
      <c r="C1684" s="14"/>
      <c r="D1684" s="92"/>
      <c r="E1684" s="14"/>
      <c r="F1684" s="14"/>
      <c r="G1684" s="14"/>
      <c r="H1684" s="14"/>
      <c r="I1684" s="67"/>
      <c r="J1684" s="14"/>
      <c r="K1684" s="14"/>
      <c r="L1684" s="14"/>
      <c r="M1684" s="14"/>
    </row>
    <row r="1685" spans="1:13" x14ac:dyDescent="0.25">
      <c r="A1685" s="14"/>
      <c r="B1685" s="14"/>
      <c r="C1685" s="14"/>
      <c r="D1685" s="92"/>
      <c r="E1685" s="14"/>
      <c r="F1685" s="14"/>
      <c r="G1685" s="14"/>
      <c r="H1685" s="14"/>
      <c r="I1685" s="67"/>
      <c r="J1685" s="14"/>
      <c r="K1685" s="14"/>
      <c r="L1685" s="14"/>
      <c r="M1685" s="14"/>
    </row>
    <row r="1686" spans="1:13" x14ac:dyDescent="0.25">
      <c r="A1686" s="14"/>
      <c r="B1686" s="14"/>
      <c r="C1686" s="14"/>
      <c r="D1686" s="92"/>
      <c r="E1686" s="14"/>
      <c r="F1686" s="14"/>
      <c r="G1686" s="14"/>
      <c r="H1686" s="14"/>
      <c r="I1686" s="67"/>
      <c r="J1686" s="14"/>
      <c r="K1686" s="14"/>
      <c r="L1686" s="14"/>
      <c r="M1686" s="14"/>
    </row>
    <row r="1687" spans="1:13" x14ac:dyDescent="0.25">
      <c r="A1687" s="14"/>
      <c r="B1687" s="14"/>
      <c r="C1687" s="14"/>
      <c r="D1687" s="92"/>
      <c r="E1687" s="14"/>
      <c r="F1687" s="14"/>
      <c r="G1687" s="14"/>
      <c r="H1687" s="14"/>
      <c r="I1687" s="67"/>
      <c r="J1687" s="14"/>
      <c r="K1687" s="14"/>
      <c r="L1687" s="14"/>
      <c r="M1687" s="14"/>
    </row>
    <row r="1688" spans="1:13" x14ac:dyDescent="0.25">
      <c r="A1688" s="14"/>
      <c r="B1688" s="14"/>
      <c r="C1688" s="14"/>
      <c r="D1688" s="92"/>
      <c r="E1688" s="14"/>
      <c r="F1688" s="14"/>
      <c r="G1688" s="14"/>
      <c r="H1688" s="14"/>
      <c r="I1688" s="67"/>
      <c r="J1688" s="14"/>
      <c r="K1688" s="14"/>
      <c r="L1688" s="14"/>
      <c r="M1688" s="14"/>
    </row>
    <row r="1689" spans="1:13" x14ac:dyDescent="0.25">
      <c r="A1689" s="14"/>
      <c r="B1689" s="14"/>
      <c r="C1689" s="14"/>
      <c r="D1689" s="92"/>
      <c r="E1689" s="14"/>
      <c r="F1689" s="14"/>
      <c r="G1689" s="14"/>
      <c r="H1689" s="14"/>
      <c r="I1689" s="67"/>
      <c r="J1689" s="14"/>
      <c r="K1689" s="14"/>
      <c r="L1689" s="14"/>
      <c r="M1689" s="14"/>
    </row>
    <row r="1690" spans="1:13" x14ac:dyDescent="0.25">
      <c r="A1690" s="14"/>
      <c r="B1690" s="14"/>
      <c r="C1690" s="14"/>
      <c r="D1690" s="92"/>
      <c r="E1690" s="14"/>
      <c r="F1690" s="14"/>
      <c r="G1690" s="14"/>
      <c r="H1690" s="14"/>
      <c r="I1690" s="67"/>
      <c r="J1690" s="14"/>
      <c r="K1690" s="14"/>
      <c r="L1690" s="14"/>
      <c r="M1690" s="14"/>
    </row>
    <row r="1691" spans="1:13" x14ac:dyDescent="0.25">
      <c r="A1691" s="14"/>
      <c r="B1691" s="14"/>
      <c r="C1691" s="14"/>
      <c r="D1691" s="92"/>
      <c r="E1691" s="14"/>
      <c r="F1691" s="14"/>
      <c r="G1691" s="14"/>
      <c r="H1691" s="14"/>
      <c r="I1691" s="67"/>
      <c r="J1691" s="14"/>
      <c r="K1691" s="14"/>
      <c r="L1691" s="14"/>
      <c r="M1691" s="14"/>
    </row>
    <row r="1692" spans="1:13" x14ac:dyDescent="0.25">
      <c r="A1692" s="14"/>
      <c r="B1692" s="14"/>
      <c r="C1692" s="14"/>
      <c r="D1692" s="92"/>
      <c r="E1692" s="14"/>
      <c r="F1692" s="14"/>
      <c r="G1692" s="14"/>
      <c r="H1692" s="14"/>
      <c r="I1692" s="67"/>
      <c r="J1692" s="14"/>
      <c r="K1692" s="14"/>
      <c r="L1692" s="14"/>
      <c r="M1692" s="14"/>
    </row>
    <row r="1693" spans="1:13" x14ac:dyDescent="0.25">
      <c r="A1693" s="14"/>
      <c r="B1693" s="14"/>
      <c r="C1693" s="14"/>
      <c r="D1693" s="92"/>
      <c r="E1693" s="14"/>
      <c r="F1693" s="14"/>
      <c r="G1693" s="14"/>
      <c r="H1693" s="14"/>
      <c r="I1693" s="67"/>
      <c r="J1693" s="14"/>
      <c r="K1693" s="14"/>
      <c r="L1693" s="14"/>
      <c r="M1693" s="14"/>
    </row>
    <row r="1694" spans="1:13" x14ac:dyDescent="0.25">
      <c r="A1694" s="14"/>
      <c r="B1694" s="14"/>
      <c r="C1694" s="14"/>
      <c r="D1694" s="92"/>
      <c r="E1694" s="14"/>
      <c r="F1694" s="14"/>
      <c r="G1694" s="14"/>
      <c r="H1694" s="14"/>
      <c r="I1694" s="67"/>
      <c r="J1694" s="14"/>
      <c r="K1694" s="14"/>
      <c r="L1694" s="14"/>
      <c r="M1694" s="14"/>
    </row>
    <row r="1695" spans="1:13" x14ac:dyDescent="0.25">
      <c r="A1695" s="14"/>
      <c r="B1695" s="14"/>
      <c r="C1695" s="14"/>
      <c r="D1695" s="92"/>
      <c r="E1695" s="14"/>
      <c r="F1695" s="14"/>
      <c r="G1695" s="14"/>
      <c r="H1695" s="14"/>
      <c r="I1695" s="67"/>
      <c r="J1695" s="14"/>
      <c r="K1695" s="14"/>
      <c r="L1695" s="14"/>
      <c r="M1695" s="14"/>
    </row>
    <row r="1696" spans="1:13" x14ac:dyDescent="0.25">
      <c r="A1696" s="14"/>
      <c r="B1696" s="14"/>
      <c r="C1696" s="14"/>
      <c r="D1696" s="92"/>
      <c r="E1696" s="14"/>
      <c r="F1696" s="14"/>
      <c r="G1696" s="14"/>
      <c r="H1696" s="14"/>
      <c r="I1696" s="67"/>
      <c r="J1696" s="14"/>
      <c r="K1696" s="14"/>
      <c r="L1696" s="14"/>
      <c r="M1696" s="14"/>
    </row>
    <row r="1697" spans="1:13" x14ac:dyDescent="0.25">
      <c r="A1697" s="14"/>
      <c r="B1697" s="14"/>
      <c r="C1697" s="14"/>
      <c r="D1697" s="92"/>
      <c r="E1697" s="14"/>
      <c r="F1697" s="14"/>
      <c r="G1697" s="14"/>
      <c r="H1697" s="14"/>
      <c r="I1697" s="67"/>
      <c r="J1697" s="14"/>
      <c r="K1697" s="14"/>
      <c r="L1697" s="14"/>
      <c r="M1697" s="14"/>
    </row>
    <row r="1698" spans="1:13" x14ac:dyDescent="0.25">
      <c r="A1698" s="14"/>
      <c r="B1698" s="14"/>
      <c r="C1698" s="14"/>
      <c r="D1698" s="92"/>
      <c r="E1698" s="14"/>
      <c r="F1698" s="14"/>
      <c r="G1698" s="14"/>
      <c r="H1698" s="14"/>
      <c r="I1698" s="67"/>
      <c r="J1698" s="14"/>
      <c r="K1698" s="14"/>
      <c r="L1698" s="14"/>
      <c r="M1698" s="14"/>
    </row>
    <row r="1699" spans="1:13" x14ac:dyDescent="0.25">
      <c r="A1699" s="14"/>
      <c r="B1699" s="14"/>
      <c r="C1699" s="14"/>
      <c r="D1699" s="92"/>
      <c r="E1699" s="14"/>
      <c r="F1699" s="14"/>
      <c r="G1699" s="14"/>
      <c r="H1699" s="14"/>
      <c r="I1699" s="67"/>
      <c r="J1699" s="14"/>
      <c r="K1699" s="14"/>
      <c r="L1699" s="14"/>
      <c r="M1699" s="14"/>
    </row>
    <row r="1700" spans="1:13" x14ac:dyDescent="0.25">
      <c r="A1700" s="14"/>
      <c r="B1700" s="14"/>
      <c r="C1700" s="14"/>
      <c r="D1700" s="92"/>
      <c r="E1700" s="14"/>
      <c r="F1700" s="14"/>
      <c r="G1700" s="14"/>
      <c r="H1700" s="14"/>
      <c r="I1700" s="67"/>
      <c r="J1700" s="14"/>
      <c r="K1700" s="14"/>
      <c r="L1700" s="14"/>
      <c r="M1700" s="14"/>
    </row>
    <row r="1701" spans="1:13" x14ac:dyDescent="0.25">
      <c r="A1701" s="14"/>
      <c r="B1701" s="14"/>
      <c r="C1701" s="14"/>
      <c r="D1701" s="92"/>
      <c r="E1701" s="14"/>
      <c r="F1701" s="14"/>
      <c r="G1701" s="14"/>
      <c r="H1701" s="14"/>
      <c r="I1701" s="67"/>
      <c r="J1701" s="14"/>
      <c r="K1701" s="14"/>
      <c r="L1701" s="14"/>
      <c r="M1701" s="14"/>
    </row>
    <row r="1702" spans="1:13" x14ac:dyDescent="0.25">
      <c r="A1702" s="14"/>
      <c r="B1702" s="14"/>
      <c r="C1702" s="14"/>
      <c r="D1702" s="92"/>
      <c r="E1702" s="14"/>
      <c r="F1702" s="14"/>
      <c r="G1702" s="14"/>
      <c r="H1702" s="14"/>
      <c r="I1702" s="67"/>
      <c r="J1702" s="14"/>
      <c r="K1702" s="14"/>
      <c r="L1702" s="14"/>
      <c r="M1702" s="14"/>
    </row>
    <row r="1703" spans="1:13" x14ac:dyDescent="0.25">
      <c r="A1703" s="14"/>
      <c r="B1703" s="14"/>
      <c r="C1703" s="14"/>
      <c r="D1703" s="92"/>
      <c r="E1703" s="14"/>
      <c r="F1703" s="14"/>
      <c r="G1703" s="14"/>
      <c r="H1703" s="14"/>
      <c r="I1703" s="67"/>
      <c r="J1703" s="14"/>
      <c r="K1703" s="14"/>
      <c r="L1703" s="14"/>
      <c r="M1703" s="14"/>
    </row>
    <row r="1704" spans="1:13" x14ac:dyDescent="0.25">
      <c r="A1704" s="14"/>
      <c r="B1704" s="14"/>
      <c r="C1704" s="14"/>
      <c r="D1704" s="92"/>
      <c r="E1704" s="14"/>
      <c r="F1704" s="14"/>
      <c r="G1704" s="14"/>
      <c r="H1704" s="14"/>
      <c r="I1704" s="67"/>
      <c r="J1704" s="14"/>
      <c r="K1704" s="14"/>
      <c r="L1704" s="14"/>
      <c r="M1704" s="14"/>
    </row>
    <row r="1705" spans="1:13" x14ac:dyDescent="0.25">
      <c r="A1705" s="14"/>
      <c r="B1705" s="14"/>
      <c r="C1705" s="14"/>
      <c r="D1705" s="92"/>
      <c r="E1705" s="14"/>
      <c r="F1705" s="14"/>
      <c r="G1705" s="14"/>
      <c r="H1705" s="14"/>
      <c r="I1705" s="67"/>
      <c r="J1705" s="14"/>
      <c r="K1705" s="14"/>
      <c r="L1705" s="14"/>
      <c r="M1705" s="14"/>
    </row>
    <row r="1706" spans="1:13" x14ac:dyDescent="0.25">
      <c r="A1706" s="14"/>
      <c r="B1706" s="14"/>
      <c r="C1706" s="14"/>
      <c r="D1706" s="92"/>
      <c r="E1706" s="14"/>
      <c r="F1706" s="14"/>
      <c r="G1706" s="14"/>
      <c r="H1706" s="14"/>
      <c r="I1706" s="67"/>
      <c r="J1706" s="14"/>
      <c r="K1706" s="14"/>
      <c r="L1706" s="14"/>
      <c r="M1706" s="14"/>
    </row>
    <row r="1707" spans="1:13" x14ac:dyDescent="0.25">
      <c r="A1707" s="14"/>
      <c r="B1707" s="14"/>
      <c r="C1707" s="14"/>
      <c r="D1707" s="92"/>
      <c r="E1707" s="14"/>
      <c r="F1707" s="14"/>
      <c r="G1707" s="14"/>
      <c r="H1707" s="14"/>
      <c r="I1707" s="67"/>
      <c r="J1707" s="14"/>
      <c r="K1707" s="14"/>
      <c r="L1707" s="14"/>
      <c r="M1707" s="14"/>
    </row>
    <row r="1708" spans="1:13" x14ac:dyDescent="0.25">
      <c r="A1708" s="14"/>
      <c r="B1708" s="14"/>
      <c r="C1708" s="14"/>
      <c r="D1708" s="92"/>
      <c r="E1708" s="14"/>
      <c r="F1708" s="14"/>
      <c r="G1708" s="14"/>
      <c r="H1708" s="14"/>
      <c r="I1708" s="67"/>
      <c r="J1708" s="14"/>
      <c r="K1708" s="14"/>
      <c r="L1708" s="14"/>
      <c r="M1708" s="14"/>
    </row>
    <row r="1709" spans="1:13" x14ac:dyDescent="0.25">
      <c r="A1709" s="14"/>
      <c r="B1709" s="14"/>
      <c r="C1709" s="14"/>
      <c r="D1709" s="92"/>
      <c r="E1709" s="14"/>
      <c r="F1709" s="14"/>
      <c r="G1709" s="14"/>
      <c r="H1709" s="14"/>
      <c r="I1709" s="67"/>
      <c r="J1709" s="14"/>
      <c r="K1709" s="14"/>
      <c r="L1709" s="14"/>
      <c r="M1709" s="14"/>
    </row>
    <row r="1710" spans="1:13" x14ac:dyDescent="0.25">
      <c r="A1710" s="14"/>
      <c r="B1710" s="14"/>
      <c r="C1710" s="14"/>
      <c r="D1710" s="92"/>
      <c r="E1710" s="14"/>
      <c r="F1710" s="14"/>
      <c r="G1710" s="14"/>
      <c r="H1710" s="14"/>
      <c r="I1710" s="67"/>
      <c r="J1710" s="14"/>
      <c r="K1710" s="14"/>
      <c r="L1710" s="14"/>
      <c r="M1710" s="14"/>
    </row>
    <row r="1711" spans="1:13" x14ac:dyDescent="0.25">
      <c r="A1711" s="14"/>
      <c r="B1711" s="14"/>
      <c r="C1711" s="14"/>
      <c r="D1711" s="92"/>
      <c r="E1711" s="14"/>
      <c r="F1711" s="14"/>
      <c r="G1711" s="14"/>
      <c r="H1711" s="14"/>
      <c r="I1711" s="67"/>
      <c r="J1711" s="14"/>
      <c r="K1711" s="14"/>
      <c r="L1711" s="14"/>
      <c r="M1711" s="14"/>
    </row>
    <row r="1712" spans="1:13" x14ac:dyDescent="0.25">
      <c r="A1712" s="14"/>
      <c r="B1712" s="14"/>
      <c r="C1712" s="14"/>
      <c r="D1712" s="92"/>
      <c r="E1712" s="14"/>
      <c r="F1712" s="14"/>
      <c r="G1712" s="14"/>
      <c r="H1712" s="14"/>
      <c r="I1712" s="67"/>
      <c r="J1712" s="14"/>
      <c r="K1712" s="14"/>
      <c r="L1712" s="14"/>
      <c r="M1712" s="14"/>
    </row>
    <row r="1713" spans="1:13" x14ac:dyDescent="0.25">
      <c r="A1713" s="14"/>
      <c r="B1713" s="14"/>
      <c r="C1713" s="14"/>
      <c r="D1713" s="92"/>
      <c r="E1713" s="14"/>
      <c r="F1713" s="14"/>
      <c r="G1713" s="14"/>
      <c r="H1713" s="14"/>
      <c r="I1713" s="67"/>
      <c r="J1713" s="14"/>
      <c r="K1713" s="14"/>
      <c r="L1713" s="14"/>
      <c r="M1713" s="14"/>
    </row>
    <row r="1714" spans="1:13" x14ac:dyDescent="0.25">
      <c r="A1714" s="14"/>
      <c r="B1714" s="14"/>
      <c r="C1714" s="14"/>
      <c r="D1714" s="92"/>
      <c r="E1714" s="14"/>
      <c r="F1714" s="14"/>
      <c r="G1714" s="14"/>
      <c r="H1714" s="14"/>
      <c r="I1714" s="67"/>
      <c r="J1714" s="14"/>
      <c r="K1714" s="14"/>
      <c r="L1714" s="14"/>
      <c r="M1714" s="14"/>
    </row>
    <row r="1715" spans="1:13" x14ac:dyDescent="0.25">
      <c r="A1715" s="14"/>
      <c r="B1715" s="14"/>
      <c r="C1715" s="14"/>
      <c r="D1715" s="92"/>
      <c r="E1715" s="14"/>
      <c r="F1715" s="14"/>
      <c r="G1715" s="14"/>
      <c r="H1715" s="14"/>
      <c r="I1715" s="67"/>
      <c r="J1715" s="14"/>
      <c r="K1715" s="14"/>
      <c r="L1715" s="14"/>
      <c r="M1715" s="14"/>
    </row>
    <row r="1716" spans="1:13" x14ac:dyDescent="0.25">
      <c r="A1716" s="14"/>
      <c r="B1716" s="14"/>
      <c r="C1716" s="14"/>
      <c r="D1716" s="92"/>
      <c r="E1716" s="14"/>
      <c r="F1716" s="14"/>
      <c r="G1716" s="14"/>
      <c r="H1716" s="14"/>
      <c r="I1716" s="67"/>
      <c r="J1716" s="14"/>
      <c r="K1716" s="14"/>
      <c r="L1716" s="14"/>
      <c r="M1716" s="14"/>
    </row>
    <row r="1717" spans="1:13" x14ac:dyDescent="0.25">
      <c r="A1717" s="14"/>
      <c r="B1717" s="14"/>
      <c r="C1717" s="14"/>
      <c r="D1717" s="92"/>
      <c r="E1717" s="14"/>
      <c r="F1717" s="14"/>
      <c r="G1717" s="14"/>
      <c r="H1717" s="14"/>
      <c r="I1717" s="67"/>
      <c r="J1717" s="14"/>
      <c r="K1717" s="14"/>
      <c r="L1717" s="14"/>
      <c r="M1717" s="14"/>
    </row>
    <row r="1718" spans="1:13" x14ac:dyDescent="0.25">
      <c r="A1718" s="14"/>
      <c r="B1718" s="14"/>
      <c r="C1718" s="14"/>
      <c r="D1718" s="92"/>
      <c r="E1718" s="14"/>
      <c r="F1718" s="14"/>
      <c r="G1718" s="14"/>
      <c r="H1718" s="14"/>
      <c r="I1718" s="67"/>
      <c r="J1718" s="14"/>
      <c r="K1718" s="14"/>
      <c r="L1718" s="14"/>
      <c r="M1718" s="14"/>
    </row>
    <row r="1719" spans="1:13" x14ac:dyDescent="0.25">
      <c r="A1719" s="14"/>
      <c r="B1719" s="14"/>
      <c r="C1719" s="14"/>
      <c r="D1719" s="92"/>
      <c r="E1719" s="14"/>
      <c r="F1719" s="14"/>
      <c r="G1719" s="14"/>
      <c r="H1719" s="14"/>
      <c r="I1719" s="67"/>
      <c r="J1719" s="14"/>
      <c r="K1719" s="14"/>
      <c r="L1719" s="14"/>
      <c r="M1719" s="14"/>
    </row>
    <row r="1720" spans="1:13" x14ac:dyDescent="0.25">
      <c r="A1720" s="14"/>
      <c r="B1720" s="14"/>
      <c r="C1720" s="14"/>
      <c r="D1720" s="92"/>
      <c r="E1720" s="14"/>
      <c r="F1720" s="14"/>
      <c r="G1720" s="14"/>
      <c r="H1720" s="14"/>
      <c r="I1720" s="67"/>
      <c r="J1720" s="14"/>
      <c r="K1720" s="14"/>
      <c r="L1720" s="14"/>
      <c r="M1720" s="14"/>
    </row>
    <row r="1721" spans="1:13" x14ac:dyDescent="0.25">
      <c r="A1721" s="14"/>
      <c r="B1721" s="14"/>
      <c r="C1721" s="14"/>
      <c r="D1721" s="92"/>
      <c r="E1721" s="14"/>
      <c r="F1721" s="14"/>
      <c r="G1721" s="14"/>
      <c r="H1721" s="14"/>
      <c r="I1721" s="67"/>
      <c r="J1721" s="14"/>
      <c r="K1721" s="14"/>
      <c r="L1721" s="14"/>
      <c r="M1721" s="14"/>
    </row>
    <row r="1722" spans="1:13" x14ac:dyDescent="0.25">
      <c r="A1722" s="14"/>
      <c r="B1722" s="14"/>
      <c r="C1722" s="14"/>
      <c r="D1722" s="92"/>
      <c r="E1722" s="14"/>
      <c r="F1722" s="14"/>
      <c r="G1722" s="14"/>
      <c r="H1722" s="14"/>
      <c r="I1722" s="67"/>
      <c r="J1722" s="14"/>
      <c r="K1722" s="14"/>
      <c r="L1722" s="14"/>
      <c r="M1722" s="14"/>
    </row>
    <row r="1723" spans="1:13" x14ac:dyDescent="0.25">
      <c r="A1723" s="14"/>
      <c r="B1723" s="14"/>
      <c r="C1723" s="14"/>
      <c r="D1723" s="92"/>
      <c r="E1723" s="14"/>
      <c r="F1723" s="14"/>
      <c r="G1723" s="14"/>
      <c r="H1723" s="14"/>
      <c r="I1723" s="67"/>
      <c r="J1723" s="14"/>
      <c r="K1723" s="14"/>
      <c r="L1723" s="14"/>
      <c r="M1723" s="14"/>
    </row>
    <row r="1724" spans="1:13" x14ac:dyDescent="0.25">
      <c r="A1724" s="14"/>
      <c r="B1724" s="14"/>
      <c r="C1724" s="14"/>
      <c r="D1724" s="92"/>
      <c r="E1724" s="14"/>
      <c r="F1724" s="14"/>
      <c r="G1724" s="14"/>
      <c r="H1724" s="14"/>
      <c r="I1724" s="67"/>
      <c r="J1724" s="14"/>
      <c r="K1724" s="14"/>
      <c r="L1724" s="14"/>
      <c r="M1724" s="14"/>
    </row>
    <row r="1725" spans="1:13" x14ac:dyDescent="0.25">
      <c r="A1725" s="14"/>
      <c r="B1725" s="14"/>
      <c r="C1725" s="14"/>
      <c r="D1725" s="92"/>
      <c r="E1725" s="14"/>
      <c r="F1725" s="14"/>
      <c r="G1725" s="14"/>
      <c r="H1725" s="14"/>
      <c r="I1725" s="67"/>
      <c r="J1725" s="14"/>
      <c r="K1725" s="14"/>
      <c r="L1725" s="14"/>
      <c r="M1725" s="14"/>
    </row>
    <row r="1726" spans="1:13" x14ac:dyDescent="0.25">
      <c r="A1726" s="14"/>
      <c r="B1726" s="14"/>
      <c r="C1726" s="14"/>
      <c r="D1726" s="92"/>
      <c r="E1726" s="14"/>
      <c r="F1726" s="14"/>
      <c r="G1726" s="14"/>
      <c r="H1726" s="14"/>
      <c r="I1726" s="67"/>
      <c r="J1726" s="14"/>
      <c r="K1726" s="14"/>
      <c r="L1726" s="14"/>
      <c r="M1726" s="14"/>
    </row>
    <row r="1727" spans="1:13" x14ac:dyDescent="0.25">
      <c r="A1727" s="14"/>
      <c r="B1727" s="14"/>
      <c r="C1727" s="14"/>
      <c r="D1727" s="92"/>
      <c r="E1727" s="14"/>
      <c r="F1727" s="14"/>
      <c r="G1727" s="14"/>
      <c r="H1727" s="14"/>
      <c r="I1727" s="67"/>
      <c r="J1727" s="14"/>
      <c r="K1727" s="14"/>
      <c r="L1727" s="14"/>
      <c r="M1727" s="14"/>
    </row>
    <row r="1728" spans="1:13" x14ac:dyDescent="0.25">
      <c r="A1728" s="14"/>
      <c r="B1728" s="14"/>
      <c r="C1728" s="14"/>
      <c r="D1728" s="92"/>
      <c r="E1728" s="14"/>
      <c r="F1728" s="14"/>
      <c r="G1728" s="14"/>
      <c r="H1728" s="14"/>
      <c r="I1728" s="67"/>
      <c r="J1728" s="14"/>
      <c r="K1728" s="14"/>
      <c r="L1728" s="14"/>
      <c r="M1728" s="14"/>
    </row>
    <row r="1729" spans="1:13" x14ac:dyDescent="0.25">
      <c r="A1729" s="14"/>
      <c r="B1729" s="14"/>
      <c r="C1729" s="14"/>
      <c r="D1729" s="92"/>
      <c r="E1729" s="14"/>
      <c r="F1729" s="14"/>
      <c r="G1729" s="14"/>
      <c r="H1729" s="14"/>
      <c r="I1729" s="67"/>
      <c r="J1729" s="14"/>
      <c r="K1729" s="14"/>
      <c r="L1729" s="14"/>
      <c r="M1729" s="14"/>
    </row>
    <row r="1730" spans="1:13" x14ac:dyDescent="0.25">
      <c r="A1730" s="14"/>
      <c r="B1730" s="14"/>
      <c r="C1730" s="14"/>
      <c r="D1730" s="92"/>
      <c r="E1730" s="14"/>
      <c r="F1730" s="14"/>
      <c r="G1730" s="14"/>
      <c r="H1730" s="14"/>
      <c r="I1730" s="67"/>
      <c r="J1730" s="14"/>
      <c r="K1730" s="14"/>
      <c r="L1730" s="14"/>
      <c r="M1730" s="14"/>
    </row>
    <row r="1731" spans="1:13" x14ac:dyDescent="0.25">
      <c r="A1731" s="14"/>
      <c r="B1731" s="14"/>
      <c r="C1731" s="14"/>
      <c r="D1731" s="92"/>
      <c r="E1731" s="14"/>
      <c r="F1731" s="14"/>
      <c r="G1731" s="14"/>
      <c r="H1731" s="14"/>
      <c r="I1731" s="67"/>
      <c r="J1731" s="14"/>
      <c r="K1731" s="14"/>
      <c r="L1731" s="14"/>
      <c r="M1731" s="14"/>
    </row>
    <row r="1732" spans="1:13" x14ac:dyDescent="0.25">
      <c r="A1732" s="14"/>
      <c r="B1732" s="14"/>
      <c r="C1732" s="14"/>
      <c r="D1732" s="92"/>
      <c r="E1732" s="14"/>
      <c r="F1732" s="14"/>
      <c r="G1732" s="14"/>
      <c r="H1732" s="14"/>
      <c r="I1732" s="67"/>
      <c r="J1732" s="14"/>
      <c r="K1732" s="14"/>
      <c r="L1732" s="14"/>
      <c r="M1732" s="14"/>
    </row>
    <row r="1733" spans="1:13" x14ac:dyDescent="0.25">
      <c r="A1733" s="14"/>
      <c r="B1733" s="14"/>
      <c r="C1733" s="14"/>
      <c r="D1733" s="92"/>
      <c r="E1733" s="14"/>
      <c r="F1733" s="14"/>
      <c r="G1733" s="14"/>
      <c r="H1733" s="14"/>
      <c r="I1733" s="67"/>
      <c r="J1733" s="14"/>
      <c r="K1733" s="14"/>
      <c r="L1733" s="14"/>
      <c r="M1733" s="14"/>
    </row>
    <row r="1734" spans="1:13" x14ac:dyDescent="0.25">
      <c r="A1734" s="14"/>
      <c r="B1734" s="14"/>
      <c r="C1734" s="14"/>
      <c r="D1734" s="92"/>
      <c r="E1734" s="14"/>
      <c r="F1734" s="14"/>
      <c r="G1734" s="14"/>
      <c r="H1734" s="14"/>
      <c r="I1734" s="67"/>
      <c r="J1734" s="14"/>
      <c r="K1734" s="14"/>
      <c r="L1734" s="14"/>
      <c r="M1734" s="14"/>
    </row>
    <row r="1735" spans="1:13" x14ac:dyDescent="0.25">
      <c r="A1735" s="14"/>
      <c r="B1735" s="14"/>
      <c r="C1735" s="14"/>
      <c r="D1735" s="92"/>
      <c r="E1735" s="14"/>
      <c r="F1735" s="14"/>
      <c r="G1735" s="14"/>
      <c r="H1735" s="14"/>
      <c r="I1735" s="67"/>
      <c r="J1735" s="14"/>
      <c r="K1735" s="14"/>
      <c r="L1735" s="14"/>
      <c r="M1735" s="14"/>
    </row>
    <row r="1736" spans="1:13" x14ac:dyDescent="0.25">
      <c r="A1736" s="14"/>
      <c r="B1736" s="14"/>
      <c r="C1736" s="14"/>
      <c r="D1736" s="92"/>
      <c r="E1736" s="14"/>
      <c r="F1736" s="14"/>
      <c r="G1736" s="14"/>
      <c r="H1736" s="14"/>
      <c r="I1736" s="67"/>
      <c r="J1736" s="14"/>
      <c r="K1736" s="14"/>
      <c r="L1736" s="14"/>
      <c r="M1736" s="14"/>
    </row>
    <row r="1737" spans="1:13" x14ac:dyDescent="0.25">
      <c r="A1737" s="14"/>
      <c r="B1737" s="14"/>
      <c r="C1737" s="14"/>
      <c r="D1737" s="92"/>
      <c r="E1737" s="14"/>
      <c r="F1737" s="14"/>
      <c r="G1737" s="14"/>
      <c r="H1737" s="14"/>
      <c r="I1737" s="67"/>
      <c r="J1737" s="14"/>
      <c r="K1737" s="14"/>
      <c r="L1737" s="14"/>
      <c r="M1737" s="14"/>
    </row>
    <row r="1738" spans="1:13" x14ac:dyDescent="0.25">
      <c r="A1738" s="14"/>
      <c r="B1738" s="14"/>
      <c r="C1738" s="14"/>
      <c r="D1738" s="92"/>
      <c r="E1738" s="14"/>
      <c r="F1738" s="14"/>
      <c r="G1738" s="14"/>
      <c r="H1738" s="14"/>
      <c r="I1738" s="67"/>
      <c r="J1738" s="14"/>
      <c r="K1738" s="14"/>
      <c r="L1738" s="14"/>
      <c r="M1738" s="14"/>
    </row>
    <row r="1739" spans="1:13" x14ac:dyDescent="0.25">
      <c r="A1739" s="14"/>
      <c r="B1739" s="14"/>
      <c r="C1739" s="14"/>
      <c r="D1739" s="92"/>
      <c r="E1739" s="14"/>
      <c r="F1739" s="14"/>
      <c r="G1739" s="14"/>
      <c r="H1739" s="14"/>
      <c r="I1739" s="67"/>
      <c r="J1739" s="14"/>
      <c r="K1739" s="14"/>
      <c r="L1739" s="14"/>
      <c r="M1739" s="14"/>
    </row>
    <row r="1740" spans="1:13" x14ac:dyDescent="0.25">
      <c r="A1740" s="14"/>
      <c r="B1740" s="14"/>
      <c r="C1740" s="14"/>
      <c r="D1740" s="92"/>
      <c r="E1740" s="14"/>
      <c r="F1740" s="14"/>
      <c r="G1740" s="14"/>
      <c r="H1740" s="14"/>
      <c r="I1740" s="67"/>
      <c r="J1740" s="14"/>
      <c r="K1740" s="14"/>
      <c r="L1740" s="14"/>
      <c r="M1740" s="14"/>
    </row>
    <row r="1741" spans="1:13" x14ac:dyDescent="0.25">
      <c r="A1741" s="14"/>
      <c r="B1741" s="14"/>
      <c r="C1741" s="14"/>
      <c r="D1741" s="92"/>
      <c r="E1741" s="14"/>
      <c r="F1741" s="14"/>
      <c r="G1741" s="14"/>
      <c r="H1741" s="14"/>
      <c r="I1741" s="67"/>
      <c r="J1741" s="14"/>
      <c r="K1741" s="14"/>
      <c r="L1741" s="14"/>
      <c r="M1741" s="14"/>
    </row>
    <row r="1742" spans="1:13" x14ac:dyDescent="0.25">
      <c r="A1742" s="14"/>
      <c r="B1742" s="14"/>
      <c r="C1742" s="14"/>
      <c r="D1742" s="92"/>
      <c r="E1742" s="14"/>
      <c r="F1742" s="14"/>
      <c r="G1742" s="14"/>
      <c r="H1742" s="14"/>
      <c r="I1742" s="67"/>
      <c r="J1742" s="14"/>
      <c r="K1742" s="14"/>
      <c r="L1742" s="14"/>
      <c r="M1742" s="14"/>
    </row>
    <row r="1743" spans="1:13" x14ac:dyDescent="0.25">
      <c r="A1743" s="14"/>
      <c r="B1743" s="14"/>
      <c r="C1743" s="14"/>
      <c r="D1743" s="92"/>
      <c r="E1743" s="14"/>
      <c r="F1743" s="14"/>
      <c r="G1743" s="14"/>
      <c r="H1743" s="14"/>
      <c r="I1743" s="67"/>
      <c r="J1743" s="14"/>
      <c r="K1743" s="14"/>
      <c r="L1743" s="14"/>
      <c r="M1743" s="14"/>
    </row>
    <row r="1744" spans="1:13" x14ac:dyDescent="0.25">
      <c r="A1744" s="14"/>
      <c r="B1744" s="14"/>
      <c r="C1744" s="14"/>
      <c r="D1744" s="92"/>
      <c r="E1744" s="14"/>
      <c r="F1744" s="14"/>
      <c r="G1744" s="14"/>
      <c r="H1744" s="14"/>
      <c r="I1744" s="67"/>
      <c r="J1744" s="14"/>
      <c r="K1744" s="14"/>
      <c r="L1744" s="14"/>
      <c r="M1744" s="14"/>
    </row>
    <row r="1745" spans="1:13" x14ac:dyDescent="0.25">
      <c r="A1745" s="14"/>
      <c r="B1745" s="14"/>
      <c r="C1745" s="14"/>
      <c r="D1745" s="92"/>
      <c r="E1745" s="14"/>
      <c r="F1745" s="14"/>
      <c r="G1745" s="14"/>
      <c r="H1745" s="14"/>
      <c r="I1745" s="67"/>
      <c r="J1745" s="14"/>
      <c r="K1745" s="14"/>
      <c r="L1745" s="14"/>
      <c r="M1745" s="14"/>
    </row>
    <row r="1746" spans="1:13" x14ac:dyDescent="0.25">
      <c r="A1746" s="14"/>
      <c r="B1746" s="14"/>
      <c r="C1746" s="14"/>
      <c r="D1746" s="92"/>
      <c r="E1746" s="14"/>
      <c r="F1746" s="14"/>
      <c r="G1746" s="14"/>
      <c r="H1746" s="14"/>
      <c r="I1746" s="67"/>
      <c r="J1746" s="14"/>
      <c r="K1746" s="14"/>
      <c r="L1746" s="14"/>
      <c r="M1746" s="14"/>
    </row>
    <row r="1747" spans="1:13" x14ac:dyDescent="0.25">
      <c r="A1747" s="14"/>
      <c r="B1747" s="14"/>
      <c r="C1747" s="14"/>
      <c r="D1747" s="92"/>
      <c r="E1747" s="14"/>
      <c r="F1747" s="14"/>
      <c r="G1747" s="14"/>
      <c r="H1747" s="14"/>
      <c r="I1747" s="67"/>
      <c r="J1747" s="14"/>
      <c r="K1747" s="14"/>
      <c r="L1747" s="14"/>
      <c r="M1747" s="14"/>
    </row>
    <row r="1748" spans="1:13" x14ac:dyDescent="0.25">
      <c r="A1748" s="14"/>
      <c r="B1748" s="14"/>
      <c r="C1748" s="14"/>
      <c r="D1748" s="92"/>
      <c r="E1748" s="14"/>
      <c r="F1748" s="14"/>
      <c r="G1748" s="14"/>
      <c r="H1748" s="14"/>
      <c r="I1748" s="67"/>
      <c r="J1748" s="14"/>
      <c r="K1748" s="14"/>
      <c r="L1748" s="14"/>
      <c r="M1748" s="14"/>
    </row>
    <row r="1749" spans="1:13" x14ac:dyDescent="0.25">
      <c r="A1749" s="14"/>
      <c r="B1749" s="14"/>
      <c r="C1749" s="14"/>
      <c r="D1749" s="92"/>
      <c r="E1749" s="14"/>
      <c r="F1749" s="14"/>
      <c r="G1749" s="14"/>
      <c r="H1749" s="14"/>
      <c r="I1749" s="67"/>
      <c r="J1749" s="14"/>
      <c r="K1749" s="14"/>
      <c r="L1749" s="14"/>
      <c r="M1749" s="14"/>
    </row>
    <row r="1750" spans="1:13" x14ac:dyDescent="0.25">
      <c r="A1750" s="14"/>
      <c r="B1750" s="14"/>
      <c r="C1750" s="14"/>
      <c r="D1750" s="92"/>
      <c r="E1750" s="14"/>
      <c r="F1750" s="14"/>
      <c r="G1750" s="14"/>
      <c r="H1750" s="14"/>
      <c r="I1750" s="67"/>
      <c r="J1750" s="14"/>
      <c r="K1750" s="14"/>
      <c r="L1750" s="14"/>
      <c r="M1750" s="14"/>
    </row>
    <row r="1751" spans="1:13" x14ac:dyDescent="0.25">
      <c r="A1751" s="14"/>
      <c r="B1751" s="14"/>
      <c r="C1751" s="14"/>
      <c r="D1751" s="92"/>
      <c r="E1751" s="14"/>
      <c r="F1751" s="14"/>
      <c r="G1751" s="14"/>
      <c r="H1751" s="14"/>
      <c r="I1751" s="67"/>
      <c r="J1751" s="14"/>
      <c r="K1751" s="14"/>
      <c r="L1751" s="14"/>
      <c r="M1751" s="14"/>
    </row>
    <row r="1752" spans="1:13" x14ac:dyDescent="0.25">
      <c r="A1752" s="14"/>
      <c r="B1752" s="14"/>
      <c r="C1752" s="14"/>
      <c r="D1752" s="92"/>
      <c r="E1752" s="14"/>
      <c r="F1752" s="14"/>
      <c r="G1752" s="14"/>
      <c r="H1752" s="14"/>
      <c r="I1752" s="67"/>
      <c r="J1752" s="14"/>
      <c r="K1752" s="14"/>
      <c r="L1752" s="14"/>
      <c r="M1752" s="14"/>
    </row>
    <row r="1753" spans="1:13" x14ac:dyDescent="0.25">
      <c r="A1753" s="14"/>
      <c r="B1753" s="14"/>
      <c r="C1753" s="14"/>
      <c r="D1753" s="92"/>
      <c r="E1753" s="14"/>
      <c r="F1753" s="14"/>
      <c r="G1753" s="14"/>
      <c r="H1753" s="14"/>
      <c r="I1753" s="67"/>
      <c r="J1753" s="14"/>
      <c r="K1753" s="14"/>
      <c r="L1753" s="14"/>
      <c r="M1753" s="14"/>
    </row>
    <row r="1754" spans="1:13" x14ac:dyDescent="0.25">
      <c r="A1754" s="14"/>
      <c r="B1754" s="14"/>
      <c r="C1754" s="14"/>
      <c r="D1754" s="92"/>
      <c r="E1754" s="14"/>
      <c r="F1754" s="14"/>
      <c r="G1754" s="14"/>
      <c r="H1754" s="14"/>
      <c r="I1754" s="67"/>
      <c r="J1754" s="14"/>
      <c r="K1754" s="14"/>
      <c r="L1754" s="14"/>
      <c r="M1754" s="14"/>
    </row>
    <row r="1755" spans="1:13" x14ac:dyDescent="0.25">
      <c r="A1755" s="14"/>
      <c r="B1755" s="14"/>
      <c r="C1755" s="14"/>
      <c r="D1755" s="92"/>
      <c r="E1755" s="14"/>
      <c r="F1755" s="14"/>
      <c r="G1755" s="14"/>
      <c r="H1755" s="14"/>
      <c r="I1755" s="67"/>
      <c r="J1755" s="14"/>
      <c r="K1755" s="14"/>
      <c r="L1755" s="14"/>
      <c r="M1755" s="14"/>
    </row>
    <row r="1756" spans="1:13" x14ac:dyDescent="0.25">
      <c r="A1756" s="14"/>
      <c r="B1756" s="14"/>
      <c r="C1756" s="14"/>
      <c r="D1756" s="92"/>
      <c r="E1756" s="14"/>
      <c r="F1756" s="14"/>
      <c r="G1756" s="14"/>
      <c r="H1756" s="14"/>
      <c r="I1756" s="67"/>
      <c r="J1756" s="14"/>
      <c r="K1756" s="14"/>
      <c r="L1756" s="14"/>
      <c r="M1756" s="14"/>
    </row>
    <row r="1757" spans="1:13" x14ac:dyDescent="0.25">
      <c r="A1757" s="14"/>
      <c r="B1757" s="14"/>
      <c r="C1757" s="14"/>
      <c r="D1757" s="92"/>
      <c r="E1757" s="14"/>
      <c r="F1757" s="14"/>
      <c r="G1757" s="14"/>
      <c r="H1757" s="14"/>
      <c r="I1757" s="67"/>
      <c r="J1757" s="14"/>
      <c r="K1757" s="14"/>
      <c r="L1757" s="14"/>
      <c r="M1757" s="14"/>
    </row>
    <row r="1758" spans="1:13" x14ac:dyDescent="0.25">
      <c r="A1758" s="14"/>
      <c r="B1758" s="14"/>
      <c r="C1758" s="14"/>
      <c r="D1758" s="92"/>
      <c r="E1758" s="14"/>
      <c r="F1758" s="14"/>
      <c r="G1758" s="14"/>
      <c r="H1758" s="14"/>
      <c r="I1758" s="67"/>
      <c r="J1758" s="14"/>
      <c r="K1758" s="14"/>
      <c r="L1758" s="14"/>
      <c r="M1758" s="14"/>
    </row>
    <row r="1759" spans="1:13" x14ac:dyDescent="0.25">
      <c r="A1759" s="14"/>
      <c r="B1759" s="14"/>
      <c r="C1759" s="14"/>
      <c r="D1759" s="92"/>
      <c r="E1759" s="14"/>
      <c r="F1759" s="14"/>
      <c r="G1759" s="14"/>
      <c r="H1759" s="14"/>
      <c r="I1759" s="67"/>
      <c r="J1759" s="14"/>
      <c r="K1759" s="14"/>
      <c r="L1759" s="14"/>
      <c r="M1759" s="14"/>
    </row>
    <row r="1760" spans="1:13" x14ac:dyDescent="0.25">
      <c r="A1760" s="14"/>
      <c r="B1760" s="14"/>
      <c r="C1760" s="14"/>
      <c r="D1760" s="92"/>
      <c r="E1760" s="14"/>
      <c r="F1760" s="14"/>
      <c r="G1760" s="14"/>
      <c r="H1760" s="14"/>
      <c r="I1760" s="67"/>
      <c r="J1760" s="14"/>
      <c r="K1760" s="14"/>
      <c r="L1760" s="14"/>
      <c r="M1760" s="14"/>
    </row>
    <row r="1761" spans="1:13" x14ac:dyDescent="0.25">
      <c r="A1761" s="14"/>
      <c r="B1761" s="14"/>
      <c r="C1761" s="14"/>
      <c r="D1761" s="92"/>
      <c r="E1761" s="14"/>
      <c r="F1761" s="14"/>
      <c r="G1761" s="14"/>
      <c r="H1761" s="14"/>
      <c r="I1761" s="67"/>
      <c r="J1761" s="14"/>
      <c r="K1761" s="14"/>
      <c r="L1761" s="14"/>
      <c r="M1761" s="14"/>
    </row>
    <row r="1762" spans="1:13" x14ac:dyDescent="0.25">
      <c r="A1762" s="14"/>
      <c r="B1762" s="14"/>
      <c r="C1762" s="14"/>
      <c r="D1762" s="92"/>
      <c r="E1762" s="14"/>
      <c r="F1762" s="14"/>
      <c r="G1762" s="14"/>
      <c r="H1762" s="14"/>
      <c r="I1762" s="67"/>
      <c r="J1762" s="14"/>
      <c r="K1762" s="14"/>
      <c r="L1762" s="14"/>
      <c r="M1762" s="14"/>
    </row>
    <row r="1763" spans="1:13" x14ac:dyDescent="0.25">
      <c r="A1763" s="14"/>
      <c r="B1763" s="14"/>
      <c r="C1763" s="14"/>
      <c r="D1763" s="92"/>
      <c r="E1763" s="14"/>
      <c r="F1763" s="14"/>
      <c r="G1763" s="14"/>
      <c r="H1763" s="14"/>
      <c r="I1763" s="67"/>
      <c r="J1763" s="14"/>
      <c r="K1763" s="14"/>
      <c r="L1763" s="14"/>
      <c r="M1763" s="14"/>
    </row>
    <row r="1764" spans="1:13" x14ac:dyDescent="0.25">
      <c r="A1764" s="14"/>
      <c r="B1764" s="14"/>
      <c r="C1764" s="14"/>
      <c r="D1764" s="92"/>
      <c r="E1764" s="14"/>
      <c r="F1764" s="14"/>
      <c r="G1764" s="14"/>
      <c r="H1764" s="14"/>
      <c r="I1764" s="67"/>
      <c r="J1764" s="14"/>
      <c r="K1764" s="14"/>
      <c r="L1764" s="14"/>
      <c r="M1764" s="14"/>
    </row>
    <row r="1765" spans="1:13" x14ac:dyDescent="0.25">
      <c r="A1765" s="14"/>
      <c r="B1765" s="14"/>
      <c r="C1765" s="14"/>
      <c r="D1765" s="92"/>
      <c r="E1765" s="14"/>
      <c r="F1765" s="14"/>
      <c r="G1765" s="14"/>
      <c r="H1765" s="14"/>
      <c r="I1765" s="67"/>
      <c r="J1765" s="14"/>
      <c r="K1765" s="14"/>
      <c r="L1765" s="14"/>
      <c r="M1765" s="14"/>
    </row>
    <row r="1766" spans="1:13" x14ac:dyDescent="0.25">
      <c r="A1766" s="14"/>
      <c r="B1766" s="14"/>
      <c r="C1766" s="14"/>
      <c r="D1766" s="92"/>
      <c r="E1766" s="14"/>
      <c r="F1766" s="14"/>
      <c r="G1766" s="14"/>
      <c r="H1766" s="14"/>
      <c r="I1766" s="67"/>
      <c r="J1766" s="14"/>
      <c r="K1766" s="14"/>
      <c r="L1766" s="14"/>
      <c r="M1766" s="14"/>
    </row>
    <row r="1767" spans="1:13" x14ac:dyDescent="0.25">
      <c r="A1767" s="14"/>
      <c r="B1767" s="14"/>
      <c r="C1767" s="14"/>
      <c r="D1767" s="92"/>
      <c r="E1767" s="14"/>
      <c r="F1767" s="14"/>
      <c r="G1767" s="14"/>
      <c r="H1767" s="14"/>
      <c r="I1767" s="67"/>
      <c r="J1767" s="14"/>
      <c r="K1767" s="14"/>
      <c r="L1767" s="14"/>
      <c r="M1767" s="14"/>
    </row>
    <row r="1768" spans="1:13" x14ac:dyDescent="0.25">
      <c r="A1768" s="14"/>
      <c r="B1768" s="14"/>
      <c r="C1768" s="14"/>
      <c r="D1768" s="92"/>
      <c r="E1768" s="14"/>
      <c r="F1768" s="14"/>
      <c r="G1768" s="14"/>
      <c r="H1768" s="14"/>
      <c r="I1768" s="67"/>
      <c r="J1768" s="14"/>
      <c r="K1768" s="14"/>
      <c r="L1768" s="14"/>
      <c r="M1768" s="14"/>
    </row>
    <row r="1769" spans="1:13" x14ac:dyDescent="0.25">
      <c r="A1769" s="14"/>
      <c r="B1769" s="14"/>
      <c r="C1769" s="14"/>
      <c r="D1769" s="92"/>
      <c r="E1769" s="14"/>
      <c r="F1769" s="14"/>
      <c r="G1769" s="14"/>
      <c r="H1769" s="14"/>
      <c r="I1769" s="67"/>
      <c r="J1769" s="14"/>
      <c r="K1769" s="14"/>
      <c r="L1769" s="14"/>
      <c r="M1769" s="14"/>
    </row>
    <row r="1770" spans="1:13" x14ac:dyDescent="0.25">
      <c r="A1770" s="14"/>
      <c r="B1770" s="14"/>
      <c r="C1770" s="14"/>
      <c r="D1770" s="92"/>
      <c r="E1770" s="14"/>
      <c r="F1770" s="14"/>
      <c r="G1770" s="14"/>
      <c r="H1770" s="14"/>
      <c r="I1770" s="67"/>
      <c r="J1770" s="14"/>
      <c r="K1770" s="14"/>
      <c r="L1770" s="14"/>
      <c r="M1770" s="14"/>
    </row>
    <row r="1771" spans="1:13" x14ac:dyDescent="0.25">
      <c r="A1771" s="14"/>
      <c r="B1771" s="14"/>
      <c r="C1771" s="14"/>
      <c r="D1771" s="92"/>
      <c r="E1771" s="14"/>
      <c r="F1771" s="14"/>
      <c r="G1771" s="14"/>
      <c r="H1771" s="14"/>
      <c r="I1771" s="67"/>
      <c r="J1771" s="14"/>
      <c r="K1771" s="14"/>
      <c r="L1771" s="14"/>
      <c r="M1771" s="14"/>
    </row>
    <row r="1772" spans="1:13" x14ac:dyDescent="0.25">
      <c r="A1772" s="14"/>
      <c r="B1772" s="14"/>
      <c r="C1772" s="14"/>
      <c r="D1772" s="92"/>
      <c r="E1772" s="14"/>
      <c r="F1772" s="14"/>
      <c r="G1772" s="14"/>
      <c r="H1772" s="14"/>
      <c r="I1772" s="67"/>
      <c r="J1772" s="14"/>
      <c r="K1772" s="14"/>
      <c r="L1772" s="14"/>
      <c r="M1772" s="14"/>
    </row>
    <row r="1773" spans="1:13" x14ac:dyDescent="0.25">
      <c r="A1773" s="14"/>
      <c r="B1773" s="14"/>
      <c r="C1773" s="14"/>
      <c r="D1773" s="92"/>
      <c r="E1773" s="14"/>
      <c r="F1773" s="14"/>
      <c r="G1773" s="14"/>
      <c r="H1773" s="14"/>
      <c r="I1773" s="67"/>
      <c r="J1773" s="14"/>
      <c r="K1773" s="14"/>
      <c r="L1773" s="14"/>
      <c r="M1773" s="14"/>
    </row>
    <row r="1774" spans="1:13" x14ac:dyDescent="0.25">
      <c r="A1774" s="14"/>
      <c r="B1774" s="14"/>
      <c r="C1774" s="14"/>
      <c r="D1774" s="92"/>
      <c r="E1774" s="14"/>
      <c r="F1774" s="14"/>
      <c r="G1774" s="14"/>
      <c r="H1774" s="14"/>
      <c r="I1774" s="67"/>
      <c r="J1774" s="14"/>
      <c r="K1774" s="14"/>
      <c r="L1774" s="14"/>
      <c r="M1774" s="14"/>
    </row>
    <row r="1775" spans="1:13" x14ac:dyDescent="0.25">
      <c r="A1775" s="14"/>
      <c r="B1775" s="14"/>
      <c r="C1775" s="14"/>
      <c r="D1775" s="92"/>
      <c r="E1775" s="14"/>
      <c r="F1775" s="14"/>
      <c r="G1775" s="14"/>
      <c r="H1775" s="14"/>
      <c r="I1775" s="67"/>
      <c r="J1775" s="14"/>
      <c r="K1775" s="14"/>
      <c r="L1775" s="14"/>
      <c r="M1775" s="14"/>
    </row>
    <row r="1776" spans="1:13" x14ac:dyDescent="0.25">
      <c r="A1776" s="14"/>
      <c r="B1776" s="14"/>
      <c r="C1776" s="14"/>
      <c r="D1776" s="92"/>
      <c r="E1776" s="14"/>
      <c r="F1776" s="14"/>
      <c r="G1776" s="14"/>
      <c r="H1776" s="14"/>
      <c r="I1776" s="67"/>
      <c r="J1776" s="14"/>
      <c r="K1776" s="14"/>
      <c r="L1776" s="14"/>
      <c r="M1776" s="14"/>
    </row>
    <row r="1777" spans="1:13" x14ac:dyDescent="0.25">
      <c r="A1777" s="14"/>
      <c r="B1777" s="14"/>
      <c r="C1777" s="14"/>
      <c r="D1777" s="92"/>
      <c r="E1777" s="14"/>
      <c r="F1777" s="14"/>
      <c r="G1777" s="14"/>
      <c r="H1777" s="14"/>
      <c r="I1777" s="67"/>
      <c r="J1777" s="14"/>
      <c r="K1777" s="14"/>
      <c r="L1777" s="14"/>
      <c r="M1777" s="14"/>
    </row>
    <row r="1778" spans="1:13" x14ac:dyDescent="0.25">
      <c r="A1778" s="14"/>
      <c r="B1778" s="14"/>
      <c r="C1778" s="14"/>
      <c r="D1778" s="92"/>
      <c r="E1778" s="14"/>
      <c r="F1778" s="14"/>
      <c r="G1778" s="14"/>
      <c r="H1778" s="14"/>
      <c r="I1778" s="67"/>
      <c r="J1778" s="14"/>
      <c r="K1778" s="14"/>
      <c r="L1778" s="14"/>
      <c r="M1778" s="14"/>
    </row>
    <row r="1779" spans="1:13" x14ac:dyDescent="0.25">
      <c r="A1779" s="14"/>
      <c r="B1779" s="14"/>
      <c r="C1779" s="14"/>
      <c r="D1779" s="92"/>
      <c r="E1779" s="14"/>
      <c r="F1779" s="14"/>
      <c r="G1779" s="14"/>
      <c r="H1779" s="14"/>
      <c r="I1779" s="67"/>
      <c r="J1779" s="14"/>
      <c r="K1779" s="14"/>
      <c r="L1779" s="14"/>
      <c r="M1779" s="14"/>
    </row>
    <row r="1780" spans="1:13" x14ac:dyDescent="0.25">
      <c r="A1780" s="14"/>
      <c r="B1780" s="14"/>
      <c r="C1780" s="14"/>
      <c r="D1780" s="92"/>
      <c r="E1780" s="14"/>
      <c r="F1780" s="14"/>
      <c r="G1780" s="14"/>
      <c r="H1780" s="14"/>
      <c r="I1780" s="67"/>
      <c r="J1780" s="14"/>
      <c r="K1780" s="14"/>
      <c r="L1780" s="14"/>
      <c r="M1780" s="14"/>
    </row>
    <row r="1781" spans="1:13" x14ac:dyDescent="0.25">
      <c r="A1781" s="14"/>
      <c r="B1781" s="14"/>
      <c r="C1781" s="14"/>
      <c r="D1781" s="92"/>
      <c r="E1781" s="14"/>
      <c r="F1781" s="14"/>
      <c r="G1781" s="14"/>
      <c r="H1781" s="14"/>
      <c r="I1781" s="67"/>
      <c r="J1781" s="14"/>
      <c r="K1781" s="14"/>
      <c r="L1781" s="14"/>
      <c r="M1781" s="14"/>
    </row>
    <row r="1782" spans="1:13" x14ac:dyDescent="0.25">
      <c r="A1782" s="14"/>
      <c r="B1782" s="14"/>
      <c r="C1782" s="14"/>
      <c r="D1782" s="92"/>
      <c r="E1782" s="14"/>
      <c r="F1782" s="14"/>
      <c r="G1782" s="14"/>
      <c r="H1782" s="14"/>
      <c r="I1782" s="67"/>
      <c r="J1782" s="14"/>
      <c r="K1782" s="14"/>
      <c r="L1782" s="14"/>
      <c r="M1782" s="14"/>
    </row>
    <row r="1783" spans="1:13" x14ac:dyDescent="0.25">
      <c r="A1783" s="14"/>
      <c r="B1783" s="14"/>
      <c r="C1783" s="14"/>
      <c r="D1783" s="92"/>
      <c r="E1783" s="14"/>
      <c r="F1783" s="14"/>
      <c r="G1783" s="14"/>
      <c r="H1783" s="14"/>
      <c r="I1783" s="67"/>
      <c r="J1783" s="14"/>
      <c r="K1783" s="14"/>
      <c r="L1783" s="14"/>
      <c r="M1783" s="14"/>
    </row>
    <row r="1784" spans="1:13" x14ac:dyDescent="0.25">
      <c r="A1784" s="14"/>
      <c r="B1784" s="14"/>
      <c r="C1784" s="14"/>
      <c r="D1784" s="92"/>
      <c r="E1784" s="14"/>
      <c r="F1784" s="14"/>
      <c r="G1784" s="14"/>
      <c r="H1784" s="14"/>
      <c r="I1784" s="67"/>
      <c r="J1784" s="14"/>
      <c r="K1784" s="14"/>
      <c r="L1784" s="14"/>
      <c r="M1784" s="14"/>
    </row>
    <row r="1785" spans="1:13" x14ac:dyDescent="0.25">
      <c r="A1785" s="14"/>
      <c r="B1785" s="14"/>
      <c r="C1785" s="14"/>
      <c r="D1785" s="92"/>
      <c r="E1785" s="14"/>
      <c r="F1785" s="14"/>
      <c r="G1785" s="14"/>
      <c r="H1785" s="14"/>
      <c r="I1785" s="67"/>
      <c r="J1785" s="14"/>
      <c r="K1785" s="14"/>
      <c r="L1785" s="14"/>
      <c r="M1785" s="14"/>
    </row>
    <row r="1786" spans="1:13" x14ac:dyDescent="0.25">
      <c r="A1786" s="14"/>
      <c r="B1786" s="14"/>
      <c r="C1786" s="14"/>
      <c r="D1786" s="92"/>
      <c r="E1786" s="14"/>
      <c r="F1786" s="14"/>
      <c r="G1786" s="14"/>
      <c r="H1786" s="14"/>
      <c r="I1786" s="67"/>
      <c r="J1786" s="14"/>
      <c r="K1786" s="14"/>
      <c r="L1786" s="14"/>
      <c r="M1786" s="14"/>
    </row>
    <row r="1787" spans="1:13" x14ac:dyDescent="0.25">
      <c r="A1787" s="14"/>
      <c r="B1787" s="14"/>
      <c r="C1787" s="14"/>
      <c r="D1787" s="92"/>
      <c r="E1787" s="14"/>
      <c r="F1787" s="14"/>
      <c r="G1787" s="14"/>
      <c r="H1787" s="14"/>
      <c r="I1787" s="67"/>
      <c r="J1787" s="14"/>
      <c r="K1787" s="14"/>
      <c r="L1787" s="14"/>
      <c r="M1787" s="14"/>
    </row>
    <row r="1788" spans="1:13" x14ac:dyDescent="0.25">
      <c r="A1788" s="14"/>
      <c r="B1788" s="14"/>
      <c r="C1788" s="14"/>
      <c r="D1788" s="92"/>
      <c r="E1788" s="14"/>
      <c r="F1788" s="14"/>
      <c r="G1788" s="14"/>
      <c r="H1788" s="14"/>
      <c r="I1788" s="67"/>
      <c r="J1788" s="14"/>
      <c r="K1788" s="14"/>
      <c r="L1788" s="14"/>
      <c r="M1788" s="14"/>
    </row>
    <row r="1789" spans="1:13" x14ac:dyDescent="0.25">
      <c r="A1789" s="14"/>
      <c r="B1789" s="14"/>
      <c r="C1789" s="14"/>
      <c r="D1789" s="92"/>
      <c r="E1789" s="14"/>
      <c r="F1789" s="14"/>
      <c r="G1789" s="14"/>
      <c r="H1789" s="14"/>
      <c r="I1789" s="67"/>
      <c r="J1789" s="14"/>
      <c r="K1789" s="14"/>
      <c r="L1789" s="14"/>
      <c r="M1789" s="14"/>
    </row>
    <row r="1790" spans="1:13" x14ac:dyDescent="0.25">
      <c r="A1790" s="14"/>
      <c r="B1790" s="14"/>
      <c r="C1790" s="14"/>
      <c r="D1790" s="92"/>
      <c r="E1790" s="14"/>
      <c r="F1790" s="14"/>
      <c r="G1790" s="14"/>
      <c r="H1790" s="14"/>
      <c r="I1790" s="67"/>
      <c r="J1790" s="14"/>
      <c r="K1790" s="14"/>
      <c r="L1790" s="14"/>
      <c r="M1790" s="14"/>
    </row>
    <row r="1791" spans="1:13" x14ac:dyDescent="0.25">
      <c r="A1791" s="14"/>
      <c r="B1791" s="14"/>
      <c r="C1791" s="14"/>
      <c r="D1791" s="92"/>
      <c r="E1791" s="14"/>
      <c r="F1791" s="14"/>
      <c r="G1791" s="14"/>
      <c r="H1791" s="14"/>
      <c r="I1791" s="67"/>
      <c r="J1791" s="14"/>
      <c r="K1791" s="14"/>
      <c r="L1791" s="14"/>
      <c r="M1791" s="14"/>
    </row>
    <row r="1792" spans="1:13" x14ac:dyDescent="0.25">
      <c r="A1792" s="14"/>
      <c r="B1792" s="14"/>
      <c r="C1792" s="14"/>
      <c r="D1792" s="92"/>
      <c r="E1792" s="14"/>
      <c r="F1792" s="14"/>
      <c r="G1792" s="14"/>
      <c r="H1792" s="14"/>
      <c r="I1792" s="67"/>
      <c r="J1792" s="14"/>
      <c r="K1792" s="14"/>
      <c r="L1792" s="14"/>
      <c r="M1792" s="14"/>
    </row>
    <row r="1793" spans="1:13" x14ac:dyDescent="0.25">
      <c r="A1793" s="14"/>
      <c r="B1793" s="14"/>
      <c r="C1793" s="14"/>
      <c r="D1793" s="92"/>
      <c r="E1793" s="14"/>
      <c r="F1793" s="14"/>
      <c r="G1793" s="14"/>
      <c r="H1793" s="14"/>
      <c r="I1793" s="67"/>
      <c r="J1793" s="14"/>
      <c r="K1793" s="14"/>
      <c r="L1793" s="14"/>
      <c r="M1793" s="14"/>
    </row>
    <row r="1794" spans="1:13" x14ac:dyDescent="0.25">
      <c r="A1794" s="14"/>
      <c r="B1794" s="14"/>
      <c r="C1794" s="14"/>
      <c r="D1794" s="92"/>
      <c r="E1794" s="14"/>
      <c r="F1794" s="14"/>
      <c r="G1794" s="14"/>
      <c r="H1794" s="14"/>
      <c r="I1794" s="67"/>
      <c r="J1794" s="14"/>
      <c r="K1794" s="14"/>
      <c r="L1794" s="14"/>
      <c r="M1794" s="14"/>
    </row>
    <row r="1795" spans="1:13" x14ac:dyDescent="0.25">
      <c r="A1795" s="14"/>
      <c r="B1795" s="14"/>
      <c r="C1795" s="14"/>
      <c r="D1795" s="92"/>
      <c r="E1795" s="14"/>
      <c r="F1795" s="14"/>
      <c r="G1795" s="14"/>
      <c r="H1795" s="14"/>
      <c r="I1795" s="67"/>
      <c r="J1795" s="14"/>
      <c r="K1795" s="14"/>
      <c r="L1795" s="14"/>
      <c r="M1795" s="14"/>
    </row>
    <row r="1796" spans="1:13" x14ac:dyDescent="0.25">
      <c r="A1796" s="14"/>
      <c r="B1796" s="14"/>
      <c r="C1796" s="14"/>
      <c r="D1796" s="92"/>
      <c r="E1796" s="14"/>
      <c r="F1796" s="14"/>
      <c r="G1796" s="14"/>
      <c r="H1796" s="14"/>
      <c r="I1796" s="67"/>
      <c r="J1796" s="14"/>
      <c r="K1796" s="14"/>
      <c r="L1796" s="14"/>
      <c r="M1796" s="14"/>
    </row>
    <row r="1797" spans="1:13" x14ac:dyDescent="0.25">
      <c r="A1797" s="14"/>
      <c r="B1797" s="14"/>
      <c r="C1797" s="14"/>
      <c r="D1797" s="92"/>
      <c r="E1797" s="14"/>
      <c r="F1797" s="14"/>
      <c r="G1797" s="14"/>
      <c r="H1797" s="14"/>
      <c r="I1797" s="67"/>
      <c r="J1797" s="14"/>
      <c r="K1797" s="14"/>
      <c r="L1797" s="14"/>
      <c r="M1797" s="14"/>
    </row>
    <row r="1798" spans="1:13" x14ac:dyDescent="0.25">
      <c r="A1798" s="14"/>
      <c r="B1798" s="14"/>
      <c r="C1798" s="14"/>
      <c r="D1798" s="92"/>
      <c r="E1798" s="14"/>
      <c r="F1798" s="14"/>
      <c r="G1798" s="14"/>
      <c r="H1798" s="14"/>
      <c r="I1798" s="67"/>
      <c r="J1798" s="14"/>
      <c r="K1798" s="14"/>
      <c r="L1798" s="14"/>
      <c r="M1798" s="14"/>
    </row>
    <row r="1799" spans="1:13" x14ac:dyDescent="0.25">
      <c r="A1799" s="14"/>
      <c r="B1799" s="14"/>
      <c r="C1799" s="14"/>
      <c r="D1799" s="92"/>
      <c r="E1799" s="14"/>
      <c r="F1799" s="14"/>
      <c r="G1799" s="14"/>
      <c r="H1799" s="14"/>
      <c r="I1799" s="67"/>
      <c r="J1799" s="14"/>
      <c r="K1799" s="14"/>
      <c r="L1799" s="14"/>
      <c r="M1799" s="14"/>
    </row>
    <row r="1800" spans="1:13" x14ac:dyDescent="0.25">
      <c r="A1800" s="14"/>
      <c r="B1800" s="14"/>
      <c r="C1800" s="14"/>
      <c r="D1800" s="92"/>
      <c r="E1800" s="14"/>
      <c r="F1800" s="14"/>
      <c r="G1800" s="14"/>
      <c r="H1800" s="14"/>
      <c r="I1800" s="67"/>
      <c r="J1800" s="14"/>
      <c r="K1800" s="14"/>
      <c r="L1800" s="14"/>
      <c r="M1800" s="14"/>
    </row>
    <row r="1801" spans="1:13" x14ac:dyDescent="0.25">
      <c r="A1801" s="14"/>
      <c r="B1801" s="14"/>
      <c r="C1801" s="14"/>
      <c r="D1801" s="92"/>
      <c r="E1801" s="14"/>
      <c r="F1801" s="14"/>
      <c r="G1801" s="14"/>
      <c r="H1801" s="14"/>
      <c r="I1801" s="67"/>
      <c r="J1801" s="14"/>
      <c r="K1801" s="14"/>
      <c r="L1801" s="14"/>
      <c r="M1801" s="14"/>
    </row>
    <row r="1802" spans="1:13" x14ac:dyDescent="0.25">
      <c r="A1802" s="14"/>
      <c r="B1802" s="14"/>
      <c r="C1802" s="14"/>
      <c r="D1802" s="92"/>
      <c r="E1802" s="14"/>
      <c r="F1802" s="14"/>
      <c r="G1802" s="14"/>
      <c r="H1802" s="14"/>
      <c r="I1802" s="67"/>
      <c r="J1802" s="14"/>
      <c r="K1802" s="14"/>
      <c r="L1802" s="14"/>
      <c r="M1802" s="14"/>
    </row>
    <row r="1803" spans="1:13" x14ac:dyDescent="0.25">
      <c r="A1803" s="14"/>
      <c r="B1803" s="14"/>
      <c r="C1803" s="14"/>
      <c r="D1803" s="92"/>
      <c r="E1803" s="14"/>
      <c r="F1803" s="14"/>
      <c r="G1803" s="14"/>
      <c r="H1803" s="14"/>
      <c r="I1803" s="67"/>
      <c r="J1803" s="14"/>
      <c r="K1803" s="14"/>
      <c r="L1803" s="14"/>
      <c r="M1803" s="14"/>
    </row>
    <row r="1804" spans="1:13" x14ac:dyDescent="0.25">
      <c r="A1804" s="14"/>
      <c r="B1804" s="14"/>
      <c r="C1804" s="14"/>
      <c r="D1804" s="92"/>
      <c r="E1804" s="14"/>
      <c r="F1804" s="14"/>
      <c r="G1804" s="14"/>
      <c r="H1804" s="14"/>
      <c r="I1804" s="67"/>
      <c r="J1804" s="14"/>
      <c r="K1804" s="14"/>
      <c r="L1804" s="14"/>
      <c r="M1804" s="14"/>
    </row>
    <row r="1805" spans="1:13" x14ac:dyDescent="0.25">
      <c r="A1805" s="14"/>
      <c r="B1805" s="14"/>
      <c r="C1805" s="14"/>
      <c r="D1805" s="92"/>
      <c r="E1805" s="14"/>
      <c r="F1805" s="14"/>
      <c r="G1805" s="14"/>
      <c r="H1805" s="14"/>
      <c r="I1805" s="67"/>
      <c r="J1805" s="14"/>
      <c r="K1805" s="14"/>
      <c r="L1805" s="14"/>
      <c r="M1805" s="14"/>
    </row>
    <row r="1806" spans="1:13" x14ac:dyDescent="0.25">
      <c r="A1806" s="14"/>
      <c r="B1806" s="14"/>
      <c r="C1806" s="14"/>
      <c r="D1806" s="92"/>
      <c r="E1806" s="14"/>
      <c r="F1806" s="14"/>
      <c r="G1806" s="14"/>
      <c r="H1806" s="14"/>
      <c r="I1806" s="67"/>
      <c r="J1806" s="14"/>
      <c r="K1806" s="14"/>
      <c r="L1806" s="14"/>
      <c r="M1806" s="14"/>
    </row>
    <row r="1807" spans="1:13" x14ac:dyDescent="0.25">
      <c r="A1807" s="14"/>
      <c r="B1807" s="14"/>
      <c r="C1807" s="14"/>
      <c r="D1807" s="92"/>
      <c r="E1807" s="14"/>
      <c r="F1807" s="14"/>
      <c r="G1807" s="14"/>
      <c r="H1807" s="14"/>
      <c r="I1807" s="67"/>
      <c r="J1807" s="14"/>
      <c r="K1807" s="14"/>
      <c r="L1807" s="14"/>
      <c r="M1807" s="14"/>
    </row>
    <row r="1808" spans="1:13" x14ac:dyDescent="0.25">
      <c r="A1808" s="14"/>
      <c r="B1808" s="14"/>
      <c r="C1808" s="14"/>
      <c r="D1808" s="92"/>
      <c r="E1808" s="14"/>
      <c r="F1808" s="14"/>
      <c r="G1808" s="14"/>
      <c r="H1808" s="14"/>
      <c r="I1808" s="67"/>
      <c r="J1808" s="14"/>
      <c r="K1808" s="14"/>
      <c r="L1808" s="14"/>
      <c r="M1808" s="14"/>
    </row>
    <row r="1809" spans="1:13" x14ac:dyDescent="0.25">
      <c r="A1809" s="14"/>
      <c r="B1809" s="14"/>
      <c r="C1809" s="14"/>
      <c r="D1809" s="92"/>
      <c r="E1809" s="14"/>
      <c r="F1809" s="14"/>
      <c r="G1809" s="14"/>
      <c r="H1809" s="14"/>
      <c r="I1809" s="67"/>
      <c r="J1809" s="14"/>
      <c r="K1809" s="14"/>
      <c r="L1809" s="14"/>
      <c r="M1809" s="14"/>
    </row>
    <row r="1810" spans="1:13" x14ac:dyDescent="0.25">
      <c r="A1810" s="14"/>
      <c r="B1810" s="14"/>
      <c r="C1810" s="14"/>
      <c r="D1810" s="92"/>
      <c r="E1810" s="14"/>
      <c r="F1810" s="14"/>
      <c r="G1810" s="14"/>
      <c r="H1810" s="14"/>
      <c r="I1810" s="67"/>
      <c r="J1810" s="14"/>
      <c r="K1810" s="14"/>
      <c r="L1810" s="14"/>
      <c r="M1810" s="14"/>
    </row>
    <row r="1811" spans="1:13" x14ac:dyDescent="0.25">
      <c r="A1811" s="14"/>
      <c r="B1811" s="14"/>
      <c r="C1811" s="14"/>
      <c r="D1811" s="92"/>
      <c r="E1811" s="14"/>
      <c r="F1811" s="14"/>
      <c r="G1811" s="14"/>
      <c r="H1811" s="14"/>
      <c r="I1811" s="67"/>
      <c r="J1811" s="14"/>
      <c r="K1811" s="14"/>
      <c r="L1811" s="14"/>
      <c r="M1811" s="14"/>
    </row>
    <row r="1812" spans="1:13" x14ac:dyDescent="0.25">
      <c r="A1812" s="14"/>
      <c r="B1812" s="14"/>
      <c r="C1812" s="14"/>
      <c r="D1812" s="92"/>
      <c r="E1812" s="14"/>
      <c r="F1812" s="14"/>
      <c r="G1812" s="14"/>
      <c r="H1812" s="14"/>
      <c r="I1812" s="67"/>
      <c r="J1812" s="14"/>
      <c r="K1812" s="14"/>
      <c r="L1812" s="14"/>
      <c r="M1812" s="14"/>
    </row>
    <row r="1813" spans="1:13" x14ac:dyDescent="0.25">
      <c r="A1813" s="14"/>
      <c r="B1813" s="14"/>
      <c r="C1813" s="14"/>
      <c r="D1813" s="92"/>
      <c r="E1813" s="14"/>
      <c r="F1813" s="14"/>
      <c r="G1813" s="14"/>
      <c r="H1813" s="14"/>
      <c r="I1813" s="67"/>
      <c r="J1813" s="14"/>
      <c r="K1813" s="14"/>
      <c r="L1813" s="14"/>
      <c r="M1813" s="14"/>
    </row>
    <row r="1814" spans="1:13" x14ac:dyDescent="0.25">
      <c r="A1814" s="14"/>
      <c r="B1814" s="14"/>
      <c r="C1814" s="14"/>
      <c r="D1814" s="92"/>
      <c r="E1814" s="14"/>
      <c r="F1814" s="14"/>
      <c r="G1814" s="14"/>
      <c r="H1814" s="14"/>
      <c r="I1814" s="67"/>
      <c r="J1814" s="14"/>
      <c r="K1814" s="14"/>
      <c r="L1814" s="14"/>
      <c r="M1814" s="14"/>
    </row>
    <row r="1815" spans="1:13" x14ac:dyDescent="0.25">
      <c r="A1815" s="14"/>
      <c r="B1815" s="14"/>
      <c r="C1815" s="14"/>
      <c r="D1815" s="92"/>
      <c r="E1815" s="14"/>
      <c r="F1815" s="14"/>
      <c r="G1815" s="14"/>
      <c r="H1815" s="14"/>
      <c r="I1815" s="67"/>
      <c r="J1815" s="14"/>
      <c r="K1815" s="14"/>
      <c r="L1815" s="14"/>
      <c r="M1815" s="14"/>
    </row>
    <row r="1816" spans="1:13" x14ac:dyDescent="0.25">
      <c r="A1816" s="14"/>
      <c r="B1816" s="14"/>
      <c r="C1816" s="14"/>
      <c r="D1816" s="92"/>
      <c r="E1816" s="14"/>
      <c r="F1816" s="14"/>
      <c r="G1816" s="14"/>
      <c r="H1816" s="14"/>
      <c r="I1816" s="67"/>
      <c r="J1816" s="14"/>
      <c r="K1816" s="14"/>
      <c r="L1816" s="14"/>
      <c r="M1816" s="14"/>
    </row>
    <row r="1817" spans="1:13" x14ac:dyDescent="0.25">
      <c r="A1817" s="14"/>
      <c r="B1817" s="14"/>
      <c r="C1817" s="14"/>
      <c r="D1817" s="92"/>
      <c r="E1817" s="14"/>
      <c r="F1817" s="14"/>
      <c r="G1817" s="14"/>
      <c r="H1817" s="14"/>
      <c r="I1817" s="67"/>
      <c r="J1817" s="14"/>
      <c r="K1817" s="14"/>
      <c r="L1817" s="14"/>
      <c r="M1817" s="14"/>
    </row>
    <row r="1818" spans="1:13" x14ac:dyDescent="0.25">
      <c r="A1818" s="14"/>
      <c r="B1818" s="14"/>
      <c r="C1818" s="14"/>
      <c r="D1818" s="92"/>
      <c r="E1818" s="14"/>
      <c r="F1818" s="14"/>
      <c r="G1818" s="14"/>
      <c r="H1818" s="14"/>
      <c r="I1818" s="67"/>
      <c r="J1818" s="14"/>
      <c r="K1818" s="14"/>
      <c r="L1818" s="14"/>
      <c r="M1818" s="14"/>
    </row>
    <row r="1819" spans="1:13" x14ac:dyDescent="0.25">
      <c r="A1819" s="14"/>
      <c r="B1819" s="14"/>
      <c r="C1819" s="14"/>
      <c r="D1819" s="92"/>
      <c r="E1819" s="14"/>
      <c r="F1819" s="14"/>
      <c r="G1819" s="14"/>
      <c r="H1819" s="14"/>
      <c r="I1819" s="67"/>
      <c r="J1819" s="14"/>
      <c r="K1819" s="14"/>
      <c r="L1819" s="14"/>
      <c r="M1819" s="14"/>
    </row>
    <row r="1820" spans="1:13" x14ac:dyDescent="0.25">
      <c r="A1820" s="14"/>
      <c r="B1820" s="14"/>
      <c r="C1820" s="14"/>
      <c r="D1820" s="92"/>
      <c r="E1820" s="14"/>
      <c r="F1820" s="14"/>
      <c r="G1820" s="14"/>
      <c r="H1820" s="14"/>
      <c r="I1820" s="67"/>
      <c r="J1820" s="14"/>
      <c r="K1820" s="14"/>
      <c r="L1820" s="14"/>
      <c r="M1820" s="14"/>
    </row>
    <row r="1821" spans="1:13" x14ac:dyDescent="0.25">
      <c r="A1821" s="14"/>
      <c r="B1821" s="14"/>
      <c r="C1821" s="14"/>
      <c r="D1821" s="92"/>
      <c r="E1821" s="14"/>
      <c r="F1821" s="14"/>
      <c r="G1821" s="14"/>
      <c r="H1821" s="14"/>
      <c r="I1821" s="67"/>
      <c r="J1821" s="14"/>
      <c r="K1821" s="14"/>
      <c r="L1821" s="14"/>
      <c r="M1821" s="14"/>
    </row>
    <row r="1822" spans="1:13" x14ac:dyDescent="0.25">
      <c r="A1822" s="14"/>
      <c r="B1822" s="14"/>
      <c r="C1822" s="14"/>
      <c r="D1822" s="92"/>
      <c r="E1822" s="14"/>
      <c r="F1822" s="14"/>
      <c r="G1822" s="14"/>
      <c r="H1822" s="14"/>
      <c r="I1822" s="67"/>
      <c r="J1822" s="14"/>
      <c r="K1822" s="14"/>
      <c r="L1822" s="14"/>
      <c r="M1822" s="14"/>
    </row>
    <row r="1823" spans="1:13" x14ac:dyDescent="0.25">
      <c r="A1823" s="14"/>
      <c r="B1823" s="14"/>
      <c r="C1823" s="14"/>
      <c r="D1823" s="92"/>
      <c r="E1823" s="14"/>
      <c r="F1823" s="14"/>
      <c r="G1823" s="14"/>
      <c r="H1823" s="14"/>
      <c r="I1823" s="67"/>
      <c r="J1823" s="14"/>
      <c r="K1823" s="14"/>
      <c r="L1823" s="14"/>
      <c r="M1823" s="14"/>
    </row>
    <row r="1824" spans="1:13" x14ac:dyDescent="0.25">
      <c r="A1824" s="14"/>
      <c r="B1824" s="14"/>
      <c r="C1824" s="14"/>
      <c r="D1824" s="92"/>
      <c r="E1824" s="14"/>
      <c r="F1824" s="14"/>
      <c r="G1824" s="14"/>
      <c r="H1824" s="14"/>
      <c r="I1824" s="67"/>
      <c r="J1824" s="14"/>
      <c r="K1824" s="14"/>
      <c r="L1824" s="14"/>
      <c r="M1824" s="14"/>
    </row>
    <row r="1825" spans="1:13" x14ac:dyDescent="0.25">
      <c r="A1825" s="14"/>
      <c r="B1825" s="14"/>
      <c r="C1825" s="14"/>
      <c r="D1825" s="92"/>
      <c r="E1825" s="14"/>
      <c r="F1825" s="14"/>
      <c r="G1825" s="14"/>
      <c r="H1825" s="14"/>
      <c r="I1825" s="67"/>
      <c r="J1825" s="14"/>
      <c r="K1825" s="14"/>
      <c r="L1825" s="14"/>
      <c r="M1825" s="14"/>
    </row>
    <row r="1826" spans="1:13" x14ac:dyDescent="0.25">
      <c r="A1826" s="14"/>
      <c r="B1826" s="14"/>
      <c r="C1826" s="14"/>
      <c r="D1826" s="92"/>
      <c r="E1826" s="14"/>
      <c r="F1826" s="14"/>
      <c r="G1826" s="14"/>
      <c r="H1826" s="14"/>
      <c r="I1826" s="67"/>
      <c r="J1826" s="14"/>
      <c r="K1826" s="14"/>
      <c r="L1826" s="14"/>
      <c r="M1826" s="14"/>
    </row>
    <row r="1827" spans="1:13" x14ac:dyDescent="0.25">
      <c r="A1827" s="14"/>
      <c r="B1827" s="14"/>
      <c r="C1827" s="14"/>
      <c r="D1827" s="92"/>
      <c r="E1827" s="14"/>
      <c r="F1827" s="14"/>
      <c r="G1827" s="14"/>
      <c r="H1827" s="14"/>
      <c r="I1827" s="67"/>
      <c r="J1827" s="14"/>
      <c r="K1827" s="14"/>
      <c r="L1827" s="14"/>
      <c r="M1827" s="14"/>
    </row>
    <row r="1828" spans="1:13" x14ac:dyDescent="0.25">
      <c r="A1828" s="14"/>
      <c r="B1828" s="14"/>
      <c r="C1828" s="14"/>
      <c r="D1828" s="92"/>
      <c r="E1828" s="14"/>
      <c r="F1828" s="14"/>
      <c r="G1828" s="14"/>
      <c r="H1828" s="14"/>
      <c r="I1828" s="67"/>
      <c r="J1828" s="14"/>
      <c r="K1828" s="14"/>
      <c r="L1828" s="14"/>
      <c r="M1828" s="14"/>
    </row>
    <row r="1829" spans="1:13" x14ac:dyDescent="0.25">
      <c r="A1829" s="14"/>
      <c r="B1829" s="14"/>
      <c r="C1829" s="14"/>
      <c r="D1829" s="92"/>
      <c r="E1829" s="14"/>
      <c r="F1829" s="14"/>
      <c r="G1829" s="14"/>
      <c r="H1829" s="14"/>
      <c r="I1829" s="67"/>
      <c r="J1829" s="14"/>
      <c r="K1829" s="14"/>
      <c r="L1829" s="14"/>
      <c r="M1829" s="14"/>
    </row>
    <row r="1830" spans="1:13" x14ac:dyDescent="0.25">
      <c r="A1830" s="14"/>
      <c r="B1830" s="14"/>
      <c r="C1830" s="14"/>
      <c r="D1830" s="92"/>
      <c r="E1830" s="14"/>
      <c r="F1830" s="14"/>
      <c r="G1830" s="14"/>
      <c r="H1830" s="14"/>
      <c r="I1830" s="67"/>
      <c r="J1830" s="14"/>
      <c r="K1830" s="14"/>
      <c r="L1830" s="14"/>
      <c r="M1830" s="14"/>
    </row>
    <row r="1831" spans="1:13" x14ac:dyDescent="0.25">
      <c r="A1831" s="14"/>
      <c r="B1831" s="14"/>
      <c r="C1831" s="14"/>
      <c r="D1831" s="92"/>
      <c r="E1831" s="14"/>
      <c r="F1831" s="14"/>
      <c r="G1831" s="14"/>
      <c r="H1831" s="14"/>
      <c r="I1831" s="67"/>
      <c r="J1831" s="14"/>
      <c r="K1831" s="14"/>
      <c r="L1831" s="14"/>
      <c r="M1831" s="14"/>
    </row>
    <row r="1832" spans="1:13" x14ac:dyDescent="0.25">
      <c r="A1832" s="14"/>
      <c r="B1832" s="14"/>
      <c r="C1832" s="14"/>
      <c r="D1832" s="92"/>
      <c r="E1832" s="14"/>
      <c r="F1832" s="14"/>
      <c r="G1832" s="14"/>
      <c r="H1832" s="14"/>
      <c r="I1832" s="67"/>
      <c r="J1832" s="14"/>
      <c r="K1832" s="14"/>
      <c r="L1832" s="14"/>
      <c r="M1832" s="14"/>
    </row>
    <row r="1833" spans="1:13" x14ac:dyDescent="0.25">
      <c r="A1833" s="14"/>
      <c r="B1833" s="14"/>
      <c r="C1833" s="14"/>
      <c r="D1833" s="92"/>
      <c r="E1833" s="14"/>
      <c r="F1833" s="14"/>
      <c r="G1833" s="14"/>
      <c r="H1833" s="14"/>
      <c r="I1833" s="67"/>
      <c r="J1833" s="14"/>
      <c r="K1833" s="14"/>
      <c r="L1833" s="14"/>
      <c r="M1833" s="14"/>
    </row>
    <row r="1834" spans="1:13" x14ac:dyDescent="0.25">
      <c r="A1834" s="14"/>
      <c r="B1834" s="14"/>
      <c r="C1834" s="14"/>
      <c r="D1834" s="92"/>
      <c r="E1834" s="14"/>
      <c r="F1834" s="14"/>
      <c r="G1834" s="14"/>
      <c r="H1834" s="14"/>
      <c r="I1834" s="67"/>
      <c r="J1834" s="14"/>
      <c r="K1834" s="14"/>
      <c r="L1834" s="14"/>
      <c r="M1834" s="14"/>
    </row>
    <row r="1835" spans="1:13" x14ac:dyDescent="0.25">
      <c r="A1835" s="14"/>
      <c r="B1835" s="14"/>
      <c r="C1835" s="14"/>
      <c r="D1835" s="92"/>
      <c r="E1835" s="14"/>
      <c r="F1835" s="14"/>
      <c r="G1835" s="14"/>
      <c r="H1835" s="14"/>
      <c r="I1835" s="67"/>
      <c r="J1835" s="14"/>
      <c r="K1835" s="14"/>
      <c r="L1835" s="14"/>
      <c r="M1835" s="14"/>
    </row>
    <row r="1836" spans="1:13" x14ac:dyDescent="0.25">
      <c r="A1836" s="14"/>
      <c r="B1836" s="14"/>
      <c r="C1836" s="14"/>
      <c r="D1836" s="92"/>
      <c r="E1836" s="14"/>
      <c r="F1836" s="14"/>
      <c r="G1836" s="14"/>
      <c r="H1836" s="14"/>
      <c r="I1836" s="67"/>
      <c r="J1836" s="14"/>
      <c r="K1836" s="14"/>
      <c r="L1836" s="14"/>
      <c r="M1836" s="14"/>
    </row>
    <row r="1837" spans="1:13" x14ac:dyDescent="0.25">
      <c r="A1837" s="14"/>
      <c r="B1837" s="14"/>
      <c r="C1837" s="14"/>
      <c r="D1837" s="92"/>
      <c r="E1837" s="14"/>
      <c r="F1837" s="14"/>
      <c r="G1837" s="14"/>
      <c r="H1837" s="14"/>
      <c r="I1837" s="67"/>
      <c r="J1837" s="14"/>
      <c r="K1837" s="14"/>
      <c r="L1837" s="14"/>
      <c r="M1837" s="14"/>
    </row>
    <row r="1838" spans="1:13" x14ac:dyDescent="0.25">
      <c r="A1838" s="14"/>
      <c r="B1838" s="14"/>
      <c r="C1838" s="14"/>
      <c r="D1838" s="92"/>
      <c r="E1838" s="14"/>
      <c r="F1838" s="14"/>
      <c r="G1838" s="14"/>
      <c r="H1838" s="14"/>
      <c r="I1838" s="67"/>
      <c r="J1838" s="14"/>
      <c r="K1838" s="14"/>
      <c r="L1838" s="14"/>
      <c r="M1838" s="14"/>
    </row>
    <row r="1839" spans="1:13" x14ac:dyDescent="0.25">
      <c r="A1839" s="14"/>
      <c r="B1839" s="14"/>
      <c r="C1839" s="14"/>
      <c r="D1839" s="92"/>
      <c r="E1839" s="14"/>
      <c r="F1839" s="14"/>
      <c r="G1839" s="14"/>
      <c r="H1839" s="14"/>
      <c r="I1839" s="67"/>
      <c r="J1839" s="14"/>
      <c r="K1839" s="14"/>
      <c r="L1839" s="14"/>
      <c r="M1839" s="14"/>
    </row>
    <row r="1840" spans="1:13" x14ac:dyDescent="0.25">
      <c r="A1840" s="14"/>
      <c r="B1840" s="14"/>
      <c r="C1840" s="14"/>
      <c r="D1840" s="92"/>
      <c r="E1840" s="14"/>
      <c r="F1840" s="14"/>
      <c r="G1840" s="14"/>
      <c r="H1840" s="14"/>
      <c r="I1840" s="67"/>
      <c r="J1840" s="14"/>
      <c r="K1840" s="14"/>
      <c r="L1840" s="14"/>
      <c r="M1840" s="14"/>
    </row>
    <row r="1841" spans="1:13" x14ac:dyDescent="0.25">
      <c r="A1841" s="14"/>
      <c r="B1841" s="14"/>
      <c r="C1841" s="14"/>
      <c r="D1841" s="92"/>
      <c r="E1841" s="14"/>
      <c r="F1841" s="14"/>
      <c r="G1841" s="14"/>
      <c r="H1841" s="14"/>
      <c r="I1841" s="67"/>
      <c r="J1841" s="14"/>
      <c r="K1841" s="14"/>
      <c r="L1841" s="14"/>
      <c r="M1841" s="14"/>
    </row>
    <row r="1842" spans="1:13" x14ac:dyDescent="0.25">
      <c r="A1842" s="14"/>
      <c r="B1842" s="14"/>
      <c r="C1842" s="14"/>
      <c r="D1842" s="92"/>
      <c r="E1842" s="14"/>
      <c r="F1842" s="14"/>
      <c r="G1842" s="14"/>
      <c r="H1842" s="14"/>
      <c r="I1842" s="67"/>
      <c r="J1842" s="14"/>
      <c r="K1842" s="14"/>
      <c r="L1842" s="14"/>
      <c r="M1842" s="14"/>
    </row>
    <row r="1843" spans="1:13" x14ac:dyDescent="0.25">
      <c r="A1843" s="14"/>
      <c r="B1843" s="14"/>
      <c r="C1843" s="14"/>
      <c r="D1843" s="92"/>
      <c r="E1843" s="14"/>
      <c r="F1843" s="14"/>
      <c r="G1843" s="14"/>
      <c r="H1843" s="14"/>
      <c r="I1843" s="67"/>
      <c r="J1843" s="14"/>
      <c r="K1843" s="14"/>
      <c r="L1843" s="14"/>
      <c r="M1843" s="14"/>
    </row>
    <row r="1844" spans="1:13" x14ac:dyDescent="0.25">
      <c r="A1844" s="14"/>
      <c r="B1844" s="14"/>
      <c r="C1844" s="14"/>
      <c r="D1844" s="92"/>
      <c r="E1844" s="14"/>
      <c r="F1844" s="14"/>
      <c r="G1844" s="14"/>
      <c r="H1844" s="14"/>
      <c r="I1844" s="67"/>
      <c r="J1844" s="14"/>
      <c r="K1844" s="14"/>
      <c r="L1844" s="14"/>
      <c r="M1844" s="14"/>
    </row>
    <row r="1845" spans="1:13" x14ac:dyDescent="0.25">
      <c r="A1845" s="14"/>
      <c r="B1845" s="14"/>
      <c r="C1845" s="14"/>
      <c r="D1845" s="92"/>
      <c r="E1845" s="14"/>
      <c r="F1845" s="14"/>
      <c r="G1845" s="14"/>
      <c r="H1845" s="14"/>
      <c r="I1845" s="67"/>
      <c r="J1845" s="14"/>
      <c r="K1845" s="14"/>
      <c r="L1845" s="14"/>
      <c r="M1845" s="14"/>
    </row>
    <row r="1846" spans="1:13" x14ac:dyDescent="0.25">
      <c r="A1846" s="14"/>
      <c r="B1846" s="14"/>
      <c r="C1846" s="14"/>
      <c r="D1846" s="92"/>
      <c r="E1846" s="14"/>
      <c r="F1846" s="14"/>
      <c r="G1846" s="14"/>
      <c r="H1846" s="14"/>
      <c r="I1846" s="67"/>
      <c r="J1846" s="14"/>
      <c r="K1846" s="14"/>
      <c r="L1846" s="14"/>
      <c r="M1846" s="14"/>
    </row>
    <row r="1847" spans="1:13" x14ac:dyDescent="0.25">
      <c r="A1847" s="14"/>
      <c r="B1847" s="14"/>
      <c r="C1847" s="14"/>
      <c r="D1847" s="92"/>
      <c r="E1847" s="14"/>
      <c r="F1847" s="14"/>
      <c r="G1847" s="14"/>
      <c r="H1847" s="14"/>
      <c r="I1847" s="67"/>
      <c r="J1847" s="14"/>
      <c r="K1847" s="14"/>
      <c r="L1847" s="14"/>
      <c r="M1847" s="14"/>
    </row>
    <row r="1848" spans="1:13" x14ac:dyDescent="0.25">
      <c r="A1848" s="14"/>
      <c r="B1848" s="14"/>
      <c r="C1848" s="14"/>
      <c r="D1848" s="92"/>
      <c r="E1848" s="14"/>
      <c r="F1848" s="14"/>
      <c r="G1848" s="14"/>
      <c r="H1848" s="14"/>
      <c r="I1848" s="67"/>
      <c r="J1848" s="14"/>
      <c r="K1848" s="14"/>
      <c r="L1848" s="14"/>
      <c r="M1848" s="14"/>
    </row>
    <row r="1849" spans="1:13" x14ac:dyDescent="0.25">
      <c r="A1849" s="14"/>
      <c r="B1849" s="14"/>
      <c r="C1849" s="14"/>
      <c r="D1849" s="92"/>
      <c r="E1849" s="14"/>
      <c r="F1849" s="14"/>
      <c r="G1849" s="14"/>
      <c r="H1849" s="14"/>
      <c r="I1849" s="67"/>
      <c r="J1849" s="14"/>
      <c r="K1849" s="14"/>
      <c r="L1849" s="14"/>
      <c r="M1849" s="14"/>
    </row>
    <row r="1850" spans="1:13" x14ac:dyDescent="0.25">
      <c r="A1850" s="14"/>
      <c r="B1850" s="14"/>
      <c r="C1850" s="14"/>
      <c r="D1850" s="92"/>
      <c r="E1850" s="14"/>
      <c r="F1850" s="14"/>
      <c r="G1850" s="14"/>
      <c r="H1850" s="14"/>
      <c r="I1850" s="67"/>
      <c r="J1850" s="14"/>
      <c r="K1850" s="14"/>
      <c r="L1850" s="14"/>
      <c r="M1850" s="14"/>
    </row>
    <row r="1851" spans="1:13" x14ac:dyDescent="0.25">
      <c r="A1851" s="14"/>
      <c r="B1851" s="14"/>
      <c r="C1851" s="14"/>
      <c r="D1851" s="92"/>
      <c r="E1851" s="14"/>
      <c r="F1851" s="14"/>
      <c r="G1851" s="14"/>
      <c r="H1851" s="14"/>
      <c r="I1851" s="67"/>
      <c r="J1851" s="14"/>
      <c r="K1851" s="14"/>
      <c r="L1851" s="14"/>
      <c r="M1851" s="14"/>
    </row>
    <row r="1852" spans="1:13" x14ac:dyDescent="0.25">
      <c r="A1852" s="14"/>
      <c r="B1852" s="14"/>
      <c r="C1852" s="14"/>
      <c r="D1852" s="92"/>
      <c r="E1852" s="14"/>
      <c r="F1852" s="14"/>
      <c r="G1852" s="14"/>
      <c r="H1852" s="14"/>
      <c r="I1852" s="67"/>
      <c r="J1852" s="14"/>
      <c r="K1852" s="14"/>
      <c r="L1852" s="14"/>
      <c r="M1852" s="14"/>
    </row>
    <row r="1853" spans="1:13" x14ac:dyDescent="0.25">
      <c r="A1853" s="14"/>
      <c r="B1853" s="14"/>
      <c r="C1853" s="14"/>
      <c r="D1853" s="92"/>
      <c r="E1853" s="14"/>
      <c r="F1853" s="14"/>
      <c r="G1853" s="14"/>
      <c r="H1853" s="14"/>
      <c r="I1853" s="67"/>
      <c r="J1853" s="14"/>
      <c r="K1853" s="14"/>
      <c r="L1853" s="14"/>
      <c r="M1853" s="14"/>
    </row>
    <row r="1854" spans="1:13" x14ac:dyDescent="0.25">
      <c r="A1854" s="14"/>
      <c r="B1854" s="14"/>
      <c r="C1854" s="14"/>
      <c r="D1854" s="92"/>
      <c r="E1854" s="14"/>
      <c r="F1854" s="14"/>
      <c r="G1854" s="14"/>
      <c r="H1854" s="14"/>
      <c r="I1854" s="67"/>
      <c r="J1854" s="14"/>
      <c r="K1854" s="14"/>
      <c r="L1854" s="14"/>
      <c r="M1854" s="14"/>
    </row>
    <row r="1855" spans="1:13" x14ac:dyDescent="0.25">
      <c r="A1855" s="14"/>
      <c r="B1855" s="14"/>
      <c r="C1855" s="14"/>
      <c r="D1855" s="92"/>
      <c r="E1855" s="14"/>
      <c r="F1855" s="14"/>
      <c r="G1855" s="14"/>
      <c r="H1855" s="14"/>
      <c r="I1855" s="67"/>
      <c r="J1855" s="14"/>
      <c r="K1855" s="14"/>
      <c r="L1855" s="14"/>
      <c r="M1855" s="14"/>
    </row>
    <row r="1856" spans="1:13" x14ac:dyDescent="0.25">
      <c r="A1856" s="14"/>
      <c r="B1856" s="14"/>
      <c r="C1856" s="14"/>
      <c r="D1856" s="92"/>
      <c r="E1856" s="14"/>
      <c r="F1856" s="14"/>
      <c r="G1856" s="14"/>
      <c r="H1856" s="14"/>
      <c r="I1856" s="67"/>
      <c r="J1856" s="14"/>
      <c r="K1856" s="14"/>
      <c r="L1856" s="14"/>
      <c r="M1856" s="14"/>
    </row>
    <row r="1857" spans="1:13" x14ac:dyDescent="0.25">
      <c r="A1857" s="14"/>
      <c r="B1857" s="14"/>
      <c r="C1857" s="14"/>
      <c r="D1857" s="92"/>
      <c r="E1857" s="14"/>
      <c r="F1857" s="14"/>
      <c r="G1857" s="14"/>
      <c r="H1857" s="14"/>
      <c r="I1857" s="67"/>
      <c r="J1857" s="14"/>
      <c r="K1857" s="14"/>
      <c r="L1857" s="14"/>
      <c r="M1857" s="14"/>
    </row>
    <row r="1858" spans="1:13" x14ac:dyDescent="0.25">
      <c r="A1858" s="14"/>
      <c r="B1858" s="14"/>
      <c r="C1858" s="14"/>
      <c r="D1858" s="92"/>
      <c r="E1858" s="14"/>
      <c r="F1858" s="14"/>
      <c r="G1858" s="14"/>
      <c r="H1858" s="14"/>
      <c r="I1858" s="67"/>
      <c r="J1858" s="14"/>
      <c r="K1858" s="14"/>
      <c r="L1858" s="14"/>
      <c r="M1858" s="14"/>
    </row>
    <row r="1859" spans="1:13" x14ac:dyDescent="0.25">
      <c r="A1859" s="14"/>
      <c r="B1859" s="14"/>
      <c r="C1859" s="14"/>
      <c r="D1859" s="92"/>
      <c r="E1859" s="14"/>
      <c r="F1859" s="14"/>
      <c r="G1859" s="14"/>
      <c r="H1859" s="14"/>
      <c r="I1859" s="67"/>
      <c r="J1859" s="14"/>
      <c r="K1859" s="14"/>
      <c r="L1859" s="14"/>
      <c r="M1859" s="14"/>
    </row>
    <row r="1860" spans="1:13" x14ac:dyDescent="0.25">
      <c r="A1860" s="14"/>
      <c r="B1860" s="14"/>
      <c r="C1860" s="14"/>
      <c r="D1860" s="92"/>
      <c r="E1860" s="14"/>
      <c r="F1860" s="14"/>
      <c r="G1860" s="14"/>
      <c r="H1860" s="14"/>
      <c r="I1860" s="67"/>
      <c r="J1860" s="14"/>
      <c r="K1860" s="14"/>
      <c r="L1860" s="14"/>
      <c r="M1860" s="14"/>
    </row>
    <row r="1861" spans="1:13" x14ac:dyDescent="0.25">
      <c r="A1861" s="14"/>
      <c r="B1861" s="14"/>
      <c r="C1861" s="14"/>
      <c r="D1861" s="92"/>
      <c r="E1861" s="14"/>
      <c r="F1861" s="14"/>
      <c r="G1861" s="14"/>
      <c r="H1861" s="14"/>
      <c r="I1861" s="67"/>
      <c r="J1861" s="14"/>
      <c r="K1861" s="14"/>
      <c r="L1861" s="14"/>
      <c r="M1861" s="14"/>
    </row>
    <row r="1862" spans="1:13" x14ac:dyDescent="0.25">
      <c r="A1862" s="14"/>
      <c r="B1862" s="14"/>
      <c r="C1862" s="14"/>
      <c r="D1862" s="92"/>
      <c r="E1862" s="14"/>
      <c r="F1862" s="14"/>
      <c r="G1862" s="14"/>
      <c r="H1862" s="14"/>
      <c r="I1862" s="67"/>
      <c r="J1862" s="14"/>
      <c r="K1862" s="14"/>
      <c r="L1862" s="14"/>
      <c r="M1862" s="14"/>
    </row>
    <row r="1863" spans="1:13" x14ac:dyDescent="0.25">
      <c r="A1863" s="14"/>
      <c r="B1863" s="14"/>
      <c r="C1863" s="14"/>
      <c r="D1863" s="92"/>
      <c r="E1863" s="14"/>
      <c r="F1863" s="14"/>
      <c r="G1863" s="14"/>
      <c r="H1863" s="14"/>
      <c r="I1863" s="67"/>
      <c r="J1863" s="14"/>
      <c r="K1863" s="14"/>
      <c r="L1863" s="14"/>
      <c r="M1863" s="14"/>
    </row>
    <row r="1864" spans="1:13" x14ac:dyDescent="0.25">
      <c r="A1864" s="14"/>
      <c r="B1864" s="14"/>
      <c r="C1864" s="14"/>
      <c r="D1864" s="92"/>
      <c r="E1864" s="14"/>
      <c r="F1864" s="14"/>
      <c r="G1864" s="14"/>
      <c r="H1864" s="14"/>
      <c r="I1864" s="67"/>
      <c r="J1864" s="14"/>
      <c r="K1864" s="14"/>
      <c r="L1864" s="14"/>
      <c r="M1864" s="14"/>
    </row>
    <row r="1865" spans="1:13" x14ac:dyDescent="0.25">
      <c r="A1865" s="14"/>
      <c r="B1865" s="14"/>
      <c r="C1865" s="14"/>
      <c r="D1865" s="92"/>
      <c r="E1865" s="14"/>
      <c r="F1865" s="14"/>
      <c r="G1865" s="14"/>
      <c r="H1865" s="14"/>
      <c r="I1865" s="67"/>
      <c r="J1865" s="14"/>
      <c r="K1865" s="14"/>
      <c r="L1865" s="14"/>
      <c r="M1865" s="14"/>
    </row>
    <row r="1866" spans="1:13" x14ac:dyDescent="0.25">
      <c r="A1866" s="14"/>
      <c r="B1866" s="14"/>
      <c r="C1866" s="14"/>
      <c r="D1866" s="92"/>
      <c r="E1866" s="14"/>
      <c r="F1866" s="14"/>
      <c r="G1866" s="14"/>
      <c r="H1866" s="14"/>
      <c r="I1866" s="67"/>
      <c r="J1866" s="14"/>
      <c r="K1866" s="14"/>
      <c r="L1866" s="14"/>
      <c r="M1866" s="14"/>
    </row>
    <row r="1867" spans="1:13" x14ac:dyDescent="0.25">
      <c r="A1867" s="14"/>
      <c r="B1867" s="14"/>
      <c r="C1867" s="14"/>
      <c r="D1867" s="92"/>
      <c r="E1867" s="14"/>
      <c r="F1867" s="14"/>
      <c r="G1867" s="14"/>
      <c r="H1867" s="14"/>
      <c r="I1867" s="67"/>
      <c r="J1867" s="14"/>
      <c r="K1867" s="14"/>
      <c r="L1867" s="14"/>
      <c r="M1867" s="14"/>
    </row>
    <row r="1868" spans="1:13" x14ac:dyDescent="0.25">
      <c r="A1868" s="14"/>
      <c r="B1868" s="14"/>
      <c r="C1868" s="14"/>
      <c r="D1868" s="92"/>
      <c r="E1868" s="14"/>
      <c r="F1868" s="14"/>
      <c r="G1868" s="14"/>
      <c r="H1868" s="14"/>
      <c r="I1868" s="67"/>
      <c r="J1868" s="14"/>
      <c r="K1868" s="14"/>
      <c r="L1868" s="14"/>
      <c r="M1868" s="14"/>
    </row>
    <row r="1869" spans="1:13" x14ac:dyDescent="0.25">
      <c r="A1869" s="14"/>
      <c r="B1869" s="14"/>
      <c r="C1869" s="14"/>
      <c r="D1869" s="92"/>
      <c r="E1869" s="14"/>
      <c r="F1869" s="14"/>
      <c r="G1869" s="14"/>
      <c r="H1869" s="14"/>
      <c r="I1869" s="67"/>
      <c r="J1869" s="14"/>
      <c r="K1869" s="14"/>
      <c r="L1869" s="14"/>
      <c r="M1869" s="14"/>
    </row>
    <row r="1870" spans="1:13" x14ac:dyDescent="0.25">
      <c r="A1870" s="14"/>
      <c r="B1870" s="14"/>
      <c r="C1870" s="14"/>
      <c r="D1870" s="92"/>
      <c r="E1870" s="14"/>
      <c r="F1870" s="14"/>
      <c r="G1870" s="14"/>
      <c r="H1870" s="14"/>
      <c r="I1870" s="67"/>
      <c r="J1870" s="14"/>
      <c r="K1870" s="14"/>
      <c r="L1870" s="14"/>
      <c r="M1870" s="14"/>
    </row>
    <row r="1871" spans="1:13" x14ac:dyDescent="0.25">
      <c r="A1871" s="14"/>
      <c r="B1871" s="14"/>
      <c r="C1871" s="14"/>
      <c r="D1871" s="92"/>
      <c r="E1871" s="14"/>
      <c r="F1871" s="14"/>
      <c r="G1871" s="14"/>
      <c r="H1871" s="14"/>
      <c r="I1871" s="67"/>
      <c r="J1871" s="14"/>
      <c r="K1871" s="14"/>
      <c r="L1871" s="14"/>
      <c r="M1871" s="14"/>
    </row>
    <row r="1872" spans="1:13" x14ac:dyDescent="0.25">
      <c r="A1872" s="14"/>
      <c r="B1872" s="14"/>
      <c r="C1872" s="14"/>
      <c r="D1872" s="92"/>
      <c r="E1872" s="14"/>
      <c r="F1872" s="14"/>
      <c r="G1872" s="14"/>
      <c r="H1872" s="14"/>
      <c r="I1872" s="67"/>
      <c r="J1872" s="14"/>
      <c r="K1872" s="14"/>
      <c r="L1872" s="14"/>
      <c r="M1872" s="14"/>
    </row>
    <row r="1873" spans="1:13" x14ac:dyDescent="0.25">
      <c r="A1873" s="14"/>
      <c r="B1873" s="14"/>
      <c r="C1873" s="14"/>
      <c r="D1873" s="92"/>
      <c r="E1873" s="14"/>
      <c r="F1873" s="14"/>
      <c r="G1873" s="14"/>
      <c r="H1873" s="14"/>
      <c r="I1873" s="67"/>
      <c r="J1873" s="14"/>
      <c r="K1873" s="14"/>
      <c r="L1873" s="14"/>
      <c r="M1873" s="14"/>
    </row>
    <row r="1874" spans="1:13" x14ac:dyDescent="0.25">
      <c r="A1874" s="14"/>
      <c r="B1874" s="14"/>
      <c r="C1874" s="14"/>
      <c r="D1874" s="92"/>
      <c r="E1874" s="14"/>
      <c r="F1874" s="14"/>
      <c r="G1874" s="14"/>
      <c r="H1874" s="14"/>
      <c r="I1874" s="67"/>
      <c r="J1874" s="14"/>
      <c r="K1874" s="14"/>
      <c r="L1874" s="14"/>
      <c r="M1874" s="14"/>
    </row>
    <row r="1875" spans="1:13" x14ac:dyDescent="0.25">
      <c r="A1875" s="14"/>
      <c r="B1875" s="14"/>
      <c r="C1875" s="14"/>
      <c r="D1875" s="92"/>
      <c r="E1875" s="14"/>
      <c r="F1875" s="14"/>
      <c r="G1875" s="14"/>
      <c r="H1875" s="14"/>
      <c r="I1875" s="67"/>
      <c r="J1875" s="14"/>
      <c r="K1875" s="14"/>
      <c r="L1875" s="14"/>
      <c r="M1875" s="14"/>
    </row>
    <row r="1876" spans="1:13" x14ac:dyDescent="0.25">
      <c r="A1876" s="14"/>
      <c r="B1876" s="14"/>
      <c r="C1876" s="14"/>
      <c r="D1876" s="92"/>
      <c r="E1876" s="14"/>
      <c r="F1876" s="14"/>
      <c r="G1876" s="14"/>
      <c r="H1876" s="14"/>
      <c r="I1876" s="67"/>
      <c r="J1876" s="14"/>
      <c r="K1876" s="14"/>
      <c r="L1876" s="14"/>
      <c r="M1876" s="14"/>
    </row>
    <row r="1877" spans="1:13" x14ac:dyDescent="0.25">
      <c r="A1877" s="14"/>
      <c r="B1877" s="14"/>
      <c r="C1877" s="14"/>
      <c r="D1877" s="92"/>
      <c r="E1877" s="14"/>
      <c r="F1877" s="14"/>
      <c r="G1877" s="14"/>
      <c r="H1877" s="14"/>
      <c r="I1877" s="67"/>
      <c r="J1877" s="14"/>
      <c r="K1877" s="14"/>
      <c r="L1877" s="14"/>
      <c r="M1877" s="14"/>
    </row>
    <row r="1878" spans="1:13" x14ac:dyDescent="0.25">
      <c r="A1878" s="14"/>
      <c r="B1878" s="14"/>
      <c r="C1878" s="14"/>
      <c r="D1878" s="92"/>
      <c r="E1878" s="14"/>
      <c r="F1878" s="14"/>
      <c r="G1878" s="14"/>
      <c r="H1878" s="14"/>
      <c r="I1878" s="67"/>
      <c r="J1878" s="14"/>
      <c r="K1878" s="14"/>
      <c r="L1878" s="14"/>
      <c r="M1878" s="14"/>
    </row>
    <row r="1879" spans="1:13" x14ac:dyDescent="0.25">
      <c r="A1879" s="14"/>
      <c r="B1879" s="14"/>
      <c r="C1879" s="14"/>
      <c r="D1879" s="92"/>
      <c r="E1879" s="14"/>
      <c r="F1879" s="14"/>
      <c r="G1879" s="14"/>
      <c r="H1879" s="14"/>
      <c r="I1879" s="67"/>
      <c r="J1879" s="14"/>
      <c r="K1879" s="14"/>
      <c r="L1879" s="14"/>
      <c r="M1879" s="14"/>
    </row>
    <row r="1880" spans="1:13" x14ac:dyDescent="0.25">
      <c r="A1880" s="14"/>
      <c r="B1880" s="14"/>
      <c r="C1880" s="14"/>
      <c r="D1880" s="92"/>
      <c r="E1880" s="14"/>
      <c r="F1880" s="14"/>
      <c r="G1880" s="14"/>
      <c r="H1880" s="14"/>
      <c r="I1880" s="67"/>
      <c r="J1880" s="14"/>
      <c r="K1880" s="14"/>
      <c r="L1880" s="14"/>
      <c r="M1880" s="14"/>
    </row>
    <row r="1881" spans="1:13" x14ac:dyDescent="0.25">
      <c r="A1881" s="14"/>
      <c r="B1881" s="14"/>
      <c r="C1881" s="14"/>
      <c r="D1881" s="92"/>
      <c r="E1881" s="14"/>
      <c r="F1881" s="14"/>
      <c r="G1881" s="14"/>
      <c r="H1881" s="14"/>
      <c r="I1881" s="67"/>
      <c r="J1881" s="14"/>
      <c r="K1881" s="14"/>
      <c r="L1881" s="14"/>
      <c r="M1881" s="14"/>
    </row>
    <row r="1882" spans="1:13" x14ac:dyDescent="0.25">
      <c r="A1882" s="14"/>
      <c r="B1882" s="14"/>
      <c r="C1882" s="14"/>
      <c r="D1882" s="92"/>
      <c r="E1882" s="14"/>
      <c r="F1882" s="14"/>
      <c r="G1882" s="14"/>
      <c r="H1882" s="14"/>
      <c r="I1882" s="67"/>
      <c r="J1882" s="14"/>
      <c r="K1882" s="14"/>
      <c r="L1882" s="14"/>
      <c r="M1882" s="14"/>
    </row>
    <row r="1883" spans="1:13" x14ac:dyDescent="0.25">
      <c r="A1883" s="14"/>
      <c r="B1883" s="14"/>
      <c r="C1883" s="14"/>
      <c r="D1883" s="92"/>
      <c r="E1883" s="14"/>
      <c r="F1883" s="14"/>
      <c r="G1883" s="14"/>
      <c r="H1883" s="14"/>
      <c r="I1883" s="67"/>
      <c r="J1883" s="14"/>
      <c r="K1883" s="14"/>
      <c r="L1883" s="14"/>
      <c r="M1883" s="14"/>
    </row>
    <row r="1884" spans="1:13" x14ac:dyDescent="0.25">
      <c r="A1884" s="14"/>
      <c r="B1884" s="14"/>
      <c r="C1884" s="14"/>
      <c r="D1884" s="92"/>
      <c r="E1884" s="14"/>
      <c r="F1884" s="14"/>
      <c r="G1884" s="14"/>
      <c r="H1884" s="14"/>
      <c r="I1884" s="67"/>
      <c r="J1884" s="14"/>
      <c r="K1884" s="14"/>
      <c r="L1884" s="14"/>
      <c r="M1884" s="14"/>
    </row>
    <row r="1885" spans="1:13" x14ac:dyDescent="0.25">
      <c r="A1885" s="14"/>
      <c r="B1885" s="14"/>
      <c r="C1885" s="14"/>
      <c r="D1885" s="92"/>
      <c r="E1885" s="14"/>
      <c r="F1885" s="14"/>
      <c r="G1885" s="14"/>
      <c r="H1885" s="14"/>
      <c r="I1885" s="67"/>
      <c r="J1885" s="14"/>
      <c r="K1885" s="14"/>
      <c r="L1885" s="14"/>
      <c r="M1885" s="14"/>
    </row>
    <row r="1886" spans="1:13" x14ac:dyDescent="0.25">
      <c r="A1886" s="14"/>
      <c r="B1886" s="14"/>
      <c r="C1886" s="14"/>
      <c r="D1886" s="92"/>
      <c r="E1886" s="14"/>
      <c r="F1886" s="14"/>
      <c r="G1886" s="14"/>
      <c r="H1886" s="14"/>
      <c r="I1886" s="67"/>
      <c r="J1886" s="14"/>
      <c r="K1886" s="14"/>
      <c r="L1886" s="14"/>
      <c r="M1886" s="14"/>
    </row>
    <row r="1887" spans="1:13" x14ac:dyDescent="0.25">
      <c r="A1887" s="14"/>
      <c r="B1887" s="14"/>
      <c r="C1887" s="14"/>
      <c r="D1887" s="92"/>
      <c r="E1887" s="14"/>
      <c r="F1887" s="14"/>
      <c r="G1887" s="14"/>
      <c r="H1887" s="14"/>
      <c r="I1887" s="67"/>
      <c r="J1887" s="14"/>
      <c r="K1887" s="14"/>
      <c r="L1887" s="14"/>
      <c r="M1887" s="14"/>
    </row>
    <row r="1888" spans="1:13" x14ac:dyDescent="0.25">
      <c r="A1888" s="14"/>
      <c r="B1888" s="14"/>
      <c r="C1888" s="14"/>
      <c r="D1888" s="92"/>
      <c r="E1888" s="14"/>
      <c r="F1888" s="14"/>
      <c r="G1888" s="14"/>
      <c r="H1888" s="14"/>
      <c r="I1888" s="67"/>
      <c r="J1888" s="14"/>
      <c r="K1888" s="14"/>
      <c r="L1888" s="14"/>
      <c r="M1888" s="14"/>
    </row>
    <row r="1889" spans="1:13" x14ac:dyDescent="0.25">
      <c r="A1889" s="14"/>
      <c r="B1889" s="14"/>
      <c r="C1889" s="14"/>
      <c r="D1889" s="92"/>
      <c r="E1889" s="14"/>
      <c r="F1889" s="14"/>
      <c r="G1889" s="14"/>
      <c r="H1889" s="14"/>
      <c r="I1889" s="67"/>
      <c r="J1889" s="14"/>
      <c r="K1889" s="14"/>
      <c r="L1889" s="14"/>
      <c r="M1889" s="14"/>
    </row>
    <row r="1890" spans="1:13" x14ac:dyDescent="0.25">
      <c r="A1890" s="14"/>
      <c r="B1890" s="14"/>
      <c r="C1890" s="14"/>
      <c r="D1890" s="92"/>
      <c r="E1890" s="14"/>
      <c r="F1890" s="14"/>
      <c r="G1890" s="14"/>
      <c r="H1890" s="14"/>
      <c r="I1890" s="67"/>
      <c r="J1890" s="14"/>
      <c r="K1890" s="14"/>
      <c r="L1890" s="14"/>
      <c r="M1890" s="14"/>
    </row>
    <row r="1891" spans="1:13" x14ac:dyDescent="0.25">
      <c r="A1891" s="14"/>
      <c r="B1891" s="14"/>
      <c r="C1891" s="14"/>
      <c r="D1891" s="92"/>
      <c r="E1891" s="14"/>
      <c r="F1891" s="14"/>
      <c r="G1891" s="14"/>
      <c r="H1891" s="14"/>
      <c r="I1891" s="67"/>
      <c r="J1891" s="14"/>
      <c r="K1891" s="14"/>
      <c r="L1891" s="14"/>
      <c r="M1891" s="14"/>
    </row>
    <row r="1892" spans="1:13" x14ac:dyDescent="0.25">
      <c r="A1892" s="14"/>
      <c r="B1892" s="14"/>
      <c r="C1892" s="14"/>
      <c r="D1892" s="92"/>
      <c r="E1892" s="14"/>
      <c r="F1892" s="14"/>
      <c r="G1892" s="14"/>
      <c r="H1892" s="14"/>
      <c r="I1892" s="67"/>
      <c r="J1892" s="14"/>
      <c r="K1892" s="14"/>
      <c r="L1892" s="14"/>
      <c r="M1892" s="14"/>
    </row>
    <row r="1893" spans="1:13" x14ac:dyDescent="0.25">
      <c r="A1893" s="14"/>
      <c r="B1893" s="14"/>
      <c r="C1893" s="14"/>
      <c r="D1893" s="92"/>
      <c r="E1893" s="14"/>
      <c r="F1893" s="14"/>
      <c r="G1893" s="14"/>
      <c r="H1893" s="14"/>
      <c r="I1893" s="67"/>
      <c r="J1893" s="14"/>
      <c r="K1893" s="14"/>
      <c r="L1893" s="14"/>
      <c r="M1893" s="14"/>
    </row>
    <row r="1894" spans="1:13" x14ac:dyDescent="0.25">
      <c r="A1894" s="14"/>
      <c r="B1894" s="14"/>
      <c r="C1894" s="14"/>
      <c r="D1894" s="92"/>
      <c r="E1894" s="14"/>
      <c r="F1894" s="14"/>
      <c r="G1894" s="14"/>
      <c r="H1894" s="14"/>
      <c r="I1894" s="67"/>
      <c r="J1894" s="14"/>
      <c r="K1894" s="14"/>
      <c r="L1894" s="14"/>
      <c r="M1894" s="14"/>
    </row>
    <row r="1895" spans="1:13" x14ac:dyDescent="0.25">
      <c r="A1895" s="14"/>
      <c r="B1895" s="14"/>
      <c r="C1895" s="14"/>
      <c r="D1895" s="92"/>
      <c r="E1895" s="14"/>
      <c r="F1895" s="14"/>
      <c r="G1895" s="14"/>
      <c r="H1895" s="14"/>
      <c r="I1895" s="67"/>
      <c r="J1895" s="14"/>
      <c r="K1895" s="14"/>
      <c r="L1895" s="14"/>
      <c r="M1895" s="14"/>
    </row>
    <row r="1896" spans="1:13" x14ac:dyDescent="0.25">
      <c r="A1896" s="14"/>
      <c r="B1896" s="14"/>
      <c r="C1896" s="14"/>
      <c r="D1896" s="92"/>
      <c r="E1896" s="14"/>
      <c r="F1896" s="14"/>
      <c r="G1896" s="14"/>
      <c r="H1896" s="14"/>
      <c r="I1896" s="67"/>
      <c r="J1896" s="14"/>
      <c r="K1896" s="14"/>
      <c r="L1896" s="14"/>
      <c r="M1896" s="14"/>
    </row>
    <row r="1897" spans="1:13" x14ac:dyDescent="0.25">
      <c r="A1897" s="14"/>
      <c r="B1897" s="14"/>
      <c r="C1897" s="14"/>
      <c r="D1897" s="92"/>
      <c r="E1897" s="14"/>
      <c r="F1897" s="14"/>
      <c r="G1897" s="14"/>
      <c r="H1897" s="14"/>
      <c r="I1897" s="67"/>
      <c r="J1897" s="14"/>
      <c r="K1897" s="14"/>
      <c r="L1897" s="14"/>
      <c r="M1897" s="14"/>
    </row>
    <row r="1898" spans="1:13" x14ac:dyDescent="0.25">
      <c r="A1898" s="14"/>
      <c r="B1898" s="14"/>
      <c r="C1898" s="14"/>
      <c r="D1898" s="92"/>
      <c r="E1898" s="14"/>
      <c r="F1898" s="14"/>
      <c r="G1898" s="14"/>
      <c r="H1898" s="14"/>
      <c r="I1898" s="67"/>
      <c r="J1898" s="14"/>
      <c r="K1898" s="14"/>
      <c r="L1898" s="14"/>
      <c r="M1898" s="14"/>
    </row>
    <row r="1899" spans="1:13" x14ac:dyDescent="0.25">
      <c r="A1899" s="14"/>
      <c r="B1899" s="14"/>
      <c r="C1899" s="14"/>
      <c r="D1899" s="92"/>
      <c r="E1899" s="14"/>
      <c r="F1899" s="14"/>
      <c r="G1899" s="14"/>
      <c r="H1899" s="14"/>
      <c r="I1899" s="67"/>
      <c r="J1899" s="14"/>
      <c r="K1899" s="14"/>
      <c r="L1899" s="14"/>
      <c r="M1899" s="14"/>
    </row>
    <row r="1900" spans="1:13" x14ac:dyDescent="0.25">
      <c r="A1900" s="14"/>
      <c r="B1900" s="14"/>
      <c r="C1900" s="14"/>
      <c r="D1900" s="92"/>
      <c r="E1900" s="14"/>
      <c r="F1900" s="14"/>
      <c r="G1900" s="14"/>
      <c r="H1900" s="14"/>
      <c r="I1900" s="67"/>
      <c r="J1900" s="14"/>
      <c r="K1900" s="14"/>
      <c r="L1900" s="14"/>
      <c r="M1900" s="14"/>
    </row>
    <row r="1901" spans="1:13" x14ac:dyDescent="0.25">
      <c r="A1901" s="14"/>
      <c r="B1901" s="14"/>
      <c r="C1901" s="14"/>
      <c r="D1901" s="92"/>
      <c r="E1901" s="14"/>
      <c r="F1901" s="14"/>
      <c r="G1901" s="14"/>
      <c r="H1901" s="14"/>
      <c r="I1901" s="67"/>
      <c r="J1901" s="14"/>
      <c r="K1901" s="14"/>
      <c r="L1901" s="14"/>
      <c r="M1901" s="14"/>
    </row>
    <row r="1902" spans="1:13" x14ac:dyDescent="0.25">
      <c r="A1902" s="14"/>
      <c r="B1902" s="14"/>
      <c r="C1902" s="14"/>
      <c r="D1902" s="92"/>
      <c r="E1902" s="14"/>
      <c r="F1902" s="14"/>
      <c r="G1902" s="14"/>
      <c r="H1902" s="14"/>
      <c r="I1902" s="67"/>
      <c r="J1902" s="14"/>
      <c r="K1902" s="14"/>
      <c r="L1902" s="14"/>
      <c r="M1902" s="14"/>
    </row>
    <row r="1903" spans="1:13" x14ac:dyDescent="0.25">
      <c r="A1903" s="14"/>
      <c r="B1903" s="14"/>
      <c r="C1903" s="14"/>
      <c r="D1903" s="92"/>
      <c r="E1903" s="14"/>
      <c r="F1903" s="14"/>
      <c r="G1903" s="14"/>
      <c r="H1903" s="14"/>
      <c r="I1903" s="67"/>
      <c r="J1903" s="14"/>
      <c r="K1903" s="14"/>
      <c r="L1903" s="14"/>
      <c r="M1903" s="14"/>
    </row>
    <row r="1904" spans="1:13" x14ac:dyDescent="0.25">
      <c r="A1904" s="14"/>
      <c r="B1904" s="14"/>
      <c r="C1904" s="14"/>
      <c r="D1904" s="92"/>
      <c r="E1904" s="14"/>
      <c r="F1904" s="14"/>
      <c r="G1904" s="14"/>
      <c r="H1904" s="14"/>
      <c r="I1904" s="67"/>
      <c r="J1904" s="14"/>
      <c r="K1904" s="14"/>
      <c r="L1904" s="14"/>
      <c r="M1904" s="14"/>
    </row>
    <row r="1905" spans="1:13" x14ac:dyDescent="0.25">
      <c r="A1905" s="14"/>
      <c r="B1905" s="14"/>
      <c r="C1905" s="14"/>
      <c r="D1905" s="92"/>
      <c r="E1905" s="14"/>
      <c r="F1905" s="14"/>
      <c r="G1905" s="14"/>
      <c r="H1905" s="14"/>
      <c r="I1905" s="67"/>
      <c r="J1905" s="14"/>
      <c r="K1905" s="14"/>
      <c r="L1905" s="14"/>
      <c r="M1905" s="14"/>
    </row>
    <row r="1906" spans="1:13" x14ac:dyDescent="0.25">
      <c r="A1906" s="14"/>
      <c r="B1906" s="14"/>
      <c r="C1906" s="14"/>
      <c r="D1906" s="92"/>
      <c r="E1906" s="14"/>
      <c r="F1906" s="14"/>
      <c r="G1906" s="14"/>
      <c r="H1906" s="14"/>
      <c r="I1906" s="67"/>
      <c r="J1906" s="14"/>
      <c r="K1906" s="14"/>
      <c r="L1906" s="14"/>
      <c r="M1906" s="14"/>
    </row>
    <row r="1907" spans="1:13" x14ac:dyDescent="0.25">
      <c r="A1907" s="14"/>
      <c r="B1907" s="14"/>
      <c r="C1907" s="14"/>
      <c r="D1907" s="92"/>
      <c r="E1907" s="14"/>
      <c r="F1907" s="14"/>
      <c r="G1907" s="14"/>
      <c r="H1907" s="14"/>
      <c r="I1907" s="67"/>
      <c r="J1907" s="14"/>
      <c r="K1907" s="14"/>
      <c r="L1907" s="14"/>
      <c r="M1907" s="14"/>
    </row>
    <row r="1908" spans="1:13" x14ac:dyDescent="0.25">
      <c r="A1908" s="14"/>
      <c r="B1908" s="14"/>
      <c r="C1908" s="14"/>
      <c r="D1908" s="92"/>
      <c r="E1908" s="14"/>
      <c r="F1908" s="14"/>
      <c r="G1908" s="14"/>
      <c r="H1908" s="14"/>
      <c r="I1908" s="67"/>
      <c r="J1908" s="14"/>
      <c r="K1908" s="14"/>
      <c r="L1908" s="14"/>
      <c r="M1908" s="14"/>
    </row>
    <row r="1909" spans="1:13" x14ac:dyDescent="0.25">
      <c r="A1909" s="14"/>
      <c r="B1909" s="14"/>
      <c r="C1909" s="14"/>
      <c r="D1909" s="92"/>
      <c r="E1909" s="14"/>
      <c r="F1909" s="14"/>
      <c r="G1909" s="14"/>
      <c r="H1909" s="14"/>
      <c r="I1909" s="67"/>
      <c r="J1909" s="14"/>
      <c r="K1909" s="14"/>
      <c r="L1909" s="14"/>
      <c r="M1909" s="14"/>
    </row>
    <row r="1910" spans="1:13" x14ac:dyDescent="0.25">
      <c r="A1910" s="14"/>
      <c r="B1910" s="14"/>
      <c r="C1910" s="14"/>
      <c r="D1910" s="92"/>
      <c r="E1910" s="14"/>
      <c r="F1910" s="14"/>
      <c r="G1910" s="14"/>
      <c r="H1910" s="14"/>
      <c r="I1910" s="67"/>
      <c r="J1910" s="14"/>
      <c r="K1910" s="14"/>
      <c r="L1910" s="14"/>
      <c r="M1910" s="14"/>
    </row>
    <row r="1911" spans="1:13" x14ac:dyDescent="0.25">
      <c r="A1911" s="14"/>
      <c r="B1911" s="14"/>
      <c r="C1911" s="14"/>
      <c r="D1911" s="92"/>
      <c r="E1911" s="14"/>
      <c r="F1911" s="14"/>
      <c r="G1911" s="14"/>
      <c r="H1911" s="14"/>
      <c r="I1911" s="67"/>
      <c r="J1911" s="14"/>
      <c r="K1911" s="14"/>
      <c r="L1911" s="14"/>
      <c r="M1911" s="14"/>
    </row>
    <row r="1912" spans="1:13" x14ac:dyDescent="0.25">
      <c r="A1912" s="14"/>
      <c r="B1912" s="14"/>
      <c r="C1912" s="14"/>
      <c r="D1912" s="92"/>
      <c r="E1912" s="14"/>
      <c r="F1912" s="14"/>
      <c r="G1912" s="14"/>
      <c r="H1912" s="14"/>
      <c r="I1912" s="67"/>
      <c r="J1912" s="14"/>
      <c r="K1912" s="14"/>
      <c r="L1912" s="14"/>
      <c r="M1912" s="14"/>
    </row>
    <row r="1913" spans="1:13" x14ac:dyDescent="0.25">
      <c r="A1913" s="14"/>
      <c r="B1913" s="14"/>
      <c r="C1913" s="14"/>
      <c r="D1913" s="92"/>
      <c r="E1913" s="14"/>
      <c r="F1913" s="14"/>
      <c r="G1913" s="14"/>
      <c r="H1913" s="14"/>
      <c r="I1913" s="67"/>
      <c r="J1913" s="14"/>
      <c r="K1913" s="14"/>
      <c r="L1913" s="14"/>
      <c r="M1913" s="14"/>
    </row>
    <row r="1914" spans="1:13" x14ac:dyDescent="0.25">
      <c r="A1914" s="14"/>
      <c r="B1914" s="14"/>
      <c r="C1914" s="14"/>
      <c r="D1914" s="92"/>
      <c r="E1914" s="14"/>
      <c r="F1914" s="14"/>
      <c r="G1914" s="14"/>
      <c r="H1914" s="14"/>
      <c r="I1914" s="67"/>
      <c r="J1914" s="14"/>
      <c r="K1914" s="14"/>
      <c r="L1914" s="14"/>
      <c r="M1914" s="14"/>
    </row>
    <row r="1915" spans="1:13" x14ac:dyDescent="0.25">
      <c r="A1915" s="14"/>
      <c r="B1915" s="14"/>
      <c r="C1915" s="14"/>
      <c r="D1915" s="92"/>
      <c r="E1915" s="14"/>
      <c r="F1915" s="14"/>
      <c r="G1915" s="14"/>
      <c r="H1915" s="14"/>
      <c r="I1915" s="67"/>
      <c r="J1915" s="14"/>
      <c r="K1915" s="14"/>
      <c r="L1915" s="14"/>
      <c r="M1915" s="14"/>
    </row>
    <row r="1916" spans="1:13" x14ac:dyDescent="0.25">
      <c r="A1916" s="14"/>
      <c r="B1916" s="14"/>
      <c r="C1916" s="14"/>
      <c r="D1916" s="92"/>
      <c r="E1916" s="14"/>
      <c r="F1916" s="14"/>
      <c r="G1916" s="14"/>
      <c r="H1916" s="14"/>
      <c r="I1916" s="67"/>
      <c r="J1916" s="14"/>
      <c r="K1916" s="14"/>
      <c r="L1916" s="14"/>
      <c r="M1916" s="14"/>
    </row>
    <row r="1917" spans="1:13" x14ac:dyDescent="0.25">
      <c r="A1917" s="14"/>
      <c r="B1917" s="14"/>
      <c r="C1917" s="14"/>
      <c r="D1917" s="92"/>
      <c r="E1917" s="14"/>
      <c r="F1917" s="14"/>
      <c r="G1917" s="14"/>
      <c r="H1917" s="14"/>
      <c r="I1917" s="67"/>
      <c r="J1917" s="14"/>
      <c r="K1917" s="14"/>
      <c r="L1917" s="14"/>
      <c r="M1917" s="14"/>
    </row>
    <row r="1918" spans="1:13" x14ac:dyDescent="0.25">
      <c r="A1918" s="14"/>
      <c r="B1918" s="14"/>
      <c r="C1918" s="14"/>
      <c r="D1918" s="92"/>
      <c r="E1918" s="14"/>
      <c r="F1918" s="14"/>
      <c r="G1918" s="14"/>
      <c r="H1918" s="14"/>
      <c r="I1918" s="67"/>
      <c r="J1918" s="14"/>
      <c r="K1918" s="14"/>
      <c r="L1918" s="14"/>
      <c r="M1918" s="14"/>
    </row>
    <row r="1919" spans="1:13" x14ac:dyDescent="0.25">
      <c r="A1919" s="14"/>
      <c r="B1919" s="14"/>
      <c r="C1919" s="14"/>
      <c r="D1919" s="92"/>
      <c r="E1919" s="14"/>
      <c r="F1919" s="14"/>
      <c r="G1919" s="14"/>
      <c r="H1919" s="14"/>
      <c r="I1919" s="67"/>
      <c r="J1919" s="14"/>
      <c r="K1919" s="14"/>
      <c r="L1919" s="14"/>
      <c r="M1919" s="14"/>
    </row>
    <row r="1920" spans="1:13" x14ac:dyDescent="0.25">
      <c r="A1920" s="14"/>
      <c r="B1920" s="14"/>
      <c r="C1920" s="14"/>
      <c r="D1920" s="92"/>
      <c r="E1920" s="14"/>
      <c r="F1920" s="14"/>
      <c r="G1920" s="14"/>
      <c r="H1920" s="14"/>
      <c r="I1920" s="67"/>
      <c r="J1920" s="14"/>
      <c r="K1920" s="14"/>
      <c r="L1920" s="14"/>
      <c r="M1920" s="14"/>
    </row>
    <row r="1921" spans="1:13" x14ac:dyDescent="0.25">
      <c r="A1921" s="14"/>
      <c r="B1921" s="14"/>
      <c r="C1921" s="14"/>
      <c r="D1921" s="92"/>
      <c r="E1921" s="14"/>
      <c r="F1921" s="14"/>
      <c r="G1921" s="14"/>
      <c r="H1921" s="14"/>
      <c r="I1921" s="67"/>
      <c r="J1921" s="14"/>
      <c r="K1921" s="14"/>
      <c r="L1921" s="14"/>
      <c r="M1921" s="14"/>
    </row>
    <row r="1922" spans="1:13" x14ac:dyDescent="0.25">
      <c r="A1922" s="14"/>
      <c r="B1922" s="14"/>
      <c r="C1922" s="14"/>
      <c r="D1922" s="92"/>
      <c r="E1922" s="14"/>
      <c r="F1922" s="14"/>
      <c r="G1922" s="14"/>
      <c r="H1922" s="14"/>
      <c r="I1922" s="67"/>
      <c r="J1922" s="14"/>
      <c r="K1922" s="14"/>
      <c r="L1922" s="14"/>
      <c r="M1922" s="14"/>
    </row>
    <row r="1923" spans="1:13" x14ac:dyDescent="0.25">
      <c r="A1923" s="14"/>
      <c r="B1923" s="14"/>
      <c r="C1923" s="14"/>
      <c r="D1923" s="92"/>
      <c r="E1923" s="14"/>
      <c r="F1923" s="14"/>
      <c r="G1923" s="14"/>
      <c r="H1923" s="14"/>
      <c r="I1923" s="67"/>
      <c r="J1923" s="14"/>
      <c r="K1923" s="14"/>
      <c r="L1923" s="14"/>
      <c r="M1923" s="14"/>
    </row>
    <row r="1924" spans="1:13" x14ac:dyDescent="0.25">
      <c r="A1924" s="14"/>
      <c r="B1924" s="14"/>
      <c r="C1924" s="14"/>
      <c r="D1924" s="92"/>
      <c r="E1924" s="14"/>
      <c r="F1924" s="14"/>
      <c r="G1924" s="14"/>
      <c r="H1924" s="14"/>
      <c r="I1924" s="67"/>
      <c r="J1924" s="14"/>
      <c r="K1924" s="14"/>
      <c r="L1924" s="14"/>
      <c r="M1924" s="14"/>
    </row>
    <row r="1925" spans="1:13" x14ac:dyDescent="0.25">
      <c r="A1925" s="14"/>
      <c r="B1925" s="14"/>
      <c r="C1925" s="14"/>
      <c r="D1925" s="92"/>
      <c r="E1925" s="14"/>
      <c r="F1925" s="14"/>
      <c r="G1925" s="14"/>
      <c r="H1925" s="14"/>
      <c r="I1925" s="67"/>
      <c r="J1925" s="14"/>
      <c r="K1925" s="14"/>
      <c r="L1925" s="14"/>
      <c r="M1925" s="14"/>
    </row>
    <row r="1926" spans="1:13" x14ac:dyDescent="0.25">
      <c r="A1926" s="14"/>
      <c r="B1926" s="14"/>
      <c r="C1926" s="14"/>
      <c r="D1926" s="92"/>
      <c r="E1926" s="14"/>
      <c r="F1926" s="14"/>
      <c r="G1926" s="14"/>
      <c r="H1926" s="14"/>
      <c r="I1926" s="67"/>
      <c r="J1926" s="14"/>
      <c r="K1926" s="14"/>
      <c r="L1926" s="14"/>
      <c r="M1926" s="14"/>
    </row>
    <row r="1927" spans="1:13" x14ac:dyDescent="0.25">
      <c r="A1927" s="14"/>
      <c r="B1927" s="14"/>
      <c r="C1927" s="14"/>
      <c r="D1927" s="92"/>
      <c r="E1927" s="14"/>
      <c r="F1927" s="14"/>
      <c r="G1927" s="14"/>
      <c r="H1927" s="14"/>
      <c r="I1927" s="67"/>
      <c r="J1927" s="14"/>
      <c r="K1927" s="14"/>
      <c r="L1927" s="14"/>
      <c r="M1927" s="14"/>
    </row>
    <row r="1928" spans="1:13" x14ac:dyDescent="0.25">
      <c r="A1928" s="14"/>
      <c r="B1928" s="14"/>
      <c r="C1928" s="14"/>
      <c r="D1928" s="92"/>
      <c r="E1928" s="14"/>
      <c r="F1928" s="14"/>
      <c r="G1928" s="14"/>
      <c r="H1928" s="14"/>
      <c r="I1928" s="67"/>
      <c r="J1928" s="14"/>
      <c r="K1928" s="14"/>
      <c r="L1928" s="14"/>
      <c r="M1928" s="14"/>
    </row>
    <row r="1929" spans="1:13" x14ac:dyDescent="0.25">
      <c r="A1929" s="14"/>
      <c r="B1929" s="14"/>
      <c r="C1929" s="14"/>
      <c r="D1929" s="92"/>
      <c r="E1929" s="14"/>
      <c r="F1929" s="14"/>
      <c r="G1929" s="14"/>
      <c r="H1929" s="14"/>
      <c r="I1929" s="67"/>
      <c r="J1929" s="14"/>
      <c r="K1929" s="14"/>
      <c r="L1929" s="14"/>
      <c r="M1929" s="14"/>
    </row>
    <row r="1930" spans="1:13" x14ac:dyDescent="0.25">
      <c r="A1930" s="14"/>
      <c r="B1930" s="14"/>
      <c r="C1930" s="14"/>
      <c r="D1930" s="92"/>
      <c r="E1930" s="14"/>
      <c r="F1930" s="14"/>
      <c r="G1930" s="14"/>
      <c r="H1930" s="14"/>
      <c r="I1930" s="67"/>
      <c r="J1930" s="14"/>
      <c r="K1930" s="14"/>
      <c r="L1930" s="14"/>
      <c r="M1930" s="14"/>
    </row>
    <row r="1931" spans="1:13" x14ac:dyDescent="0.25">
      <c r="A1931" s="14"/>
      <c r="B1931" s="14"/>
      <c r="C1931" s="14"/>
      <c r="D1931" s="92"/>
      <c r="E1931" s="14"/>
      <c r="F1931" s="14"/>
      <c r="G1931" s="14"/>
      <c r="H1931" s="14"/>
      <c r="I1931" s="67"/>
      <c r="J1931" s="14"/>
      <c r="K1931" s="14"/>
      <c r="L1931" s="14"/>
      <c r="M1931" s="14"/>
    </row>
    <row r="1932" spans="1:13" x14ac:dyDescent="0.25">
      <c r="A1932" s="14"/>
      <c r="B1932" s="14"/>
      <c r="C1932" s="14"/>
      <c r="D1932" s="92"/>
      <c r="E1932" s="14"/>
      <c r="F1932" s="14"/>
      <c r="G1932" s="14"/>
      <c r="H1932" s="14"/>
      <c r="I1932" s="67"/>
      <c r="J1932" s="14"/>
      <c r="K1932" s="14"/>
      <c r="L1932" s="14"/>
      <c r="M1932" s="14"/>
    </row>
    <row r="1933" spans="1:13" x14ac:dyDescent="0.25">
      <c r="A1933" s="14"/>
      <c r="B1933" s="14"/>
      <c r="C1933" s="14"/>
      <c r="D1933" s="92"/>
      <c r="E1933" s="14"/>
      <c r="F1933" s="14"/>
      <c r="G1933" s="14"/>
      <c r="H1933" s="14"/>
      <c r="I1933" s="67"/>
      <c r="J1933" s="14"/>
      <c r="K1933" s="14"/>
      <c r="L1933" s="14"/>
      <c r="M1933" s="14"/>
    </row>
    <row r="1934" spans="1:13" x14ac:dyDescent="0.25">
      <c r="A1934" s="14"/>
      <c r="B1934" s="14"/>
      <c r="C1934" s="14"/>
      <c r="D1934" s="92"/>
      <c r="E1934" s="14"/>
      <c r="F1934" s="14"/>
      <c r="G1934" s="14"/>
      <c r="H1934" s="14"/>
      <c r="I1934" s="67"/>
      <c r="J1934" s="14"/>
      <c r="K1934" s="14"/>
      <c r="L1934" s="14"/>
      <c r="M1934" s="14"/>
    </row>
    <row r="1935" spans="1:13" x14ac:dyDescent="0.25">
      <c r="A1935" s="14"/>
      <c r="B1935" s="14"/>
      <c r="C1935" s="14"/>
      <c r="D1935" s="92"/>
      <c r="E1935" s="14"/>
      <c r="F1935" s="14"/>
      <c r="G1935" s="14"/>
      <c r="H1935" s="14"/>
      <c r="I1935" s="67"/>
      <c r="J1935" s="14"/>
      <c r="K1935" s="14"/>
      <c r="L1935" s="14"/>
      <c r="M1935" s="14"/>
    </row>
    <row r="1936" spans="1:13" x14ac:dyDescent="0.25">
      <c r="A1936" s="14"/>
      <c r="B1936" s="14"/>
      <c r="C1936" s="14"/>
      <c r="D1936" s="92"/>
      <c r="E1936" s="14"/>
      <c r="F1936" s="14"/>
      <c r="G1936" s="14"/>
      <c r="H1936" s="14"/>
      <c r="I1936" s="67"/>
      <c r="J1936" s="14"/>
      <c r="K1936" s="14"/>
      <c r="L1936" s="14"/>
      <c r="M1936" s="14"/>
    </row>
    <row r="1937" spans="1:13" x14ac:dyDescent="0.25">
      <c r="A1937" s="14"/>
      <c r="B1937" s="14"/>
      <c r="C1937" s="14"/>
      <c r="D1937" s="92"/>
      <c r="E1937" s="14"/>
      <c r="F1937" s="14"/>
      <c r="G1937" s="14"/>
      <c r="H1937" s="14"/>
      <c r="I1937" s="67"/>
      <c r="J1937" s="14"/>
      <c r="K1937" s="14"/>
      <c r="L1937" s="14"/>
      <c r="M1937" s="14"/>
    </row>
    <row r="1938" spans="1:13" x14ac:dyDescent="0.25">
      <c r="A1938" s="14"/>
      <c r="B1938" s="14"/>
      <c r="C1938" s="14"/>
      <c r="D1938" s="92"/>
      <c r="E1938" s="14"/>
      <c r="F1938" s="14"/>
      <c r="G1938" s="14"/>
      <c r="H1938" s="14"/>
      <c r="I1938" s="67"/>
      <c r="J1938" s="14"/>
      <c r="K1938" s="14"/>
      <c r="L1938" s="14"/>
      <c r="M1938" s="14"/>
    </row>
    <row r="1939" spans="1:13" x14ac:dyDescent="0.25">
      <c r="A1939" s="14"/>
      <c r="B1939" s="14"/>
      <c r="C1939" s="14"/>
      <c r="D1939" s="92"/>
      <c r="E1939" s="14"/>
      <c r="F1939" s="14"/>
      <c r="G1939" s="14"/>
      <c r="H1939" s="14"/>
      <c r="I1939" s="67"/>
      <c r="J1939" s="14"/>
      <c r="K1939" s="14"/>
      <c r="L1939" s="14"/>
      <c r="M1939" s="14"/>
    </row>
    <row r="1940" spans="1:13" x14ac:dyDescent="0.25">
      <c r="A1940" s="14"/>
      <c r="B1940" s="14"/>
      <c r="C1940" s="14"/>
      <c r="D1940" s="92"/>
      <c r="E1940" s="14"/>
      <c r="F1940" s="14"/>
      <c r="G1940" s="14"/>
      <c r="H1940" s="14"/>
      <c r="I1940" s="67"/>
      <c r="J1940" s="14"/>
      <c r="K1940" s="14"/>
      <c r="L1940" s="14"/>
      <c r="M1940" s="14"/>
    </row>
    <row r="1941" spans="1:13" x14ac:dyDescent="0.25">
      <c r="A1941" s="14"/>
      <c r="B1941" s="14"/>
      <c r="C1941" s="14"/>
      <c r="D1941" s="92"/>
      <c r="E1941" s="14"/>
      <c r="F1941" s="14"/>
      <c r="G1941" s="14"/>
      <c r="H1941" s="14"/>
      <c r="I1941" s="67"/>
      <c r="J1941" s="14"/>
      <c r="K1941" s="14"/>
      <c r="L1941" s="14"/>
      <c r="M1941" s="14"/>
    </row>
    <row r="1942" spans="1:13" x14ac:dyDescent="0.25">
      <c r="A1942" s="14"/>
      <c r="B1942" s="14"/>
      <c r="C1942" s="14"/>
      <c r="D1942" s="92"/>
      <c r="E1942" s="14"/>
      <c r="F1942" s="14"/>
      <c r="G1942" s="14"/>
      <c r="H1942" s="14"/>
      <c r="I1942" s="67"/>
      <c r="J1942" s="14"/>
      <c r="K1942" s="14"/>
      <c r="L1942" s="14"/>
      <c r="M1942" s="14"/>
    </row>
    <row r="1943" spans="1:13" x14ac:dyDescent="0.25">
      <c r="A1943" s="14"/>
      <c r="B1943" s="14"/>
      <c r="C1943" s="14"/>
      <c r="D1943" s="92"/>
      <c r="E1943" s="14"/>
      <c r="F1943" s="14"/>
      <c r="G1943" s="14"/>
      <c r="H1943" s="14"/>
      <c r="I1943" s="67"/>
      <c r="J1943" s="14"/>
      <c r="K1943" s="14"/>
      <c r="L1943" s="14"/>
      <c r="M1943" s="14"/>
    </row>
    <row r="1944" spans="1:13" x14ac:dyDescent="0.25">
      <c r="A1944" s="14"/>
      <c r="B1944" s="14"/>
      <c r="C1944" s="14"/>
      <c r="D1944" s="92"/>
      <c r="E1944" s="14"/>
      <c r="F1944" s="14"/>
      <c r="G1944" s="14"/>
      <c r="H1944" s="14"/>
      <c r="I1944" s="67"/>
      <c r="J1944" s="14"/>
      <c r="K1944" s="14"/>
      <c r="L1944" s="14"/>
      <c r="M1944" s="14"/>
    </row>
    <row r="1945" spans="1:13" x14ac:dyDescent="0.25">
      <c r="A1945" s="14"/>
      <c r="B1945" s="14"/>
      <c r="C1945" s="14"/>
      <c r="D1945" s="92"/>
      <c r="E1945" s="14"/>
      <c r="F1945" s="14"/>
      <c r="G1945" s="14"/>
      <c r="H1945" s="14"/>
      <c r="I1945" s="67"/>
      <c r="J1945" s="14"/>
      <c r="K1945" s="14"/>
      <c r="L1945" s="14"/>
      <c r="M1945" s="14"/>
    </row>
    <row r="1946" spans="1:13" x14ac:dyDescent="0.25">
      <c r="A1946" s="14"/>
      <c r="B1946" s="14"/>
      <c r="C1946" s="14"/>
      <c r="D1946" s="92"/>
      <c r="E1946" s="14"/>
      <c r="F1946" s="14"/>
      <c r="G1946" s="14"/>
      <c r="H1946" s="14"/>
      <c r="I1946" s="67"/>
      <c r="J1946" s="14"/>
      <c r="K1946" s="14"/>
      <c r="L1946" s="14"/>
      <c r="M1946" s="14"/>
    </row>
    <row r="1947" spans="1:13" x14ac:dyDescent="0.25">
      <c r="A1947" s="14"/>
      <c r="B1947" s="14"/>
      <c r="C1947" s="14"/>
      <c r="D1947" s="92"/>
      <c r="E1947" s="14"/>
      <c r="F1947" s="14"/>
      <c r="G1947" s="14"/>
      <c r="H1947" s="14"/>
      <c r="I1947" s="67"/>
      <c r="J1947" s="14"/>
      <c r="K1947" s="14"/>
      <c r="L1947" s="14"/>
      <c r="M1947" s="14"/>
    </row>
    <row r="1948" spans="1:13" x14ac:dyDescent="0.25">
      <c r="A1948" s="14"/>
      <c r="B1948" s="14"/>
      <c r="C1948" s="14"/>
      <c r="D1948" s="92"/>
      <c r="E1948" s="14"/>
      <c r="F1948" s="14"/>
      <c r="G1948" s="14"/>
      <c r="H1948" s="14"/>
      <c r="I1948" s="67"/>
      <c r="J1948" s="14"/>
      <c r="K1948" s="14"/>
      <c r="L1948" s="14"/>
      <c r="M1948" s="14"/>
    </row>
    <row r="1949" spans="1:13" x14ac:dyDescent="0.25">
      <c r="A1949" s="14"/>
      <c r="B1949" s="14"/>
      <c r="C1949" s="14"/>
      <c r="D1949" s="92"/>
      <c r="E1949" s="14"/>
      <c r="F1949" s="14"/>
      <c r="G1949" s="14"/>
      <c r="H1949" s="14"/>
      <c r="I1949" s="67"/>
      <c r="J1949" s="14"/>
      <c r="K1949" s="14"/>
      <c r="L1949" s="14"/>
      <c r="M1949" s="14"/>
    </row>
    <row r="1950" spans="1:13" x14ac:dyDescent="0.25">
      <c r="A1950" s="14"/>
      <c r="B1950" s="14"/>
      <c r="C1950" s="14"/>
      <c r="D1950" s="92"/>
      <c r="E1950" s="14"/>
      <c r="F1950" s="14"/>
      <c r="G1950" s="14"/>
      <c r="H1950" s="14"/>
      <c r="I1950" s="67"/>
      <c r="J1950" s="14"/>
      <c r="K1950" s="14"/>
      <c r="L1950" s="14"/>
      <c r="M1950" s="14"/>
    </row>
    <row r="1951" spans="1:13" x14ac:dyDescent="0.25">
      <c r="A1951" s="14"/>
      <c r="B1951" s="14"/>
      <c r="C1951" s="14"/>
      <c r="D1951" s="92"/>
      <c r="E1951" s="14"/>
      <c r="F1951" s="14"/>
      <c r="G1951" s="14"/>
      <c r="H1951" s="14"/>
      <c r="I1951" s="67"/>
      <c r="J1951" s="14"/>
      <c r="K1951" s="14"/>
      <c r="L1951" s="14"/>
      <c r="M1951" s="14"/>
    </row>
    <row r="1952" spans="1:13" x14ac:dyDescent="0.25">
      <c r="A1952" s="14"/>
      <c r="B1952" s="14"/>
      <c r="C1952" s="14"/>
      <c r="D1952" s="92"/>
      <c r="E1952" s="14"/>
      <c r="F1952" s="14"/>
      <c r="G1952" s="14"/>
      <c r="H1952" s="14"/>
      <c r="I1952" s="67"/>
      <c r="J1952" s="14"/>
      <c r="K1952" s="14"/>
      <c r="L1952" s="14"/>
      <c r="M1952" s="14"/>
    </row>
    <row r="1953" spans="1:13" x14ac:dyDescent="0.25">
      <c r="A1953" s="14"/>
      <c r="B1953" s="14"/>
      <c r="C1953" s="14"/>
      <c r="D1953" s="92"/>
      <c r="E1953" s="14"/>
      <c r="F1953" s="14"/>
      <c r="G1953" s="14"/>
      <c r="H1953" s="14"/>
      <c r="I1953" s="67"/>
      <c r="J1953" s="14"/>
      <c r="K1953" s="14"/>
      <c r="L1953" s="14"/>
      <c r="M1953" s="14"/>
    </row>
    <row r="1954" spans="1:13" x14ac:dyDescent="0.25">
      <c r="A1954" s="14"/>
      <c r="B1954" s="14"/>
      <c r="C1954" s="14"/>
      <c r="D1954" s="92"/>
      <c r="E1954" s="14"/>
      <c r="F1954" s="14"/>
      <c r="G1954" s="14"/>
      <c r="H1954" s="14"/>
      <c r="I1954" s="67"/>
      <c r="J1954" s="14"/>
      <c r="K1954" s="14"/>
      <c r="L1954" s="14"/>
      <c r="M1954" s="14"/>
    </row>
    <row r="1955" spans="1:13" x14ac:dyDescent="0.25">
      <c r="A1955" s="14"/>
      <c r="B1955" s="14"/>
      <c r="C1955" s="14"/>
      <c r="D1955" s="92"/>
      <c r="E1955" s="14"/>
      <c r="F1955" s="14"/>
      <c r="G1955" s="14"/>
      <c r="H1955" s="14"/>
      <c r="I1955" s="67"/>
      <c r="J1955" s="14"/>
      <c r="K1955" s="14"/>
      <c r="L1955" s="14"/>
      <c r="M1955" s="14"/>
    </row>
    <row r="1956" spans="1:13" x14ac:dyDescent="0.25">
      <c r="A1956" s="14"/>
      <c r="B1956" s="14"/>
      <c r="C1956" s="14"/>
      <c r="D1956" s="92"/>
      <c r="E1956" s="14"/>
      <c r="F1956" s="14"/>
      <c r="G1956" s="14"/>
      <c r="H1956" s="14"/>
      <c r="I1956" s="67"/>
      <c r="J1956" s="14"/>
      <c r="K1956" s="14"/>
      <c r="L1956" s="14"/>
      <c r="M1956" s="14"/>
    </row>
    <row r="1957" spans="1:13" x14ac:dyDescent="0.25">
      <c r="A1957" s="14"/>
      <c r="B1957" s="14"/>
      <c r="C1957" s="14"/>
      <c r="D1957" s="92"/>
      <c r="E1957" s="14"/>
      <c r="F1957" s="14"/>
      <c r="G1957" s="14"/>
      <c r="H1957" s="14"/>
      <c r="I1957" s="67"/>
      <c r="J1957" s="14"/>
      <c r="K1957" s="14"/>
      <c r="L1957" s="14"/>
      <c r="M1957" s="14"/>
    </row>
    <row r="1958" spans="1:13" x14ac:dyDescent="0.25">
      <c r="A1958" s="14"/>
      <c r="B1958" s="14"/>
      <c r="C1958" s="14"/>
      <c r="D1958" s="92"/>
      <c r="E1958" s="14"/>
      <c r="F1958" s="14"/>
      <c r="G1958" s="14"/>
      <c r="H1958" s="14"/>
      <c r="I1958" s="67"/>
      <c r="J1958" s="14"/>
      <c r="K1958" s="14"/>
      <c r="L1958" s="14"/>
      <c r="M1958" s="14"/>
    </row>
    <row r="1959" spans="1:13" x14ac:dyDescent="0.25">
      <c r="A1959" s="14"/>
      <c r="B1959" s="14"/>
      <c r="C1959" s="14"/>
      <c r="D1959" s="92"/>
      <c r="E1959" s="14"/>
      <c r="F1959" s="14"/>
      <c r="G1959" s="14"/>
      <c r="H1959" s="14"/>
      <c r="I1959" s="67"/>
      <c r="J1959" s="14"/>
      <c r="K1959" s="14"/>
      <c r="L1959" s="14"/>
      <c r="M1959" s="14"/>
    </row>
    <row r="1960" spans="1:13" x14ac:dyDescent="0.25">
      <c r="A1960" s="14"/>
      <c r="B1960" s="14"/>
      <c r="C1960" s="14"/>
      <c r="D1960" s="92"/>
      <c r="E1960" s="14"/>
      <c r="F1960" s="14"/>
      <c r="G1960" s="14"/>
      <c r="H1960" s="14"/>
      <c r="I1960" s="67"/>
      <c r="J1960" s="14"/>
      <c r="K1960" s="14"/>
      <c r="L1960" s="14"/>
      <c r="M1960" s="14"/>
    </row>
    <row r="1961" spans="1:13" x14ac:dyDescent="0.25">
      <c r="A1961" s="14"/>
      <c r="B1961" s="14"/>
      <c r="C1961" s="14"/>
      <c r="D1961" s="92"/>
      <c r="E1961" s="14"/>
      <c r="F1961" s="14"/>
      <c r="G1961" s="14"/>
      <c r="H1961" s="14"/>
      <c r="I1961" s="67"/>
      <c r="J1961" s="14"/>
      <c r="K1961" s="14"/>
      <c r="L1961" s="14"/>
      <c r="M1961" s="14"/>
    </row>
    <row r="1962" spans="1:13" x14ac:dyDescent="0.25">
      <c r="A1962" s="14"/>
      <c r="B1962" s="14"/>
      <c r="C1962" s="14"/>
      <c r="D1962" s="92"/>
      <c r="E1962" s="14"/>
      <c r="F1962" s="14"/>
      <c r="G1962" s="14"/>
      <c r="H1962" s="14"/>
      <c r="I1962" s="67"/>
      <c r="J1962" s="14"/>
      <c r="K1962" s="14"/>
      <c r="L1962" s="14"/>
      <c r="M1962" s="14"/>
    </row>
    <row r="1963" spans="1:13" x14ac:dyDescent="0.25">
      <c r="A1963" s="14"/>
      <c r="B1963" s="14"/>
      <c r="C1963" s="14"/>
      <c r="D1963" s="92"/>
      <c r="E1963" s="14"/>
      <c r="F1963" s="14"/>
      <c r="G1963" s="14"/>
      <c r="H1963" s="14"/>
      <c r="I1963" s="67"/>
      <c r="J1963" s="14"/>
      <c r="K1963" s="14"/>
      <c r="L1963" s="14"/>
      <c r="M1963" s="14"/>
    </row>
    <row r="1964" spans="1:13" x14ac:dyDescent="0.25">
      <c r="A1964" s="14"/>
      <c r="B1964" s="14"/>
      <c r="C1964" s="14"/>
      <c r="D1964" s="92"/>
      <c r="E1964" s="14"/>
      <c r="F1964" s="14"/>
      <c r="G1964" s="14"/>
      <c r="H1964" s="14"/>
      <c r="I1964" s="67"/>
      <c r="J1964" s="14"/>
      <c r="K1964" s="14"/>
      <c r="L1964" s="14"/>
      <c r="M1964" s="14"/>
    </row>
    <row r="1965" spans="1:13" x14ac:dyDescent="0.25">
      <c r="A1965" s="14"/>
      <c r="B1965" s="14"/>
      <c r="C1965" s="14"/>
      <c r="D1965" s="92"/>
      <c r="E1965" s="14"/>
      <c r="F1965" s="14"/>
      <c r="G1965" s="14"/>
      <c r="H1965" s="14"/>
      <c r="I1965" s="67"/>
      <c r="J1965" s="14"/>
      <c r="K1965" s="14"/>
      <c r="L1965" s="14"/>
      <c r="M1965" s="14"/>
    </row>
    <row r="1966" spans="1:13" x14ac:dyDescent="0.25">
      <c r="A1966" s="14"/>
      <c r="B1966" s="14"/>
      <c r="C1966" s="14"/>
      <c r="D1966" s="92"/>
      <c r="E1966" s="14"/>
      <c r="F1966" s="14"/>
      <c r="G1966" s="14"/>
      <c r="H1966" s="14"/>
      <c r="I1966" s="67"/>
      <c r="J1966" s="14"/>
      <c r="K1966" s="14"/>
      <c r="L1966" s="14"/>
      <c r="M1966" s="14"/>
    </row>
    <row r="1967" spans="1:13" x14ac:dyDescent="0.25">
      <c r="A1967" s="14"/>
      <c r="B1967" s="14"/>
      <c r="C1967" s="14"/>
      <c r="D1967" s="92"/>
      <c r="E1967" s="14"/>
      <c r="F1967" s="14"/>
      <c r="G1967" s="14"/>
      <c r="H1967" s="14"/>
      <c r="I1967" s="67"/>
      <c r="J1967" s="14"/>
      <c r="K1967" s="14"/>
      <c r="L1967" s="14"/>
      <c r="M1967" s="14"/>
    </row>
    <row r="1968" spans="1:13" x14ac:dyDescent="0.25">
      <c r="A1968" s="14"/>
      <c r="B1968" s="14"/>
      <c r="C1968" s="14"/>
      <c r="D1968" s="92"/>
      <c r="E1968" s="14"/>
      <c r="F1968" s="14"/>
      <c r="G1968" s="14"/>
      <c r="H1968" s="14"/>
      <c r="I1968" s="67"/>
      <c r="J1968" s="14"/>
      <c r="K1968" s="14"/>
      <c r="L1968" s="14"/>
      <c r="M1968" s="14"/>
    </row>
    <row r="1969" spans="1:13" x14ac:dyDescent="0.25">
      <c r="A1969" s="14"/>
      <c r="B1969" s="14"/>
      <c r="C1969" s="14"/>
      <c r="D1969" s="92"/>
      <c r="E1969" s="14"/>
      <c r="F1969" s="14"/>
      <c r="G1969" s="14"/>
      <c r="H1969" s="14"/>
      <c r="I1969" s="67"/>
      <c r="J1969" s="14"/>
      <c r="K1969" s="14"/>
      <c r="L1969" s="14"/>
      <c r="M1969" s="14"/>
    </row>
    <row r="1970" spans="1:13" x14ac:dyDescent="0.25">
      <c r="A1970" s="14"/>
      <c r="B1970" s="14"/>
      <c r="C1970" s="14"/>
      <c r="D1970" s="92"/>
      <c r="E1970" s="14"/>
      <c r="F1970" s="14"/>
      <c r="G1970" s="14"/>
      <c r="H1970" s="14"/>
      <c r="I1970" s="67"/>
      <c r="J1970" s="14"/>
      <c r="K1970" s="14"/>
      <c r="L1970" s="14"/>
      <c r="M1970" s="14"/>
    </row>
    <row r="1971" spans="1:13" x14ac:dyDescent="0.25">
      <c r="A1971" s="14"/>
      <c r="B1971" s="14"/>
      <c r="C1971" s="14"/>
      <c r="D1971" s="92"/>
      <c r="E1971" s="14"/>
      <c r="F1971" s="14"/>
      <c r="G1971" s="14"/>
      <c r="H1971" s="14"/>
      <c r="I1971" s="67"/>
      <c r="J1971" s="14"/>
      <c r="K1971" s="14"/>
      <c r="L1971" s="14"/>
      <c r="M1971" s="14"/>
    </row>
    <row r="1972" spans="1:13" x14ac:dyDescent="0.25">
      <c r="A1972" s="14"/>
      <c r="B1972" s="14"/>
      <c r="C1972" s="14"/>
      <c r="D1972" s="92"/>
      <c r="E1972" s="14"/>
      <c r="F1972" s="14"/>
      <c r="G1972" s="14"/>
      <c r="H1972" s="14"/>
      <c r="I1972" s="67"/>
      <c r="J1972" s="14"/>
      <c r="K1972" s="14"/>
      <c r="L1972" s="14"/>
      <c r="M1972" s="14"/>
    </row>
    <row r="1973" spans="1:13" x14ac:dyDescent="0.25">
      <c r="A1973" s="14"/>
      <c r="B1973" s="14"/>
      <c r="C1973" s="14"/>
      <c r="D1973" s="92"/>
      <c r="E1973" s="14"/>
      <c r="F1973" s="14"/>
      <c r="G1973" s="14"/>
      <c r="H1973" s="14"/>
      <c r="I1973" s="67"/>
      <c r="J1973" s="14"/>
      <c r="K1973" s="14"/>
      <c r="L1973" s="14"/>
      <c r="M1973" s="14"/>
    </row>
    <row r="1974" spans="1:13" x14ac:dyDescent="0.25">
      <c r="A1974" s="14"/>
      <c r="B1974" s="14"/>
      <c r="C1974" s="14"/>
      <c r="D1974" s="92"/>
      <c r="E1974" s="14"/>
      <c r="F1974" s="14"/>
      <c r="G1974" s="14"/>
      <c r="H1974" s="14"/>
      <c r="I1974" s="67"/>
      <c r="J1974" s="14"/>
      <c r="K1974" s="14"/>
      <c r="L1974" s="14"/>
      <c r="M1974" s="14"/>
    </row>
    <row r="1975" spans="1:13" x14ac:dyDescent="0.25">
      <c r="A1975" s="14"/>
      <c r="B1975" s="14"/>
      <c r="C1975" s="14"/>
      <c r="D1975" s="92"/>
      <c r="E1975" s="14"/>
      <c r="F1975" s="14"/>
      <c r="G1975" s="14"/>
      <c r="H1975" s="14"/>
      <c r="I1975" s="67"/>
      <c r="J1975" s="14"/>
      <c r="K1975" s="14"/>
      <c r="L1975" s="14"/>
      <c r="M1975" s="14"/>
    </row>
    <row r="1976" spans="1:13" x14ac:dyDescent="0.25">
      <c r="A1976" s="14"/>
      <c r="B1976" s="14"/>
      <c r="C1976" s="14"/>
      <c r="D1976" s="92"/>
      <c r="E1976" s="14"/>
      <c r="F1976" s="14"/>
      <c r="G1976" s="14"/>
      <c r="H1976" s="14"/>
      <c r="I1976" s="67"/>
      <c r="J1976" s="14"/>
      <c r="K1976" s="14"/>
      <c r="L1976" s="14"/>
      <c r="M1976" s="14"/>
    </row>
    <row r="1977" spans="1:13" x14ac:dyDescent="0.25">
      <c r="A1977" s="14"/>
      <c r="B1977" s="14"/>
      <c r="C1977" s="14"/>
      <c r="D1977" s="92"/>
      <c r="E1977" s="14"/>
      <c r="F1977" s="14"/>
      <c r="G1977" s="14"/>
      <c r="H1977" s="14"/>
      <c r="I1977" s="67"/>
      <c r="J1977" s="14"/>
      <c r="K1977" s="14"/>
      <c r="L1977" s="14"/>
      <c r="M1977" s="14"/>
    </row>
    <row r="1978" spans="1:13" x14ac:dyDescent="0.25">
      <c r="A1978" s="14"/>
      <c r="B1978" s="14"/>
      <c r="C1978" s="14"/>
      <c r="D1978" s="92"/>
      <c r="E1978" s="14"/>
      <c r="F1978" s="14"/>
      <c r="G1978" s="14"/>
      <c r="H1978" s="14"/>
      <c r="I1978" s="67"/>
      <c r="J1978" s="14"/>
      <c r="K1978" s="14"/>
      <c r="L1978" s="14"/>
      <c r="M1978" s="14"/>
    </row>
    <row r="1979" spans="1:13" x14ac:dyDescent="0.25">
      <c r="A1979" s="14"/>
      <c r="B1979" s="14"/>
      <c r="C1979" s="14"/>
      <c r="D1979" s="92"/>
      <c r="E1979" s="14"/>
      <c r="F1979" s="14"/>
      <c r="G1979" s="14"/>
      <c r="H1979" s="14"/>
      <c r="I1979" s="67"/>
      <c r="J1979" s="14"/>
      <c r="K1979" s="14"/>
      <c r="L1979" s="14"/>
      <c r="M1979" s="14"/>
    </row>
    <row r="1980" spans="1:13" x14ac:dyDescent="0.25">
      <c r="A1980" s="14"/>
      <c r="B1980" s="14"/>
      <c r="C1980" s="14"/>
      <c r="D1980" s="92"/>
      <c r="E1980" s="14"/>
      <c r="F1980" s="14"/>
      <c r="G1980" s="14"/>
      <c r="H1980" s="14"/>
      <c r="I1980" s="67"/>
      <c r="J1980" s="14"/>
      <c r="K1980" s="14"/>
      <c r="L1980" s="14"/>
      <c r="M1980" s="14"/>
    </row>
    <row r="1981" spans="1:13" x14ac:dyDescent="0.25">
      <c r="A1981" s="14"/>
      <c r="B1981" s="14"/>
      <c r="C1981" s="14"/>
      <c r="D1981" s="92"/>
      <c r="E1981" s="14"/>
      <c r="F1981" s="14"/>
      <c r="G1981" s="14"/>
      <c r="H1981" s="14"/>
      <c r="I1981" s="67"/>
      <c r="J1981" s="14"/>
      <c r="K1981" s="14"/>
      <c r="L1981" s="14"/>
      <c r="M1981" s="14"/>
    </row>
    <row r="1982" spans="1:13" x14ac:dyDescent="0.25">
      <c r="A1982" s="14"/>
      <c r="B1982" s="14"/>
      <c r="C1982" s="14"/>
      <c r="D1982" s="92"/>
      <c r="E1982" s="14"/>
      <c r="F1982" s="14"/>
      <c r="G1982" s="14"/>
      <c r="H1982" s="14"/>
      <c r="I1982" s="67"/>
      <c r="J1982" s="14"/>
      <c r="K1982" s="14"/>
      <c r="L1982" s="14"/>
      <c r="M1982" s="14"/>
    </row>
    <row r="1983" spans="1:13" x14ac:dyDescent="0.25">
      <c r="A1983" s="14"/>
      <c r="B1983" s="14"/>
      <c r="C1983" s="14"/>
      <c r="D1983" s="92"/>
      <c r="E1983" s="14"/>
      <c r="F1983" s="14"/>
      <c r="G1983" s="14"/>
      <c r="H1983" s="14"/>
      <c r="I1983" s="67"/>
      <c r="J1983" s="14"/>
      <c r="K1983" s="14"/>
      <c r="L1983" s="14"/>
      <c r="M1983" s="14"/>
    </row>
    <row r="1984" spans="1:13" x14ac:dyDescent="0.25">
      <c r="A1984" s="14"/>
      <c r="B1984" s="14"/>
      <c r="C1984" s="14"/>
      <c r="D1984" s="92"/>
      <c r="E1984" s="14"/>
      <c r="F1984" s="14"/>
      <c r="G1984" s="14"/>
      <c r="H1984" s="14"/>
      <c r="I1984" s="67"/>
      <c r="J1984" s="14"/>
      <c r="K1984" s="14"/>
      <c r="L1984" s="14"/>
      <c r="M1984" s="14"/>
    </row>
    <row r="1985" spans="1:13" x14ac:dyDescent="0.25">
      <c r="A1985" s="14"/>
      <c r="B1985" s="14"/>
      <c r="C1985" s="14"/>
      <c r="D1985" s="92"/>
      <c r="E1985" s="14"/>
      <c r="F1985" s="14"/>
      <c r="G1985" s="14"/>
      <c r="H1985" s="14"/>
      <c r="I1985" s="67"/>
      <c r="J1985" s="14"/>
      <c r="K1985" s="14"/>
      <c r="L1985" s="14"/>
      <c r="M1985" s="14"/>
    </row>
    <row r="1986" spans="1:13" x14ac:dyDescent="0.25">
      <c r="A1986" s="14"/>
      <c r="B1986" s="14"/>
      <c r="C1986" s="14"/>
      <c r="D1986" s="92"/>
      <c r="E1986" s="14"/>
      <c r="F1986" s="14"/>
      <c r="G1986" s="14"/>
      <c r="H1986" s="14"/>
      <c r="I1986" s="67"/>
      <c r="J1986" s="14"/>
      <c r="K1986" s="14"/>
      <c r="L1986" s="14"/>
      <c r="M1986" s="14"/>
    </row>
    <row r="1987" spans="1:13" x14ac:dyDescent="0.25">
      <c r="A1987" s="14"/>
      <c r="B1987" s="14"/>
      <c r="C1987" s="14"/>
      <c r="D1987" s="92"/>
      <c r="E1987" s="14"/>
      <c r="F1987" s="14"/>
      <c r="G1987" s="14"/>
      <c r="H1987" s="14"/>
      <c r="I1987" s="67"/>
      <c r="J1987" s="14"/>
      <c r="K1987" s="14"/>
      <c r="L1987" s="14"/>
      <c r="M1987" s="14"/>
    </row>
    <row r="1988" spans="1:13" x14ac:dyDescent="0.25">
      <c r="A1988" s="14"/>
      <c r="B1988" s="14"/>
      <c r="C1988" s="14"/>
      <c r="D1988" s="92"/>
      <c r="E1988" s="14"/>
      <c r="F1988" s="14"/>
      <c r="G1988" s="14"/>
      <c r="H1988" s="14"/>
      <c r="I1988" s="67"/>
      <c r="J1988" s="14"/>
      <c r="K1988" s="14"/>
      <c r="L1988" s="14"/>
      <c r="M1988" s="14"/>
    </row>
    <row r="1989" spans="1:13" x14ac:dyDescent="0.25">
      <c r="A1989" s="14"/>
      <c r="B1989" s="14"/>
      <c r="C1989" s="14"/>
      <c r="D1989" s="92"/>
      <c r="E1989" s="14"/>
      <c r="F1989" s="14"/>
      <c r="G1989" s="14"/>
      <c r="H1989" s="14"/>
      <c r="I1989" s="67"/>
      <c r="J1989" s="14"/>
      <c r="K1989" s="14"/>
      <c r="L1989" s="14"/>
      <c r="M1989" s="14"/>
    </row>
    <row r="1990" spans="1:13" x14ac:dyDescent="0.25">
      <c r="A1990" s="14"/>
      <c r="B1990" s="14"/>
      <c r="C1990" s="14"/>
      <c r="D1990" s="92"/>
      <c r="E1990" s="14"/>
      <c r="F1990" s="14"/>
      <c r="G1990" s="14"/>
      <c r="H1990" s="14"/>
      <c r="I1990" s="67"/>
      <c r="J1990" s="14"/>
      <c r="K1990" s="14"/>
      <c r="L1990" s="14"/>
      <c r="M1990" s="14"/>
    </row>
    <row r="1991" spans="1:13" x14ac:dyDescent="0.25">
      <c r="A1991" s="14"/>
      <c r="B1991" s="14"/>
      <c r="C1991" s="14"/>
      <c r="D1991" s="92"/>
      <c r="E1991" s="14"/>
      <c r="F1991" s="14"/>
      <c r="G1991" s="14"/>
      <c r="H1991" s="14"/>
      <c r="I1991" s="67"/>
      <c r="J1991" s="14"/>
      <c r="K1991" s="14"/>
      <c r="L1991" s="14"/>
      <c r="M1991" s="14"/>
    </row>
    <row r="1992" spans="1:13" x14ac:dyDescent="0.25">
      <c r="A1992" s="14"/>
      <c r="B1992" s="14"/>
      <c r="C1992" s="14"/>
      <c r="D1992" s="92"/>
      <c r="E1992" s="14"/>
      <c r="F1992" s="14"/>
      <c r="G1992" s="14"/>
      <c r="H1992" s="14"/>
      <c r="I1992" s="67"/>
      <c r="J1992" s="14"/>
      <c r="K1992" s="14"/>
      <c r="L1992" s="14"/>
      <c r="M1992" s="14"/>
    </row>
    <row r="1993" spans="1:13" x14ac:dyDescent="0.25">
      <c r="A1993" s="14"/>
      <c r="B1993" s="14"/>
      <c r="C1993" s="14"/>
      <c r="D1993" s="92"/>
      <c r="E1993" s="14"/>
      <c r="F1993" s="14"/>
      <c r="G1993" s="14"/>
      <c r="H1993" s="14"/>
      <c r="I1993" s="67"/>
      <c r="J1993" s="14"/>
      <c r="K1993" s="14"/>
      <c r="L1993" s="14"/>
      <c r="M1993" s="14"/>
    </row>
    <row r="1994" spans="1:13" x14ac:dyDescent="0.25">
      <c r="A1994" s="14"/>
      <c r="B1994" s="14"/>
      <c r="C1994" s="14"/>
      <c r="D1994" s="92"/>
      <c r="E1994" s="14"/>
      <c r="F1994" s="14"/>
      <c r="G1994" s="14"/>
      <c r="H1994" s="14"/>
      <c r="I1994" s="67"/>
      <c r="J1994" s="14"/>
      <c r="K1994" s="14"/>
      <c r="L1994" s="14"/>
      <c r="M1994" s="14"/>
    </row>
    <row r="1995" spans="1:13" x14ac:dyDescent="0.25">
      <c r="A1995" s="14"/>
      <c r="B1995" s="14"/>
      <c r="C1995" s="14"/>
      <c r="D1995" s="92"/>
      <c r="E1995" s="14"/>
      <c r="F1995" s="14"/>
      <c r="G1995" s="14"/>
      <c r="H1995" s="14"/>
      <c r="I1995" s="67"/>
      <c r="J1995" s="14"/>
      <c r="K1995" s="14"/>
      <c r="L1995" s="14"/>
      <c r="M1995" s="14"/>
    </row>
    <row r="1996" spans="1:13" x14ac:dyDescent="0.25">
      <c r="A1996" s="14"/>
      <c r="B1996" s="14"/>
      <c r="C1996" s="14"/>
      <c r="D1996" s="92"/>
      <c r="E1996" s="14"/>
      <c r="F1996" s="14"/>
      <c r="G1996" s="14"/>
      <c r="H1996" s="14"/>
      <c r="I1996" s="67"/>
      <c r="J1996" s="14"/>
      <c r="K1996" s="14"/>
      <c r="L1996" s="14"/>
      <c r="M1996" s="14"/>
    </row>
    <row r="1997" spans="1:13" x14ac:dyDescent="0.25">
      <c r="A1997" s="14"/>
      <c r="B1997" s="14"/>
      <c r="C1997" s="14"/>
      <c r="D1997" s="92"/>
      <c r="E1997" s="14"/>
      <c r="F1997" s="14"/>
      <c r="G1997" s="14"/>
      <c r="H1997" s="14"/>
      <c r="I1997" s="67"/>
      <c r="J1997" s="14"/>
      <c r="K1997" s="14"/>
      <c r="L1997" s="14"/>
      <c r="M1997" s="14"/>
    </row>
    <row r="1998" spans="1:13" x14ac:dyDescent="0.25">
      <c r="A1998" s="14"/>
      <c r="B1998" s="14"/>
      <c r="C1998" s="14"/>
      <c r="D1998" s="92"/>
      <c r="E1998" s="14"/>
      <c r="F1998" s="14"/>
      <c r="G1998" s="14"/>
      <c r="H1998" s="14"/>
      <c r="I1998" s="67"/>
      <c r="J1998" s="14"/>
      <c r="K1998" s="14"/>
      <c r="L1998" s="14"/>
      <c r="M1998" s="14"/>
    </row>
    <row r="1999" spans="1:13" x14ac:dyDescent="0.25">
      <c r="A1999" s="14"/>
      <c r="B1999" s="14"/>
      <c r="C1999" s="14"/>
      <c r="D1999" s="92"/>
      <c r="E1999" s="14"/>
      <c r="F1999" s="14"/>
      <c r="G1999" s="14"/>
      <c r="H1999" s="14"/>
      <c r="I1999" s="67"/>
      <c r="J1999" s="14"/>
      <c r="K1999" s="14"/>
      <c r="L1999" s="14"/>
      <c r="M1999" s="14"/>
    </row>
    <row r="2000" spans="1:13" x14ac:dyDescent="0.25">
      <c r="A2000" s="14"/>
      <c r="B2000" s="14"/>
      <c r="C2000" s="14"/>
      <c r="D2000" s="92"/>
      <c r="E2000" s="14"/>
      <c r="F2000" s="14"/>
      <c r="G2000" s="14"/>
      <c r="H2000" s="14"/>
      <c r="I2000" s="67"/>
      <c r="J2000" s="14"/>
      <c r="K2000" s="14"/>
      <c r="L2000" s="14"/>
      <c r="M2000" s="14"/>
    </row>
    <row r="2001" spans="1:13" x14ac:dyDescent="0.25">
      <c r="A2001" s="14"/>
      <c r="B2001" s="14"/>
      <c r="C2001" s="14"/>
      <c r="D2001" s="92"/>
      <c r="E2001" s="14"/>
      <c r="F2001" s="14"/>
      <c r="G2001" s="14"/>
      <c r="H2001" s="14"/>
      <c r="I2001" s="67"/>
      <c r="J2001" s="14"/>
      <c r="K2001" s="14"/>
      <c r="L2001" s="14"/>
      <c r="M2001" s="14"/>
    </row>
    <row r="2002" spans="1:13" x14ac:dyDescent="0.25">
      <c r="A2002" s="14"/>
      <c r="B2002" s="14"/>
      <c r="C2002" s="14"/>
      <c r="D2002" s="92"/>
      <c r="E2002" s="14"/>
      <c r="F2002" s="14"/>
      <c r="G2002" s="14"/>
      <c r="H2002" s="14"/>
      <c r="I2002" s="67"/>
      <c r="J2002" s="14"/>
      <c r="K2002" s="14"/>
      <c r="L2002" s="14"/>
      <c r="M2002" s="14"/>
    </row>
    <row r="2003" spans="1:13" x14ac:dyDescent="0.25">
      <c r="A2003" s="14"/>
      <c r="B2003" s="14"/>
      <c r="C2003" s="14"/>
      <c r="D2003" s="92"/>
      <c r="E2003" s="14"/>
      <c r="F2003" s="14"/>
      <c r="G2003" s="14"/>
      <c r="H2003" s="14"/>
      <c r="I2003" s="67"/>
      <c r="J2003" s="14"/>
      <c r="K2003" s="14"/>
      <c r="L2003" s="14"/>
      <c r="M2003" s="14"/>
    </row>
    <row r="2004" spans="1:13" x14ac:dyDescent="0.25">
      <c r="A2004" s="14"/>
      <c r="B2004" s="14"/>
      <c r="C2004" s="14"/>
      <c r="D2004" s="92"/>
      <c r="E2004" s="14"/>
      <c r="F2004" s="14"/>
      <c r="G2004" s="14"/>
      <c r="H2004" s="14"/>
      <c r="I2004" s="67"/>
      <c r="J2004" s="14"/>
      <c r="K2004" s="14"/>
      <c r="L2004" s="14"/>
      <c r="M2004" s="14"/>
    </row>
    <row r="2005" spans="1:13" x14ac:dyDescent="0.25">
      <c r="A2005" s="14"/>
      <c r="B2005" s="14"/>
      <c r="C2005" s="14"/>
      <c r="D2005" s="92"/>
      <c r="E2005" s="14"/>
      <c r="F2005" s="14"/>
      <c r="G2005" s="14"/>
      <c r="H2005" s="14"/>
      <c r="I2005" s="67"/>
      <c r="J2005" s="14"/>
      <c r="K2005" s="14"/>
      <c r="L2005" s="14"/>
      <c r="M2005" s="14"/>
    </row>
    <row r="2006" spans="1:13" x14ac:dyDescent="0.25">
      <c r="A2006" s="14"/>
      <c r="B2006" s="14"/>
      <c r="C2006" s="14"/>
      <c r="D2006" s="92"/>
      <c r="E2006" s="14"/>
      <c r="F2006" s="14"/>
      <c r="G2006" s="14"/>
      <c r="H2006" s="14"/>
      <c r="I2006" s="67"/>
      <c r="J2006" s="14"/>
      <c r="K2006" s="14"/>
      <c r="L2006" s="14"/>
      <c r="M2006" s="14"/>
    </row>
    <row r="2007" spans="1:13" x14ac:dyDescent="0.25">
      <c r="A2007" s="14"/>
      <c r="B2007" s="14"/>
      <c r="C2007" s="14"/>
      <c r="D2007" s="92"/>
      <c r="E2007" s="14"/>
      <c r="F2007" s="14"/>
      <c r="G2007" s="14"/>
      <c r="H2007" s="14"/>
      <c r="I2007" s="67"/>
      <c r="J2007" s="14"/>
      <c r="K2007" s="14"/>
      <c r="L2007" s="14"/>
      <c r="M2007" s="14"/>
    </row>
    <row r="2008" spans="1:13" x14ac:dyDescent="0.25">
      <c r="A2008" s="14"/>
      <c r="B2008" s="14"/>
      <c r="C2008" s="14"/>
      <c r="D2008" s="92"/>
      <c r="E2008" s="14"/>
      <c r="F2008" s="14"/>
      <c r="G2008" s="14"/>
      <c r="H2008" s="14"/>
      <c r="I2008" s="67"/>
      <c r="J2008" s="14"/>
      <c r="K2008" s="14"/>
      <c r="L2008" s="14"/>
      <c r="M2008" s="14"/>
    </row>
    <row r="2009" spans="1:13" x14ac:dyDescent="0.25">
      <c r="A2009" s="14"/>
      <c r="B2009" s="14"/>
      <c r="C2009" s="14"/>
      <c r="D2009" s="92"/>
      <c r="E2009" s="14"/>
      <c r="F2009" s="14"/>
      <c r="G2009" s="14"/>
      <c r="H2009" s="14"/>
      <c r="I2009" s="67"/>
      <c r="J2009" s="14"/>
      <c r="K2009" s="14"/>
      <c r="L2009" s="14"/>
      <c r="M2009" s="14"/>
    </row>
    <row r="2010" spans="1:13" x14ac:dyDescent="0.25">
      <c r="A2010" s="14"/>
      <c r="B2010" s="14"/>
      <c r="C2010" s="14"/>
      <c r="D2010" s="92"/>
      <c r="E2010" s="14"/>
      <c r="F2010" s="14"/>
      <c r="G2010" s="14"/>
      <c r="H2010" s="14"/>
      <c r="I2010" s="67"/>
      <c r="J2010" s="14"/>
      <c r="K2010" s="14"/>
      <c r="L2010" s="14"/>
      <c r="M2010" s="14"/>
    </row>
    <row r="2011" spans="1:13" x14ac:dyDescent="0.25">
      <c r="A2011" s="14"/>
      <c r="B2011" s="14"/>
      <c r="C2011" s="14"/>
      <c r="D2011" s="92"/>
      <c r="E2011" s="14"/>
      <c r="F2011" s="14"/>
      <c r="G2011" s="14"/>
      <c r="H2011" s="14"/>
      <c r="I2011" s="67"/>
      <c r="J2011" s="14"/>
      <c r="K2011" s="14"/>
      <c r="L2011" s="14"/>
      <c r="M2011" s="14"/>
    </row>
    <row r="2012" spans="1:13" x14ac:dyDescent="0.25">
      <c r="A2012" s="14"/>
      <c r="B2012" s="14"/>
      <c r="C2012" s="14"/>
      <c r="D2012" s="92"/>
      <c r="E2012" s="14"/>
      <c r="F2012" s="14"/>
      <c r="G2012" s="14"/>
      <c r="H2012" s="14"/>
      <c r="I2012" s="67"/>
      <c r="J2012" s="14"/>
      <c r="K2012" s="14"/>
      <c r="L2012" s="14"/>
      <c r="M2012" s="14"/>
    </row>
    <row r="2013" spans="1:13" x14ac:dyDescent="0.25">
      <c r="A2013" s="14"/>
      <c r="B2013" s="14"/>
      <c r="C2013" s="14"/>
      <c r="D2013" s="92"/>
      <c r="E2013" s="14"/>
      <c r="F2013" s="14"/>
      <c r="G2013" s="14"/>
      <c r="H2013" s="14"/>
      <c r="I2013" s="67"/>
      <c r="J2013" s="14"/>
      <c r="K2013" s="14"/>
      <c r="L2013" s="14"/>
      <c r="M2013" s="14"/>
    </row>
    <row r="2014" spans="1:13" x14ac:dyDescent="0.25">
      <c r="A2014" s="14"/>
      <c r="B2014" s="14"/>
      <c r="C2014" s="14"/>
      <c r="D2014" s="92"/>
      <c r="E2014" s="14"/>
      <c r="F2014" s="14"/>
      <c r="G2014" s="14"/>
      <c r="H2014" s="14"/>
      <c r="I2014" s="67"/>
      <c r="J2014" s="14"/>
      <c r="K2014" s="14"/>
      <c r="L2014" s="14"/>
      <c r="M2014" s="14"/>
    </row>
    <row r="2015" spans="1:13" x14ac:dyDescent="0.25">
      <c r="A2015" s="14"/>
      <c r="B2015" s="14"/>
      <c r="C2015" s="14"/>
      <c r="D2015" s="92"/>
      <c r="E2015" s="14"/>
      <c r="F2015" s="14"/>
      <c r="G2015" s="14"/>
      <c r="H2015" s="14"/>
      <c r="I2015" s="67"/>
      <c r="J2015" s="14"/>
      <c r="K2015" s="14"/>
      <c r="L2015" s="14"/>
      <c r="M2015" s="14"/>
    </row>
    <row r="2016" spans="1:13" x14ac:dyDescent="0.25">
      <c r="A2016" s="14"/>
      <c r="B2016" s="14"/>
      <c r="C2016" s="14"/>
      <c r="D2016" s="92"/>
      <c r="E2016" s="14"/>
      <c r="F2016" s="14"/>
      <c r="G2016" s="14"/>
      <c r="H2016" s="14"/>
      <c r="I2016" s="67"/>
      <c r="J2016" s="14"/>
      <c r="K2016" s="14"/>
      <c r="L2016" s="14"/>
      <c r="M2016" s="14"/>
    </row>
    <row r="2017" spans="1:13" x14ac:dyDescent="0.25">
      <c r="A2017" s="14"/>
      <c r="B2017" s="14"/>
      <c r="C2017" s="14"/>
      <c r="D2017" s="92"/>
      <c r="E2017" s="14"/>
      <c r="F2017" s="14"/>
      <c r="G2017" s="14"/>
      <c r="H2017" s="14"/>
      <c r="I2017" s="67"/>
      <c r="J2017" s="14"/>
      <c r="K2017" s="14"/>
      <c r="L2017" s="14"/>
      <c r="M2017" s="14"/>
    </row>
    <row r="2018" spans="1:13" x14ac:dyDescent="0.25">
      <c r="A2018" s="14"/>
      <c r="B2018" s="14"/>
      <c r="C2018" s="14"/>
      <c r="D2018" s="92"/>
      <c r="E2018" s="14"/>
      <c r="F2018" s="14"/>
      <c r="G2018" s="14"/>
      <c r="H2018" s="14"/>
      <c r="I2018" s="67"/>
      <c r="J2018" s="14"/>
      <c r="K2018" s="14"/>
      <c r="L2018" s="14"/>
      <c r="M2018" s="14"/>
    </row>
    <row r="2019" spans="1:13" x14ac:dyDescent="0.25">
      <c r="A2019" s="14"/>
      <c r="B2019" s="14"/>
      <c r="C2019" s="14"/>
      <c r="D2019" s="92"/>
      <c r="E2019" s="14"/>
      <c r="F2019" s="14"/>
      <c r="G2019" s="14"/>
      <c r="H2019" s="14"/>
      <c r="I2019" s="67"/>
      <c r="J2019" s="14"/>
      <c r="K2019" s="14"/>
      <c r="L2019" s="14"/>
      <c r="M2019" s="14"/>
    </row>
    <row r="2020" spans="1:13" x14ac:dyDescent="0.25">
      <c r="A2020" s="14"/>
      <c r="B2020" s="14"/>
      <c r="C2020" s="14"/>
      <c r="D2020" s="92"/>
      <c r="E2020" s="14"/>
      <c r="F2020" s="14"/>
      <c r="G2020" s="14"/>
      <c r="H2020" s="14"/>
      <c r="I2020" s="67"/>
      <c r="J2020" s="14"/>
      <c r="K2020" s="14"/>
      <c r="L2020" s="14"/>
      <c r="M2020" s="14"/>
    </row>
    <row r="2021" spans="1:13" x14ac:dyDescent="0.25">
      <c r="A2021" s="14"/>
      <c r="B2021" s="14"/>
      <c r="C2021" s="14"/>
      <c r="D2021" s="92"/>
      <c r="E2021" s="14"/>
      <c r="F2021" s="14"/>
      <c r="G2021" s="14"/>
      <c r="H2021" s="14"/>
      <c r="I2021" s="67"/>
      <c r="J2021" s="14"/>
      <c r="K2021" s="14"/>
      <c r="L2021" s="14"/>
      <c r="M2021" s="14"/>
    </row>
    <row r="2022" spans="1:13" x14ac:dyDescent="0.25">
      <c r="A2022" s="14"/>
      <c r="B2022" s="14"/>
      <c r="C2022" s="14"/>
      <c r="D2022" s="92"/>
      <c r="E2022" s="14"/>
      <c r="F2022" s="14"/>
      <c r="G2022" s="14"/>
      <c r="H2022" s="14"/>
      <c r="I2022" s="67"/>
      <c r="J2022" s="14"/>
      <c r="K2022" s="14"/>
      <c r="L2022" s="14"/>
      <c r="M2022" s="14"/>
    </row>
    <row r="2023" spans="1:13" x14ac:dyDescent="0.25">
      <c r="A2023" s="14"/>
      <c r="B2023" s="14"/>
      <c r="C2023" s="14"/>
      <c r="D2023" s="92"/>
      <c r="E2023" s="14"/>
      <c r="F2023" s="14"/>
      <c r="G2023" s="14"/>
      <c r="H2023" s="14"/>
      <c r="I2023" s="67"/>
      <c r="J2023" s="14"/>
      <c r="K2023" s="14"/>
      <c r="L2023" s="14"/>
      <c r="M2023" s="14"/>
    </row>
    <row r="2024" spans="1:13" x14ac:dyDescent="0.25">
      <c r="A2024" s="14"/>
      <c r="B2024" s="14"/>
      <c r="C2024" s="14"/>
      <c r="D2024" s="92"/>
      <c r="E2024" s="14"/>
      <c r="F2024" s="14"/>
      <c r="G2024" s="14"/>
      <c r="H2024" s="14"/>
      <c r="I2024" s="67"/>
      <c r="J2024" s="14"/>
      <c r="K2024" s="14"/>
      <c r="L2024" s="14"/>
      <c r="M2024" s="14"/>
    </row>
    <row r="2025" spans="1:13" x14ac:dyDescent="0.25">
      <c r="A2025" s="14"/>
      <c r="B2025" s="14"/>
      <c r="C2025" s="14"/>
      <c r="D2025" s="92"/>
      <c r="E2025" s="14"/>
      <c r="F2025" s="14"/>
      <c r="G2025" s="14"/>
      <c r="H2025" s="14"/>
      <c r="I2025" s="67"/>
      <c r="J2025" s="14"/>
      <c r="K2025" s="14"/>
      <c r="L2025" s="14"/>
      <c r="M2025" s="14"/>
    </row>
    <row r="2026" spans="1:13" x14ac:dyDescent="0.25">
      <c r="A2026" s="14"/>
      <c r="B2026" s="14"/>
      <c r="C2026" s="14"/>
      <c r="D2026" s="92"/>
      <c r="E2026" s="14"/>
      <c r="F2026" s="14"/>
      <c r="G2026" s="14"/>
      <c r="H2026" s="14"/>
      <c r="I2026" s="67"/>
      <c r="J2026" s="14"/>
      <c r="K2026" s="14"/>
      <c r="L2026" s="14"/>
      <c r="M2026" s="14"/>
    </row>
    <row r="2027" spans="1:13" x14ac:dyDescent="0.25">
      <c r="A2027" s="14"/>
      <c r="B2027" s="14"/>
      <c r="C2027" s="14"/>
      <c r="D2027" s="92"/>
      <c r="E2027" s="14"/>
      <c r="F2027" s="14"/>
      <c r="G2027" s="14"/>
      <c r="H2027" s="14"/>
      <c r="I2027" s="67"/>
      <c r="J2027" s="14"/>
      <c r="K2027" s="14"/>
      <c r="L2027" s="14"/>
      <c r="M2027" s="14"/>
    </row>
    <row r="2028" spans="1:13" x14ac:dyDescent="0.25">
      <c r="A2028" s="14"/>
      <c r="B2028" s="14"/>
      <c r="C2028" s="14"/>
      <c r="D2028" s="92"/>
      <c r="E2028" s="14"/>
      <c r="F2028" s="14"/>
      <c r="G2028" s="14"/>
      <c r="H2028" s="14"/>
      <c r="I2028" s="67"/>
      <c r="J2028" s="14"/>
      <c r="K2028" s="14"/>
      <c r="L2028" s="14"/>
      <c r="M2028" s="14"/>
    </row>
    <row r="2029" spans="1:13" x14ac:dyDescent="0.25">
      <c r="A2029" s="14"/>
      <c r="B2029" s="14"/>
      <c r="C2029" s="14"/>
      <c r="D2029" s="92"/>
      <c r="E2029" s="14"/>
      <c r="F2029" s="14"/>
      <c r="G2029" s="14"/>
      <c r="H2029" s="14"/>
      <c r="I2029" s="67"/>
      <c r="J2029" s="14"/>
      <c r="K2029" s="14"/>
      <c r="L2029" s="14"/>
      <c r="M2029" s="14"/>
    </row>
    <row r="2030" spans="1:13" x14ac:dyDescent="0.25">
      <c r="A2030" s="14"/>
      <c r="B2030" s="14"/>
      <c r="C2030" s="14"/>
      <c r="D2030" s="92"/>
      <c r="E2030" s="14"/>
      <c r="F2030" s="14"/>
      <c r="G2030" s="14"/>
      <c r="H2030" s="14"/>
      <c r="I2030" s="67"/>
      <c r="J2030" s="14"/>
      <c r="K2030" s="14"/>
      <c r="L2030" s="14"/>
      <c r="M2030" s="14"/>
    </row>
    <row r="2031" spans="1:13" x14ac:dyDescent="0.25">
      <c r="A2031" s="14"/>
      <c r="B2031" s="14"/>
      <c r="C2031" s="14"/>
      <c r="D2031" s="92"/>
      <c r="E2031" s="14"/>
      <c r="F2031" s="14"/>
      <c r="G2031" s="14"/>
      <c r="H2031" s="14"/>
      <c r="I2031" s="67"/>
      <c r="J2031" s="14"/>
      <c r="K2031" s="14"/>
      <c r="L2031" s="14"/>
      <c r="M2031" s="14"/>
    </row>
    <row r="2032" spans="1:13" x14ac:dyDescent="0.25">
      <c r="A2032" s="14"/>
      <c r="B2032" s="14"/>
      <c r="C2032" s="14"/>
      <c r="D2032" s="92"/>
      <c r="E2032" s="14"/>
      <c r="F2032" s="14"/>
      <c r="G2032" s="14"/>
      <c r="H2032" s="14"/>
      <c r="I2032" s="67"/>
      <c r="J2032" s="14"/>
      <c r="K2032" s="14"/>
      <c r="L2032" s="14"/>
      <c r="M2032" s="14"/>
    </row>
    <row r="2033" spans="1:13" x14ac:dyDescent="0.25">
      <c r="A2033" s="14"/>
      <c r="B2033" s="14"/>
      <c r="C2033" s="14"/>
      <c r="D2033" s="92"/>
      <c r="E2033" s="14"/>
      <c r="F2033" s="14"/>
      <c r="G2033" s="14"/>
      <c r="H2033" s="14"/>
      <c r="I2033" s="67"/>
      <c r="J2033" s="14"/>
      <c r="K2033" s="14"/>
      <c r="L2033" s="14"/>
      <c r="M2033" s="14"/>
    </row>
    <row r="2034" spans="1:13" x14ac:dyDescent="0.25">
      <c r="A2034" s="14"/>
      <c r="B2034" s="14"/>
      <c r="C2034" s="14"/>
      <c r="D2034" s="92"/>
      <c r="E2034" s="14"/>
      <c r="F2034" s="14"/>
      <c r="G2034" s="14"/>
      <c r="H2034" s="14"/>
      <c r="I2034" s="67"/>
      <c r="J2034" s="14"/>
      <c r="K2034" s="14"/>
      <c r="L2034" s="14"/>
      <c r="M2034" s="14"/>
    </row>
    <row r="2035" spans="1:13" x14ac:dyDescent="0.25">
      <c r="A2035" s="14"/>
      <c r="B2035" s="14"/>
      <c r="C2035" s="14"/>
      <c r="D2035" s="92"/>
      <c r="E2035" s="14"/>
      <c r="F2035" s="14"/>
      <c r="G2035" s="14"/>
      <c r="H2035" s="14"/>
      <c r="I2035" s="67"/>
      <c r="J2035" s="14"/>
      <c r="K2035" s="14"/>
      <c r="L2035" s="14"/>
      <c r="M2035" s="14"/>
    </row>
    <row r="2036" spans="1:13" x14ac:dyDescent="0.25">
      <c r="A2036" s="14"/>
      <c r="B2036" s="14"/>
      <c r="C2036" s="14"/>
      <c r="D2036" s="92"/>
      <c r="E2036" s="14"/>
      <c r="F2036" s="14"/>
      <c r="G2036" s="14"/>
      <c r="H2036" s="14"/>
      <c r="I2036" s="67"/>
      <c r="J2036" s="14"/>
      <c r="K2036" s="14"/>
      <c r="L2036" s="14"/>
      <c r="M2036" s="14"/>
    </row>
    <row r="2037" spans="1:13" x14ac:dyDescent="0.25">
      <c r="A2037" s="14"/>
      <c r="B2037" s="14"/>
      <c r="C2037" s="14"/>
      <c r="D2037" s="92"/>
      <c r="E2037" s="14"/>
      <c r="F2037" s="14"/>
      <c r="G2037" s="14"/>
      <c r="H2037" s="14"/>
      <c r="I2037" s="67"/>
      <c r="J2037" s="14"/>
      <c r="K2037" s="14"/>
      <c r="L2037" s="14"/>
      <c r="M2037" s="14"/>
    </row>
    <row r="2038" spans="1:13" x14ac:dyDescent="0.25">
      <c r="A2038" s="14"/>
      <c r="B2038" s="14"/>
      <c r="C2038" s="14"/>
      <c r="D2038" s="92"/>
      <c r="E2038" s="14"/>
      <c r="F2038" s="14"/>
      <c r="G2038" s="14"/>
      <c r="H2038" s="14"/>
      <c r="I2038" s="67"/>
      <c r="J2038" s="14"/>
      <c r="K2038" s="14"/>
      <c r="L2038" s="14"/>
      <c r="M2038" s="14"/>
    </row>
    <row r="2039" spans="1:13" x14ac:dyDescent="0.25">
      <c r="A2039" s="14"/>
      <c r="B2039" s="14"/>
      <c r="C2039" s="14"/>
      <c r="D2039" s="92"/>
      <c r="E2039" s="14"/>
      <c r="F2039" s="14"/>
      <c r="G2039" s="14"/>
      <c r="H2039" s="14"/>
      <c r="I2039" s="67"/>
      <c r="J2039" s="14"/>
      <c r="K2039" s="14"/>
      <c r="L2039" s="14"/>
      <c r="M2039" s="14"/>
    </row>
    <row r="2040" spans="1:13" x14ac:dyDescent="0.25">
      <c r="A2040" s="14"/>
      <c r="B2040" s="14"/>
      <c r="C2040" s="14"/>
      <c r="D2040" s="92"/>
      <c r="E2040" s="14"/>
      <c r="F2040" s="14"/>
      <c r="G2040" s="14"/>
      <c r="H2040" s="14"/>
      <c r="I2040" s="67"/>
      <c r="J2040" s="14"/>
      <c r="K2040" s="14"/>
      <c r="L2040" s="14"/>
      <c r="M2040" s="14"/>
    </row>
    <row r="2041" spans="1:13" x14ac:dyDescent="0.25">
      <c r="A2041" s="14"/>
      <c r="B2041" s="14"/>
      <c r="C2041" s="14"/>
      <c r="D2041" s="92"/>
      <c r="E2041" s="14"/>
      <c r="F2041" s="14"/>
      <c r="G2041" s="14"/>
      <c r="H2041" s="14"/>
      <c r="I2041" s="67"/>
      <c r="J2041" s="14"/>
      <c r="K2041" s="14"/>
      <c r="L2041" s="14"/>
      <c r="M2041" s="14"/>
    </row>
    <row r="2042" spans="1:13" x14ac:dyDescent="0.25">
      <c r="A2042" s="14"/>
      <c r="B2042" s="14"/>
      <c r="C2042" s="14"/>
      <c r="D2042" s="92"/>
      <c r="E2042" s="14"/>
      <c r="F2042" s="14"/>
      <c r="G2042" s="14"/>
      <c r="H2042" s="14"/>
      <c r="I2042" s="67"/>
      <c r="J2042" s="14"/>
      <c r="K2042" s="14"/>
      <c r="L2042" s="14"/>
      <c r="M2042" s="14"/>
    </row>
    <row r="2043" spans="1:13" x14ac:dyDescent="0.25">
      <c r="A2043" s="14"/>
      <c r="B2043" s="14"/>
      <c r="C2043" s="14"/>
      <c r="D2043" s="92"/>
      <c r="E2043" s="14"/>
      <c r="F2043" s="14"/>
      <c r="G2043" s="14"/>
      <c r="H2043" s="14"/>
      <c r="I2043" s="67"/>
      <c r="J2043" s="14"/>
      <c r="K2043" s="14"/>
      <c r="L2043" s="14"/>
      <c r="M2043" s="14"/>
    </row>
    <row r="2044" spans="1:13" x14ac:dyDescent="0.25">
      <c r="A2044" s="14"/>
      <c r="B2044" s="14"/>
      <c r="C2044" s="14"/>
      <c r="D2044" s="92"/>
      <c r="E2044" s="14"/>
      <c r="F2044" s="14"/>
      <c r="G2044" s="14"/>
      <c r="H2044" s="14"/>
      <c r="I2044" s="67"/>
      <c r="J2044" s="14"/>
      <c r="K2044" s="14"/>
      <c r="L2044" s="14"/>
      <c r="M2044" s="14"/>
    </row>
    <row r="2045" spans="1:13" x14ac:dyDescent="0.25">
      <c r="A2045" s="14"/>
      <c r="B2045" s="14"/>
      <c r="C2045" s="14"/>
      <c r="D2045" s="92"/>
      <c r="E2045" s="14"/>
      <c r="F2045" s="14"/>
      <c r="G2045" s="14"/>
      <c r="H2045" s="14"/>
      <c r="I2045" s="67"/>
      <c r="J2045" s="14"/>
      <c r="K2045" s="14"/>
      <c r="L2045" s="14"/>
      <c r="M2045" s="14"/>
    </row>
    <row r="2046" spans="1:13" x14ac:dyDescent="0.25">
      <c r="A2046" s="14"/>
      <c r="B2046" s="14"/>
      <c r="C2046" s="14"/>
      <c r="D2046" s="92"/>
      <c r="E2046" s="14"/>
      <c r="F2046" s="14"/>
      <c r="G2046" s="14"/>
      <c r="H2046" s="14"/>
      <c r="I2046" s="67"/>
      <c r="J2046" s="14"/>
      <c r="K2046" s="14"/>
      <c r="L2046" s="14"/>
      <c r="M2046" s="14"/>
    </row>
    <row r="2047" spans="1:13" x14ac:dyDescent="0.25">
      <c r="A2047" s="14"/>
      <c r="B2047" s="14"/>
      <c r="C2047" s="14"/>
      <c r="D2047" s="92"/>
      <c r="E2047" s="14"/>
      <c r="F2047" s="14"/>
      <c r="G2047" s="14"/>
      <c r="H2047" s="14"/>
      <c r="I2047" s="67"/>
      <c r="J2047" s="14"/>
      <c r="K2047" s="14"/>
      <c r="L2047" s="14"/>
      <c r="M2047" s="14"/>
    </row>
    <row r="2048" spans="1:13" x14ac:dyDescent="0.25">
      <c r="A2048" s="14"/>
      <c r="B2048" s="14"/>
      <c r="C2048" s="14"/>
      <c r="D2048" s="92"/>
      <c r="E2048" s="14"/>
      <c r="F2048" s="14"/>
      <c r="G2048" s="14"/>
      <c r="H2048" s="14"/>
      <c r="I2048" s="67"/>
      <c r="J2048" s="14"/>
      <c r="K2048" s="14"/>
      <c r="L2048" s="14"/>
      <c r="M2048" s="14"/>
    </row>
    <row r="2049" spans="1:13" x14ac:dyDescent="0.25">
      <c r="A2049" s="14"/>
      <c r="B2049" s="14"/>
      <c r="C2049" s="14"/>
      <c r="D2049" s="92"/>
      <c r="E2049" s="14"/>
      <c r="F2049" s="14"/>
      <c r="G2049" s="14"/>
      <c r="H2049" s="14"/>
      <c r="I2049" s="67"/>
      <c r="J2049" s="14"/>
      <c r="K2049" s="14"/>
      <c r="L2049" s="14"/>
      <c r="M2049" s="14"/>
    </row>
    <row r="2050" spans="1:13" x14ac:dyDescent="0.25">
      <c r="A2050" s="14"/>
      <c r="B2050" s="14"/>
      <c r="C2050" s="14"/>
      <c r="D2050" s="92"/>
      <c r="E2050" s="14"/>
      <c r="F2050" s="14"/>
      <c r="G2050" s="14"/>
      <c r="H2050" s="14"/>
      <c r="I2050" s="67"/>
      <c r="J2050" s="14"/>
      <c r="K2050" s="14"/>
      <c r="L2050" s="14"/>
      <c r="M2050" s="14"/>
    </row>
    <row r="2051" spans="1:13" x14ac:dyDescent="0.25">
      <c r="A2051" s="14"/>
      <c r="B2051" s="14"/>
      <c r="C2051" s="14"/>
      <c r="D2051" s="92"/>
      <c r="E2051" s="14"/>
      <c r="F2051" s="14"/>
      <c r="G2051" s="14"/>
      <c r="H2051" s="14"/>
      <c r="I2051" s="67"/>
      <c r="J2051" s="14"/>
      <c r="K2051" s="14"/>
      <c r="L2051" s="14"/>
      <c r="M2051" s="14"/>
    </row>
    <row r="2052" spans="1:13" x14ac:dyDescent="0.25">
      <c r="A2052" s="14"/>
      <c r="B2052" s="14"/>
      <c r="C2052" s="14"/>
      <c r="D2052" s="92"/>
      <c r="E2052" s="14"/>
      <c r="F2052" s="14"/>
      <c r="G2052" s="14"/>
      <c r="H2052" s="14"/>
      <c r="I2052" s="67"/>
      <c r="J2052" s="14"/>
      <c r="K2052" s="14"/>
      <c r="L2052" s="14"/>
      <c r="M2052" s="14"/>
    </row>
    <row r="2053" spans="1:13" x14ac:dyDescent="0.25">
      <c r="A2053" s="14"/>
      <c r="B2053" s="14"/>
      <c r="C2053" s="14"/>
      <c r="D2053" s="92"/>
      <c r="E2053" s="14"/>
      <c r="F2053" s="14"/>
      <c r="G2053" s="14"/>
      <c r="H2053" s="14"/>
      <c r="I2053" s="67"/>
      <c r="J2053" s="14"/>
      <c r="K2053" s="14"/>
      <c r="L2053" s="14"/>
      <c r="M2053" s="14"/>
    </row>
    <row r="2054" spans="1:13" x14ac:dyDescent="0.25">
      <c r="A2054" s="14"/>
      <c r="B2054" s="14"/>
      <c r="C2054" s="14"/>
      <c r="D2054" s="92"/>
      <c r="E2054" s="14"/>
      <c r="F2054" s="14"/>
      <c r="G2054" s="14"/>
      <c r="H2054" s="14"/>
      <c r="I2054" s="67"/>
      <c r="J2054" s="14"/>
      <c r="K2054" s="14"/>
      <c r="L2054" s="14"/>
      <c r="M2054" s="14"/>
    </row>
    <row r="2055" spans="1:13" x14ac:dyDescent="0.25">
      <c r="A2055" s="14"/>
      <c r="B2055" s="14"/>
      <c r="C2055" s="14"/>
      <c r="D2055" s="92"/>
      <c r="E2055" s="14"/>
      <c r="F2055" s="14"/>
      <c r="G2055" s="14"/>
      <c r="H2055" s="14"/>
      <c r="I2055" s="67"/>
      <c r="J2055" s="14"/>
      <c r="K2055" s="14"/>
      <c r="L2055" s="14"/>
      <c r="M2055" s="14"/>
    </row>
    <row r="2056" spans="1:13" x14ac:dyDescent="0.25">
      <c r="A2056" s="14"/>
      <c r="B2056" s="14"/>
      <c r="C2056" s="14"/>
      <c r="D2056" s="92"/>
      <c r="E2056" s="14"/>
      <c r="F2056" s="14"/>
      <c r="G2056" s="14"/>
      <c r="H2056" s="14"/>
      <c r="I2056" s="67"/>
      <c r="J2056" s="14"/>
      <c r="K2056" s="14"/>
      <c r="L2056" s="14"/>
      <c r="M2056" s="14"/>
    </row>
    <row r="2057" spans="1:13" x14ac:dyDescent="0.25">
      <c r="A2057" s="14"/>
      <c r="B2057" s="14"/>
      <c r="C2057" s="14"/>
      <c r="D2057" s="92"/>
      <c r="E2057" s="14"/>
      <c r="F2057" s="14"/>
      <c r="G2057" s="14"/>
      <c r="H2057" s="14"/>
      <c r="I2057" s="67"/>
      <c r="J2057" s="14"/>
      <c r="K2057" s="14"/>
      <c r="L2057" s="14"/>
      <c r="M2057" s="14"/>
    </row>
    <row r="2058" spans="1:13" x14ac:dyDescent="0.25">
      <c r="A2058" s="14"/>
      <c r="B2058" s="14"/>
      <c r="C2058" s="14"/>
      <c r="D2058" s="92"/>
      <c r="E2058" s="14"/>
      <c r="F2058" s="14"/>
      <c r="G2058" s="14"/>
      <c r="H2058" s="14"/>
      <c r="I2058" s="67"/>
      <c r="J2058" s="14"/>
      <c r="K2058" s="14"/>
      <c r="L2058" s="14"/>
      <c r="M2058" s="14"/>
    </row>
    <row r="2059" spans="1:13" x14ac:dyDescent="0.25">
      <c r="A2059" s="14"/>
      <c r="B2059" s="14"/>
      <c r="C2059" s="14"/>
      <c r="D2059" s="92"/>
      <c r="E2059" s="14"/>
      <c r="F2059" s="14"/>
      <c r="G2059" s="14"/>
      <c r="H2059" s="14"/>
      <c r="I2059" s="67"/>
      <c r="J2059" s="14"/>
      <c r="K2059" s="14"/>
      <c r="L2059" s="14"/>
      <c r="M2059" s="14"/>
    </row>
    <row r="2060" spans="1:13" x14ac:dyDescent="0.25">
      <c r="A2060" s="14"/>
      <c r="B2060" s="14"/>
      <c r="C2060" s="14"/>
      <c r="D2060" s="92"/>
      <c r="E2060" s="14"/>
      <c r="F2060" s="14"/>
      <c r="G2060" s="14"/>
      <c r="H2060" s="14"/>
      <c r="I2060" s="67"/>
      <c r="J2060" s="14"/>
      <c r="K2060" s="14"/>
      <c r="L2060" s="14"/>
      <c r="M2060" s="14"/>
    </row>
    <row r="2061" spans="1:13" x14ac:dyDescent="0.25">
      <c r="A2061" s="14"/>
      <c r="B2061" s="14"/>
      <c r="C2061" s="14"/>
      <c r="D2061" s="92"/>
      <c r="E2061" s="14"/>
      <c r="F2061" s="14"/>
      <c r="G2061" s="14"/>
      <c r="H2061" s="14"/>
      <c r="I2061" s="67"/>
      <c r="J2061" s="14"/>
      <c r="K2061" s="14"/>
      <c r="L2061" s="14"/>
      <c r="M2061" s="14"/>
    </row>
    <row r="2062" spans="1:13" x14ac:dyDescent="0.25">
      <c r="A2062" s="14"/>
      <c r="B2062" s="14"/>
      <c r="C2062" s="14"/>
      <c r="D2062" s="92"/>
      <c r="E2062" s="14"/>
      <c r="F2062" s="14"/>
      <c r="G2062" s="14"/>
      <c r="H2062" s="14"/>
      <c r="I2062" s="67"/>
      <c r="J2062" s="14"/>
      <c r="K2062" s="14"/>
      <c r="L2062" s="14"/>
      <c r="M2062" s="14"/>
    </row>
    <row r="2063" spans="1:13" x14ac:dyDescent="0.25">
      <c r="A2063" s="14"/>
      <c r="B2063" s="14"/>
      <c r="C2063" s="14"/>
      <c r="D2063" s="92"/>
      <c r="E2063" s="14"/>
      <c r="F2063" s="14"/>
      <c r="G2063" s="14"/>
      <c r="H2063" s="14"/>
      <c r="I2063" s="67"/>
      <c r="J2063" s="14"/>
      <c r="K2063" s="14"/>
      <c r="L2063" s="14"/>
      <c r="M2063" s="14"/>
    </row>
    <row r="2064" spans="1:13" x14ac:dyDescent="0.25">
      <c r="A2064" s="14"/>
      <c r="B2064" s="14"/>
      <c r="C2064" s="14"/>
      <c r="D2064" s="92"/>
      <c r="E2064" s="14"/>
      <c r="F2064" s="14"/>
      <c r="G2064" s="14"/>
      <c r="H2064" s="14"/>
      <c r="I2064" s="67"/>
      <c r="J2064" s="14"/>
      <c r="K2064" s="14"/>
      <c r="L2064" s="14"/>
      <c r="M2064" s="14"/>
    </row>
    <row r="2065" spans="1:13" x14ac:dyDescent="0.25">
      <c r="A2065" s="14"/>
      <c r="B2065" s="14"/>
      <c r="C2065" s="14"/>
      <c r="D2065" s="92"/>
      <c r="E2065" s="14"/>
      <c r="F2065" s="14"/>
      <c r="G2065" s="14"/>
      <c r="H2065" s="14"/>
      <c r="I2065" s="67"/>
      <c r="J2065" s="14"/>
      <c r="K2065" s="14"/>
      <c r="L2065" s="14"/>
      <c r="M2065" s="14"/>
    </row>
    <row r="2066" spans="1:13" x14ac:dyDescent="0.25">
      <c r="A2066" s="14"/>
      <c r="B2066" s="14"/>
      <c r="C2066" s="14"/>
      <c r="D2066" s="92"/>
      <c r="E2066" s="14"/>
      <c r="F2066" s="14"/>
      <c r="G2066" s="14"/>
      <c r="H2066" s="14"/>
      <c r="I2066" s="67"/>
      <c r="J2066" s="14"/>
      <c r="K2066" s="14"/>
      <c r="L2066" s="14"/>
      <c r="M2066" s="14"/>
    </row>
    <row r="2067" spans="1:13" x14ac:dyDescent="0.25">
      <c r="A2067" s="14"/>
      <c r="B2067" s="14"/>
      <c r="C2067" s="14"/>
      <c r="D2067" s="92"/>
      <c r="E2067" s="14"/>
      <c r="F2067" s="14"/>
      <c r="G2067" s="14"/>
      <c r="H2067" s="14"/>
      <c r="I2067" s="67"/>
      <c r="J2067" s="14"/>
      <c r="K2067" s="14"/>
      <c r="L2067" s="14"/>
      <c r="M2067" s="14"/>
    </row>
    <row r="2068" spans="1:13" x14ac:dyDescent="0.25">
      <c r="A2068" s="14"/>
      <c r="B2068" s="14"/>
      <c r="C2068" s="14"/>
      <c r="D2068" s="92"/>
      <c r="E2068" s="14"/>
      <c r="F2068" s="14"/>
      <c r="G2068" s="14"/>
      <c r="H2068" s="14"/>
      <c r="I2068" s="67"/>
      <c r="J2068" s="14"/>
      <c r="K2068" s="14"/>
      <c r="L2068" s="14"/>
      <c r="M2068" s="14"/>
    </row>
    <row r="2069" spans="1:13" x14ac:dyDescent="0.25">
      <c r="A2069" s="14"/>
      <c r="B2069" s="14"/>
      <c r="C2069" s="14"/>
      <c r="D2069" s="92"/>
      <c r="E2069" s="14"/>
      <c r="F2069" s="14"/>
      <c r="G2069" s="14"/>
      <c r="H2069" s="14"/>
      <c r="I2069" s="67"/>
      <c r="J2069" s="14"/>
      <c r="K2069" s="14"/>
      <c r="L2069" s="14"/>
      <c r="M2069" s="14"/>
    </row>
    <row r="2070" spans="1:13" x14ac:dyDescent="0.25">
      <c r="A2070" s="14"/>
      <c r="B2070" s="14"/>
      <c r="C2070" s="14"/>
      <c r="D2070" s="92"/>
      <c r="E2070" s="14"/>
      <c r="F2070" s="14"/>
      <c r="G2070" s="14"/>
      <c r="H2070" s="14"/>
      <c r="I2070" s="67"/>
      <c r="J2070" s="14"/>
      <c r="K2070" s="14"/>
      <c r="L2070" s="14"/>
      <c r="M2070" s="14"/>
    </row>
    <row r="2071" spans="1:13" x14ac:dyDescent="0.25">
      <c r="A2071" s="14"/>
      <c r="B2071" s="14"/>
      <c r="C2071" s="14"/>
      <c r="D2071" s="92"/>
      <c r="E2071" s="14"/>
      <c r="F2071" s="14"/>
      <c r="G2071" s="14"/>
      <c r="H2071" s="14"/>
      <c r="I2071" s="67"/>
      <c r="J2071" s="14"/>
      <c r="K2071" s="14"/>
      <c r="L2071" s="14"/>
      <c r="M2071" s="14"/>
    </row>
    <row r="2072" spans="1:13" x14ac:dyDescent="0.25">
      <c r="A2072" s="14"/>
      <c r="B2072" s="14"/>
      <c r="C2072" s="14"/>
      <c r="D2072" s="92"/>
      <c r="E2072" s="14"/>
      <c r="F2072" s="14"/>
      <c r="G2072" s="14"/>
      <c r="H2072" s="14"/>
      <c r="I2072" s="67"/>
      <c r="J2072" s="14"/>
      <c r="K2072" s="14"/>
      <c r="L2072" s="14"/>
      <c r="M2072" s="14"/>
    </row>
    <row r="2073" spans="1:13" x14ac:dyDescent="0.25">
      <c r="A2073" s="14"/>
      <c r="B2073" s="14"/>
      <c r="C2073" s="14"/>
      <c r="D2073" s="92"/>
      <c r="E2073" s="14"/>
      <c r="F2073" s="14"/>
      <c r="G2073" s="14"/>
      <c r="H2073" s="14"/>
      <c r="I2073" s="67"/>
      <c r="J2073" s="14"/>
      <c r="K2073" s="14"/>
      <c r="L2073" s="14"/>
      <c r="M2073" s="14"/>
    </row>
    <row r="2074" spans="1:13" x14ac:dyDescent="0.25">
      <c r="A2074" s="14"/>
      <c r="B2074" s="14"/>
      <c r="C2074" s="14"/>
      <c r="D2074" s="92"/>
      <c r="E2074" s="14"/>
      <c r="F2074" s="14"/>
      <c r="G2074" s="14"/>
      <c r="H2074" s="14"/>
      <c r="I2074" s="67"/>
      <c r="J2074" s="14"/>
      <c r="K2074" s="14"/>
      <c r="L2074" s="14"/>
      <c r="M2074" s="14"/>
    </row>
    <row r="2075" spans="1:13" x14ac:dyDescent="0.25">
      <c r="A2075" s="14"/>
      <c r="B2075" s="14"/>
      <c r="C2075" s="14"/>
      <c r="D2075" s="92"/>
      <c r="E2075" s="14"/>
      <c r="F2075" s="14"/>
      <c r="G2075" s="14"/>
      <c r="H2075" s="14"/>
      <c r="I2075" s="67"/>
      <c r="J2075" s="14"/>
      <c r="K2075" s="14"/>
      <c r="L2075" s="14"/>
      <c r="M2075" s="14"/>
    </row>
    <row r="2076" spans="1:13" x14ac:dyDescent="0.25">
      <c r="A2076" s="14"/>
      <c r="B2076" s="14"/>
      <c r="C2076" s="14"/>
      <c r="D2076" s="92"/>
      <c r="E2076" s="14"/>
      <c r="F2076" s="14"/>
      <c r="G2076" s="14"/>
      <c r="H2076" s="14"/>
      <c r="I2076" s="67"/>
      <c r="J2076" s="14"/>
      <c r="K2076" s="14"/>
      <c r="L2076" s="14"/>
      <c r="M2076" s="14"/>
    </row>
    <row r="2077" spans="1:13" x14ac:dyDescent="0.25">
      <c r="A2077" s="14"/>
      <c r="B2077" s="14"/>
      <c r="C2077" s="14"/>
      <c r="D2077" s="92"/>
      <c r="E2077" s="14"/>
      <c r="F2077" s="14"/>
      <c r="G2077" s="14"/>
      <c r="H2077" s="14"/>
      <c r="I2077" s="67"/>
      <c r="J2077" s="14"/>
      <c r="K2077" s="14"/>
      <c r="L2077" s="14"/>
      <c r="M2077" s="14"/>
    </row>
    <row r="2078" spans="1:13" x14ac:dyDescent="0.25">
      <c r="A2078" s="14"/>
      <c r="B2078" s="14"/>
      <c r="C2078" s="14"/>
      <c r="D2078" s="92"/>
      <c r="E2078" s="14"/>
      <c r="F2078" s="14"/>
      <c r="G2078" s="14"/>
      <c r="H2078" s="14"/>
      <c r="I2078" s="67"/>
      <c r="J2078" s="14"/>
      <c r="K2078" s="14"/>
      <c r="L2078" s="14"/>
      <c r="M2078" s="14"/>
    </row>
    <row r="2079" spans="1:13" x14ac:dyDescent="0.25">
      <c r="A2079" s="14"/>
      <c r="B2079" s="14"/>
      <c r="C2079" s="14"/>
      <c r="D2079" s="92"/>
      <c r="E2079" s="14"/>
      <c r="F2079" s="14"/>
      <c r="G2079" s="14"/>
      <c r="H2079" s="14"/>
      <c r="I2079" s="67"/>
      <c r="J2079" s="14"/>
      <c r="K2079" s="14"/>
      <c r="L2079" s="14"/>
      <c r="M2079" s="14"/>
    </row>
    <row r="2080" spans="1:13" x14ac:dyDescent="0.25">
      <c r="A2080" s="14"/>
      <c r="B2080" s="14"/>
      <c r="C2080" s="14"/>
      <c r="D2080" s="92"/>
      <c r="E2080" s="14"/>
      <c r="F2080" s="14"/>
      <c r="G2080" s="14"/>
      <c r="H2080" s="14"/>
      <c r="I2080" s="67"/>
      <c r="J2080" s="14"/>
      <c r="K2080" s="14"/>
      <c r="L2080" s="14"/>
      <c r="M2080" s="14"/>
    </row>
    <row r="2081" spans="1:13" x14ac:dyDescent="0.25">
      <c r="A2081" s="14"/>
      <c r="B2081" s="14"/>
      <c r="C2081" s="14"/>
      <c r="D2081" s="92"/>
      <c r="E2081" s="14"/>
      <c r="F2081" s="14"/>
      <c r="G2081" s="14"/>
      <c r="H2081" s="14"/>
      <c r="I2081" s="67"/>
      <c r="J2081" s="14"/>
      <c r="K2081" s="14"/>
      <c r="L2081" s="14"/>
      <c r="M2081" s="14"/>
    </row>
    <row r="2082" spans="1:13" x14ac:dyDescent="0.25">
      <c r="A2082" s="14"/>
      <c r="B2082" s="14"/>
      <c r="C2082" s="14"/>
      <c r="D2082" s="92"/>
      <c r="E2082" s="14"/>
      <c r="F2082" s="14"/>
      <c r="G2082" s="14"/>
      <c r="H2082" s="14"/>
      <c r="I2082" s="67"/>
      <c r="J2082" s="14"/>
      <c r="K2082" s="14"/>
      <c r="L2082" s="14"/>
      <c r="M2082" s="14"/>
    </row>
    <row r="2083" spans="1:13" x14ac:dyDescent="0.25">
      <c r="A2083" s="14"/>
      <c r="B2083" s="14"/>
      <c r="C2083" s="14"/>
      <c r="D2083" s="92"/>
      <c r="E2083" s="14"/>
      <c r="F2083" s="14"/>
      <c r="G2083" s="14"/>
      <c r="H2083" s="14"/>
      <c r="I2083" s="67"/>
      <c r="J2083" s="14"/>
      <c r="K2083" s="14"/>
      <c r="L2083" s="14"/>
      <c r="M2083" s="14"/>
    </row>
    <row r="2084" spans="1:13" x14ac:dyDescent="0.25">
      <c r="A2084" s="14"/>
      <c r="B2084" s="14"/>
      <c r="C2084" s="14"/>
      <c r="D2084" s="92"/>
      <c r="E2084" s="14"/>
      <c r="F2084" s="14"/>
      <c r="G2084" s="14"/>
      <c r="H2084" s="14"/>
      <c r="I2084" s="67"/>
      <c r="J2084" s="14"/>
      <c r="K2084" s="14"/>
      <c r="L2084" s="14"/>
      <c r="M2084" s="14"/>
    </row>
    <row r="2085" spans="1:13" x14ac:dyDescent="0.25">
      <c r="A2085" s="14"/>
      <c r="B2085" s="14"/>
      <c r="C2085" s="14"/>
      <c r="D2085" s="92"/>
      <c r="E2085" s="14"/>
      <c r="F2085" s="14"/>
      <c r="G2085" s="14"/>
      <c r="H2085" s="14"/>
      <c r="I2085" s="67"/>
      <c r="J2085" s="14"/>
      <c r="K2085" s="14"/>
      <c r="L2085" s="14"/>
      <c r="M2085" s="14"/>
    </row>
    <row r="2086" spans="1:13" x14ac:dyDescent="0.25">
      <c r="A2086" s="14"/>
      <c r="B2086" s="14"/>
      <c r="C2086" s="14"/>
      <c r="D2086" s="92"/>
      <c r="E2086" s="14"/>
      <c r="F2086" s="14"/>
      <c r="G2086" s="14"/>
      <c r="H2086" s="14"/>
      <c r="I2086" s="67"/>
      <c r="J2086" s="14"/>
      <c r="K2086" s="14"/>
      <c r="L2086" s="14"/>
      <c r="M2086" s="14"/>
    </row>
    <row r="2087" spans="1:13" x14ac:dyDescent="0.25">
      <c r="A2087" s="14"/>
      <c r="B2087" s="14"/>
      <c r="C2087" s="14"/>
      <c r="D2087" s="92"/>
      <c r="E2087" s="14"/>
      <c r="F2087" s="14"/>
      <c r="G2087" s="14"/>
      <c r="H2087" s="14"/>
      <c r="I2087" s="67"/>
      <c r="J2087" s="14"/>
      <c r="K2087" s="14"/>
      <c r="L2087" s="14"/>
      <c r="M2087" s="14"/>
    </row>
    <row r="2088" spans="1:13" x14ac:dyDescent="0.25">
      <c r="A2088" s="14"/>
      <c r="B2088" s="14"/>
      <c r="C2088" s="14"/>
      <c r="D2088" s="92"/>
      <c r="E2088" s="14"/>
      <c r="F2088" s="14"/>
      <c r="G2088" s="14"/>
      <c r="H2088" s="14"/>
      <c r="I2088" s="67"/>
      <c r="J2088" s="14"/>
      <c r="K2088" s="14"/>
      <c r="L2088" s="14"/>
      <c r="M2088" s="14"/>
    </row>
    <row r="2089" spans="1:13" x14ac:dyDescent="0.25">
      <c r="A2089" s="14"/>
      <c r="B2089" s="14"/>
      <c r="C2089" s="14"/>
      <c r="D2089" s="92"/>
      <c r="E2089" s="14"/>
      <c r="F2089" s="14"/>
      <c r="G2089" s="14"/>
      <c r="H2089" s="14"/>
      <c r="I2089" s="67"/>
      <c r="J2089" s="14"/>
      <c r="K2089" s="14"/>
      <c r="L2089" s="14"/>
      <c r="M2089" s="14"/>
    </row>
    <row r="2090" spans="1:13" x14ac:dyDescent="0.25">
      <c r="A2090" s="14"/>
      <c r="B2090" s="14"/>
      <c r="C2090" s="14"/>
      <c r="D2090" s="92"/>
      <c r="E2090" s="14"/>
      <c r="F2090" s="14"/>
      <c r="G2090" s="14"/>
      <c r="H2090" s="14"/>
      <c r="I2090" s="67"/>
      <c r="J2090" s="14"/>
      <c r="K2090" s="14"/>
      <c r="L2090" s="14"/>
      <c r="M2090" s="14"/>
    </row>
    <row r="2091" spans="1:13" x14ac:dyDescent="0.25">
      <c r="A2091" s="14"/>
      <c r="B2091" s="14"/>
      <c r="C2091" s="14"/>
      <c r="D2091" s="92"/>
      <c r="E2091" s="14"/>
      <c r="F2091" s="14"/>
      <c r="G2091" s="14"/>
      <c r="H2091" s="14"/>
      <c r="I2091" s="67"/>
      <c r="J2091" s="14"/>
      <c r="K2091" s="14"/>
      <c r="L2091" s="14"/>
      <c r="M2091" s="14"/>
    </row>
    <row r="2092" spans="1:13" x14ac:dyDescent="0.25">
      <c r="A2092" s="14"/>
      <c r="B2092" s="14"/>
      <c r="C2092" s="14"/>
      <c r="D2092" s="92"/>
      <c r="E2092" s="14"/>
      <c r="F2092" s="14"/>
      <c r="G2092" s="14"/>
      <c r="H2092" s="14"/>
      <c r="I2092" s="67"/>
      <c r="J2092" s="14"/>
      <c r="K2092" s="14"/>
      <c r="L2092" s="14"/>
      <c r="M2092" s="14"/>
    </row>
    <row r="2093" spans="1:13" x14ac:dyDescent="0.25">
      <c r="A2093" s="14"/>
      <c r="B2093" s="14"/>
      <c r="C2093" s="14"/>
      <c r="D2093" s="92"/>
      <c r="E2093" s="14"/>
      <c r="F2093" s="14"/>
      <c r="G2093" s="14"/>
      <c r="H2093" s="14"/>
      <c r="I2093" s="67"/>
      <c r="J2093" s="14"/>
      <c r="K2093" s="14"/>
      <c r="L2093" s="14"/>
      <c r="M2093" s="14"/>
    </row>
    <row r="2094" spans="1:13" x14ac:dyDescent="0.25">
      <c r="A2094" s="14"/>
      <c r="B2094" s="14"/>
      <c r="C2094" s="14"/>
      <c r="D2094" s="92"/>
      <c r="E2094" s="14"/>
      <c r="F2094" s="14"/>
      <c r="G2094" s="14"/>
      <c r="H2094" s="14"/>
      <c r="I2094" s="67"/>
      <c r="J2094" s="14"/>
      <c r="K2094" s="14"/>
      <c r="L2094" s="14"/>
      <c r="M2094" s="14"/>
    </row>
    <row r="2095" spans="1:13" x14ac:dyDescent="0.25">
      <c r="A2095" s="14"/>
      <c r="B2095" s="14"/>
      <c r="C2095" s="14"/>
      <c r="D2095" s="92"/>
      <c r="E2095" s="14"/>
      <c r="F2095" s="14"/>
      <c r="G2095" s="14"/>
      <c r="H2095" s="14"/>
      <c r="I2095" s="67"/>
      <c r="J2095" s="14"/>
      <c r="K2095" s="14"/>
      <c r="L2095" s="14"/>
      <c r="M2095" s="14"/>
    </row>
    <row r="2096" spans="1:13" x14ac:dyDescent="0.25">
      <c r="A2096" s="14"/>
      <c r="B2096" s="14"/>
      <c r="C2096" s="14"/>
      <c r="D2096" s="92"/>
      <c r="E2096" s="14"/>
      <c r="F2096" s="14"/>
      <c r="G2096" s="14"/>
      <c r="H2096" s="14"/>
      <c r="I2096" s="67"/>
      <c r="J2096" s="14"/>
      <c r="K2096" s="14"/>
      <c r="L2096" s="14"/>
      <c r="M2096" s="14"/>
    </row>
    <row r="2097" spans="1:13" x14ac:dyDescent="0.25">
      <c r="A2097" s="14"/>
      <c r="B2097" s="14"/>
      <c r="C2097" s="14"/>
      <c r="D2097" s="92"/>
      <c r="E2097" s="14"/>
      <c r="F2097" s="14"/>
      <c r="G2097" s="14"/>
      <c r="H2097" s="14"/>
      <c r="I2097" s="67"/>
      <c r="J2097" s="14"/>
      <c r="K2097" s="14"/>
      <c r="L2097" s="14"/>
      <c r="M2097" s="14"/>
    </row>
    <row r="2098" spans="1:13" x14ac:dyDescent="0.25">
      <c r="A2098" s="14"/>
      <c r="B2098" s="14"/>
      <c r="C2098" s="14"/>
      <c r="D2098" s="92"/>
      <c r="E2098" s="14"/>
      <c r="F2098" s="14"/>
      <c r="G2098" s="14"/>
      <c r="H2098" s="14"/>
      <c r="I2098" s="67"/>
      <c r="J2098" s="14"/>
      <c r="K2098" s="14"/>
      <c r="L2098" s="14"/>
      <c r="M2098" s="14"/>
    </row>
    <row r="2099" spans="1:13" x14ac:dyDescent="0.25">
      <c r="A2099" s="14"/>
      <c r="B2099" s="14"/>
      <c r="C2099" s="14"/>
      <c r="D2099" s="92"/>
      <c r="E2099" s="14"/>
      <c r="F2099" s="14"/>
      <c r="G2099" s="14"/>
      <c r="H2099" s="14"/>
      <c r="I2099" s="67"/>
      <c r="J2099" s="14"/>
      <c r="K2099" s="14"/>
      <c r="L2099" s="14"/>
      <c r="M2099" s="14"/>
    </row>
    <row r="2100" spans="1:13" x14ac:dyDescent="0.25">
      <c r="A2100" s="14"/>
      <c r="B2100" s="14"/>
      <c r="C2100" s="14"/>
      <c r="D2100" s="92"/>
      <c r="E2100" s="14"/>
      <c r="F2100" s="14"/>
      <c r="G2100" s="14"/>
      <c r="H2100" s="14"/>
      <c r="I2100" s="67"/>
      <c r="J2100" s="14"/>
      <c r="K2100" s="14"/>
      <c r="L2100" s="14"/>
      <c r="M2100" s="14"/>
    </row>
    <row r="2101" spans="1:13" x14ac:dyDescent="0.25">
      <c r="A2101" s="14"/>
      <c r="B2101" s="14"/>
      <c r="C2101" s="14"/>
      <c r="D2101" s="92"/>
      <c r="E2101" s="14"/>
      <c r="F2101" s="14"/>
      <c r="G2101" s="14"/>
      <c r="H2101" s="14"/>
      <c r="I2101" s="67"/>
      <c r="J2101" s="14"/>
      <c r="K2101" s="14"/>
      <c r="L2101" s="14"/>
      <c r="M2101" s="14"/>
    </row>
    <row r="2102" spans="1:13" x14ac:dyDescent="0.25">
      <c r="A2102" s="14"/>
      <c r="B2102" s="14"/>
      <c r="C2102" s="14"/>
      <c r="D2102" s="92"/>
      <c r="E2102" s="14"/>
      <c r="F2102" s="14"/>
      <c r="G2102" s="14"/>
      <c r="H2102" s="14"/>
      <c r="I2102" s="67"/>
      <c r="J2102" s="14"/>
      <c r="K2102" s="14"/>
      <c r="L2102" s="14"/>
      <c r="M2102" s="14"/>
    </row>
    <row r="2103" spans="1:13" x14ac:dyDescent="0.25">
      <c r="A2103" s="14"/>
      <c r="B2103" s="14"/>
      <c r="C2103" s="14"/>
      <c r="D2103" s="92"/>
      <c r="E2103" s="14"/>
      <c r="F2103" s="14"/>
      <c r="G2103" s="14"/>
      <c r="H2103" s="14"/>
      <c r="I2103" s="67"/>
      <c r="J2103" s="14"/>
      <c r="K2103" s="14"/>
      <c r="L2103" s="14"/>
      <c r="M2103" s="14"/>
    </row>
    <row r="2104" spans="1:13" x14ac:dyDescent="0.25">
      <c r="A2104" s="14"/>
      <c r="B2104" s="14"/>
      <c r="C2104" s="14"/>
      <c r="D2104" s="92"/>
      <c r="E2104" s="14"/>
      <c r="F2104" s="14"/>
      <c r="G2104" s="14"/>
      <c r="H2104" s="14"/>
      <c r="I2104" s="67"/>
      <c r="J2104" s="14"/>
      <c r="K2104" s="14"/>
      <c r="L2104" s="14"/>
      <c r="M2104" s="14"/>
    </row>
    <row r="2105" spans="1:13" x14ac:dyDescent="0.25">
      <c r="A2105" s="14"/>
      <c r="B2105" s="14"/>
      <c r="C2105" s="14"/>
      <c r="D2105" s="92"/>
      <c r="E2105" s="14"/>
      <c r="F2105" s="14"/>
      <c r="G2105" s="14"/>
      <c r="H2105" s="14"/>
      <c r="I2105" s="67"/>
      <c r="J2105" s="14"/>
      <c r="K2105" s="14"/>
      <c r="L2105" s="14"/>
      <c r="M2105" s="14"/>
    </row>
    <row r="2106" spans="1:13" x14ac:dyDescent="0.25">
      <c r="A2106" s="14"/>
      <c r="B2106" s="14"/>
      <c r="C2106" s="14"/>
      <c r="D2106" s="92"/>
      <c r="E2106" s="14"/>
      <c r="F2106" s="14"/>
      <c r="G2106" s="14"/>
      <c r="H2106" s="14"/>
      <c r="I2106" s="67"/>
      <c r="J2106" s="14"/>
      <c r="K2106" s="14"/>
      <c r="L2106" s="14"/>
      <c r="M2106" s="14"/>
    </row>
    <row r="2107" spans="1:13" x14ac:dyDescent="0.25">
      <c r="A2107" s="14"/>
      <c r="B2107" s="14"/>
      <c r="C2107" s="14"/>
      <c r="D2107" s="92"/>
      <c r="E2107" s="14"/>
      <c r="F2107" s="14"/>
      <c r="G2107" s="14"/>
      <c r="H2107" s="14"/>
      <c r="I2107" s="67"/>
      <c r="J2107" s="14"/>
      <c r="K2107" s="14"/>
      <c r="L2107" s="14"/>
      <c r="M2107" s="14"/>
    </row>
    <row r="2108" spans="1:13" x14ac:dyDescent="0.25">
      <c r="A2108" s="14"/>
      <c r="B2108" s="14"/>
      <c r="C2108" s="14"/>
      <c r="D2108" s="92"/>
      <c r="E2108" s="14"/>
      <c r="F2108" s="14"/>
      <c r="G2108" s="14"/>
      <c r="H2108" s="14"/>
      <c r="I2108" s="67"/>
      <c r="J2108" s="14"/>
      <c r="K2108" s="14"/>
      <c r="L2108" s="14"/>
      <c r="M2108" s="14"/>
    </row>
    <row r="2109" spans="1:13" x14ac:dyDescent="0.25">
      <c r="A2109" s="14"/>
      <c r="B2109" s="14"/>
      <c r="C2109" s="14"/>
      <c r="D2109" s="92"/>
      <c r="E2109" s="14"/>
      <c r="F2109" s="14"/>
      <c r="G2109" s="14"/>
      <c r="H2109" s="14"/>
      <c r="I2109" s="67"/>
      <c r="J2109" s="14"/>
      <c r="K2109" s="14"/>
      <c r="L2109" s="14"/>
      <c r="M2109" s="14"/>
    </row>
    <row r="2110" spans="1:13" x14ac:dyDescent="0.25">
      <c r="A2110" s="14"/>
      <c r="B2110" s="14"/>
      <c r="C2110" s="14"/>
      <c r="D2110" s="92"/>
      <c r="E2110" s="14"/>
      <c r="F2110" s="14"/>
      <c r="G2110" s="14"/>
      <c r="H2110" s="14"/>
      <c r="I2110" s="67"/>
      <c r="J2110" s="14"/>
      <c r="K2110" s="14"/>
      <c r="L2110" s="14"/>
      <c r="M2110" s="14"/>
    </row>
    <row r="2111" spans="1:13" x14ac:dyDescent="0.25">
      <c r="A2111" s="14"/>
      <c r="B2111" s="14"/>
      <c r="C2111" s="14"/>
      <c r="D2111" s="92"/>
      <c r="E2111" s="14"/>
      <c r="F2111" s="14"/>
      <c r="G2111" s="14"/>
      <c r="H2111" s="14"/>
      <c r="I2111" s="67"/>
      <c r="J2111" s="14"/>
      <c r="K2111" s="14"/>
      <c r="L2111" s="14"/>
      <c r="M2111" s="14"/>
    </row>
    <row r="2112" spans="1:13" x14ac:dyDescent="0.25">
      <c r="A2112" s="14"/>
      <c r="B2112" s="14"/>
      <c r="C2112" s="14"/>
      <c r="D2112" s="92"/>
      <c r="E2112" s="14"/>
      <c r="F2112" s="14"/>
      <c r="G2112" s="14"/>
      <c r="H2112" s="14"/>
      <c r="I2112" s="67"/>
      <c r="J2112" s="14"/>
      <c r="K2112" s="14"/>
      <c r="L2112" s="14"/>
      <c r="M2112" s="14"/>
    </row>
    <row r="2113" spans="1:13" x14ac:dyDescent="0.25">
      <c r="A2113" s="14"/>
      <c r="B2113" s="14"/>
      <c r="C2113" s="14"/>
      <c r="D2113" s="92"/>
      <c r="E2113" s="14"/>
      <c r="F2113" s="14"/>
      <c r="G2113" s="14"/>
      <c r="H2113" s="14"/>
      <c r="I2113" s="67"/>
      <c r="J2113" s="14"/>
      <c r="K2113" s="14"/>
      <c r="L2113" s="14"/>
      <c r="M2113" s="14"/>
    </row>
    <row r="2114" spans="1:13" x14ac:dyDescent="0.25">
      <c r="A2114" s="14"/>
      <c r="B2114" s="14"/>
      <c r="C2114" s="14"/>
      <c r="D2114" s="92"/>
      <c r="E2114" s="14"/>
      <c r="F2114" s="14"/>
      <c r="G2114" s="14"/>
      <c r="H2114" s="14"/>
      <c r="I2114" s="67"/>
      <c r="J2114" s="14"/>
      <c r="K2114" s="14"/>
      <c r="L2114" s="14"/>
      <c r="M2114" s="14"/>
    </row>
    <row r="2115" spans="1:13" x14ac:dyDescent="0.25">
      <c r="A2115" s="14"/>
      <c r="B2115" s="14"/>
      <c r="C2115" s="14"/>
      <c r="D2115" s="92"/>
      <c r="E2115" s="14"/>
      <c r="F2115" s="14"/>
      <c r="G2115" s="14"/>
      <c r="H2115" s="14"/>
      <c r="I2115" s="67"/>
      <c r="J2115" s="14"/>
      <c r="K2115" s="14"/>
      <c r="L2115" s="14"/>
      <c r="M2115" s="14"/>
    </row>
    <row r="2116" spans="1:13" x14ac:dyDescent="0.25">
      <c r="A2116" s="14"/>
      <c r="B2116" s="14"/>
      <c r="C2116" s="14"/>
      <c r="D2116" s="92"/>
      <c r="E2116" s="14"/>
      <c r="F2116" s="14"/>
      <c r="G2116" s="14"/>
      <c r="H2116" s="14"/>
      <c r="I2116" s="67"/>
      <c r="J2116" s="14"/>
      <c r="K2116" s="14"/>
      <c r="L2116" s="14"/>
      <c r="M2116" s="14"/>
    </row>
    <row r="2117" spans="1:13" x14ac:dyDescent="0.25">
      <c r="A2117" s="14"/>
      <c r="B2117" s="14"/>
      <c r="C2117" s="14"/>
      <c r="D2117" s="92"/>
      <c r="E2117" s="14"/>
      <c r="F2117" s="14"/>
      <c r="G2117" s="14"/>
      <c r="H2117" s="14"/>
      <c r="I2117" s="67"/>
      <c r="J2117" s="14"/>
      <c r="K2117" s="14"/>
      <c r="L2117" s="14"/>
      <c r="M2117" s="14"/>
    </row>
    <row r="2118" spans="1:13" x14ac:dyDescent="0.25">
      <c r="A2118" s="14"/>
      <c r="B2118" s="14"/>
      <c r="C2118" s="14"/>
      <c r="D2118" s="92"/>
      <c r="E2118" s="14"/>
      <c r="F2118" s="14"/>
      <c r="G2118" s="14"/>
      <c r="H2118" s="14"/>
      <c r="I2118" s="67"/>
      <c r="J2118" s="14"/>
      <c r="K2118" s="14"/>
      <c r="L2118" s="14"/>
      <c r="M2118" s="14"/>
    </row>
    <row r="2119" spans="1:13" x14ac:dyDescent="0.25">
      <c r="A2119" s="14"/>
      <c r="B2119" s="14"/>
      <c r="C2119" s="14"/>
      <c r="D2119" s="92"/>
      <c r="E2119" s="14"/>
      <c r="F2119" s="14"/>
      <c r="G2119" s="14"/>
      <c r="H2119" s="14"/>
      <c r="I2119" s="67"/>
      <c r="J2119" s="14"/>
      <c r="K2119" s="14"/>
      <c r="L2119" s="14"/>
      <c r="M2119" s="14"/>
    </row>
    <row r="2120" spans="1:13" x14ac:dyDescent="0.25">
      <c r="A2120" s="14"/>
      <c r="B2120" s="14"/>
      <c r="C2120" s="14"/>
      <c r="D2120" s="92"/>
      <c r="E2120" s="14"/>
      <c r="F2120" s="14"/>
      <c r="G2120" s="14"/>
      <c r="H2120" s="14"/>
      <c r="I2120" s="67"/>
      <c r="J2120" s="14"/>
      <c r="K2120" s="14"/>
      <c r="L2120" s="14"/>
      <c r="M2120" s="14"/>
    </row>
    <row r="2121" spans="1:13" x14ac:dyDescent="0.25">
      <c r="A2121" s="14"/>
      <c r="B2121" s="14"/>
      <c r="C2121" s="14"/>
      <c r="D2121" s="92"/>
      <c r="E2121" s="14"/>
      <c r="F2121" s="14"/>
      <c r="G2121" s="14"/>
      <c r="H2121" s="14"/>
      <c r="I2121" s="67"/>
      <c r="J2121" s="14"/>
      <c r="K2121" s="14"/>
      <c r="L2121" s="14"/>
      <c r="M2121" s="14"/>
    </row>
    <row r="2122" spans="1:13" x14ac:dyDescent="0.25">
      <c r="A2122" s="14"/>
      <c r="B2122" s="14"/>
      <c r="C2122" s="14"/>
      <c r="D2122" s="92"/>
      <c r="E2122" s="14"/>
      <c r="F2122" s="14"/>
      <c r="G2122" s="14"/>
      <c r="H2122" s="14"/>
      <c r="I2122" s="67"/>
      <c r="J2122" s="14"/>
      <c r="K2122" s="14"/>
      <c r="L2122" s="14"/>
      <c r="M2122" s="14"/>
    </row>
    <row r="2123" spans="1:13" x14ac:dyDescent="0.25">
      <c r="A2123" s="14"/>
      <c r="B2123" s="14"/>
      <c r="C2123" s="14"/>
      <c r="D2123" s="92"/>
      <c r="E2123" s="14"/>
      <c r="F2123" s="14"/>
      <c r="G2123" s="14"/>
      <c r="H2123" s="14"/>
      <c r="I2123" s="67"/>
      <c r="J2123" s="14"/>
      <c r="K2123" s="14"/>
      <c r="L2123" s="14"/>
      <c r="M2123" s="14"/>
    </row>
    <row r="2124" spans="1:13" x14ac:dyDescent="0.25">
      <c r="A2124" s="14"/>
      <c r="B2124" s="14"/>
      <c r="C2124" s="14"/>
      <c r="D2124" s="92"/>
      <c r="E2124" s="14"/>
      <c r="F2124" s="14"/>
      <c r="G2124" s="14"/>
      <c r="H2124" s="14"/>
      <c r="I2124" s="67"/>
      <c r="J2124" s="14"/>
      <c r="K2124" s="14"/>
      <c r="L2124" s="14"/>
      <c r="M2124" s="14"/>
    </row>
    <row r="2125" spans="1:13" x14ac:dyDescent="0.25">
      <c r="A2125" s="14"/>
      <c r="B2125" s="14"/>
      <c r="C2125" s="14"/>
      <c r="D2125" s="92"/>
      <c r="E2125" s="14"/>
      <c r="F2125" s="14"/>
      <c r="G2125" s="14"/>
      <c r="H2125" s="14"/>
      <c r="I2125" s="67"/>
      <c r="J2125" s="14"/>
      <c r="K2125" s="14"/>
      <c r="L2125" s="14"/>
      <c r="M2125" s="14"/>
    </row>
    <row r="2126" spans="1:13" x14ac:dyDescent="0.25">
      <c r="A2126" s="14"/>
      <c r="B2126" s="14"/>
      <c r="C2126" s="14"/>
      <c r="D2126" s="92"/>
      <c r="E2126" s="14"/>
      <c r="F2126" s="14"/>
      <c r="G2126" s="14"/>
      <c r="H2126" s="14"/>
      <c r="I2126" s="67"/>
      <c r="J2126" s="14"/>
      <c r="K2126" s="14"/>
      <c r="L2126" s="14"/>
      <c r="M2126" s="14"/>
    </row>
    <row r="2127" spans="1:13" x14ac:dyDescent="0.25">
      <c r="A2127" s="14"/>
      <c r="B2127" s="14"/>
      <c r="C2127" s="14"/>
      <c r="D2127" s="92"/>
      <c r="E2127" s="14"/>
      <c r="F2127" s="14"/>
      <c r="G2127" s="14"/>
      <c r="H2127" s="14"/>
      <c r="I2127" s="67"/>
      <c r="J2127" s="14"/>
      <c r="K2127" s="14"/>
      <c r="L2127" s="14"/>
      <c r="M2127" s="14"/>
    </row>
    <row r="2128" spans="1:13" x14ac:dyDescent="0.25">
      <c r="A2128" s="14"/>
      <c r="B2128" s="14"/>
      <c r="C2128" s="14"/>
      <c r="D2128" s="92"/>
      <c r="E2128" s="14"/>
      <c r="F2128" s="14"/>
      <c r="G2128" s="14"/>
      <c r="H2128" s="14"/>
      <c r="I2128" s="67"/>
      <c r="J2128" s="14"/>
      <c r="K2128" s="14"/>
      <c r="L2128" s="14"/>
      <c r="M2128" s="14"/>
    </row>
    <row r="2129" spans="1:13" x14ac:dyDescent="0.25">
      <c r="A2129" s="14"/>
      <c r="B2129" s="14"/>
      <c r="C2129" s="14"/>
      <c r="D2129" s="92"/>
      <c r="E2129" s="14"/>
      <c r="F2129" s="14"/>
      <c r="G2129" s="14"/>
      <c r="H2129" s="14"/>
      <c r="I2129" s="67"/>
      <c r="J2129" s="14"/>
      <c r="K2129" s="14"/>
      <c r="L2129" s="14"/>
      <c r="M2129" s="14"/>
    </row>
    <row r="2130" spans="1:13" x14ac:dyDescent="0.25">
      <c r="A2130" s="14"/>
      <c r="B2130" s="14"/>
      <c r="C2130" s="14"/>
      <c r="D2130" s="92"/>
      <c r="E2130" s="14"/>
      <c r="F2130" s="14"/>
      <c r="G2130" s="14"/>
      <c r="H2130" s="14"/>
      <c r="I2130" s="67"/>
      <c r="J2130" s="14"/>
      <c r="K2130" s="14"/>
      <c r="L2130" s="14"/>
      <c r="M2130" s="14"/>
    </row>
    <row r="2131" spans="1:13" x14ac:dyDescent="0.25">
      <c r="A2131" s="14"/>
      <c r="B2131" s="14"/>
      <c r="C2131" s="14"/>
      <c r="D2131" s="92"/>
      <c r="E2131" s="14"/>
      <c r="F2131" s="14"/>
      <c r="G2131" s="14"/>
      <c r="H2131" s="14"/>
      <c r="I2131" s="67"/>
      <c r="J2131" s="14"/>
      <c r="K2131" s="14"/>
      <c r="L2131" s="14"/>
      <c r="M2131" s="14"/>
    </row>
    <row r="2132" spans="1:13" x14ac:dyDescent="0.25">
      <c r="A2132" s="14"/>
      <c r="B2132" s="14"/>
      <c r="C2132" s="14"/>
      <c r="D2132" s="92"/>
      <c r="E2132" s="14"/>
      <c r="F2132" s="14"/>
      <c r="G2132" s="14"/>
      <c r="H2132" s="14"/>
      <c r="I2132" s="67"/>
      <c r="J2132" s="14"/>
      <c r="K2132" s="14"/>
      <c r="L2132" s="14"/>
      <c r="M2132" s="14"/>
    </row>
    <row r="2133" spans="1:13" x14ac:dyDescent="0.25">
      <c r="A2133" s="14"/>
      <c r="B2133" s="14"/>
      <c r="C2133" s="14"/>
      <c r="D2133" s="92"/>
      <c r="E2133" s="14"/>
      <c r="F2133" s="14"/>
      <c r="G2133" s="14"/>
      <c r="H2133" s="14"/>
      <c r="I2133" s="67"/>
      <c r="J2133" s="14"/>
      <c r="K2133" s="14"/>
      <c r="L2133" s="14"/>
      <c r="M2133" s="14"/>
    </row>
    <row r="2134" spans="1:13" x14ac:dyDescent="0.25">
      <c r="A2134" s="14"/>
      <c r="B2134" s="14"/>
      <c r="C2134" s="14"/>
      <c r="D2134" s="92"/>
      <c r="E2134" s="14"/>
      <c r="F2134" s="14"/>
      <c r="G2134" s="14"/>
      <c r="H2134" s="14"/>
      <c r="I2134" s="67"/>
      <c r="J2134" s="14"/>
      <c r="K2134" s="14"/>
      <c r="L2134" s="14"/>
      <c r="M2134" s="14"/>
    </row>
    <row r="2135" spans="1:13" x14ac:dyDescent="0.25">
      <c r="A2135" s="14"/>
      <c r="B2135" s="14"/>
      <c r="C2135" s="14"/>
      <c r="D2135" s="92"/>
      <c r="E2135" s="14"/>
      <c r="F2135" s="14"/>
      <c r="G2135" s="14"/>
      <c r="H2135" s="14"/>
      <c r="I2135" s="67"/>
      <c r="J2135" s="14"/>
      <c r="K2135" s="14"/>
      <c r="L2135" s="14"/>
      <c r="M2135" s="14"/>
    </row>
    <row r="2136" spans="1:13" x14ac:dyDescent="0.25">
      <c r="A2136" s="14"/>
      <c r="B2136" s="14"/>
      <c r="C2136" s="14"/>
      <c r="D2136" s="92"/>
      <c r="E2136" s="14"/>
      <c r="F2136" s="14"/>
      <c r="G2136" s="14"/>
      <c r="H2136" s="14"/>
      <c r="I2136" s="67"/>
      <c r="J2136" s="14"/>
      <c r="K2136" s="14"/>
      <c r="L2136" s="14"/>
      <c r="M2136" s="14"/>
    </row>
    <row r="2137" spans="1:13" x14ac:dyDescent="0.25">
      <c r="A2137" s="14"/>
      <c r="B2137" s="14"/>
      <c r="C2137" s="14"/>
      <c r="D2137" s="92"/>
      <c r="E2137" s="14"/>
      <c r="F2137" s="14"/>
      <c r="G2137" s="14"/>
      <c r="H2137" s="14"/>
      <c r="I2137" s="67"/>
      <c r="J2137" s="14"/>
      <c r="K2137" s="14"/>
      <c r="L2137" s="14"/>
      <c r="M2137" s="14"/>
    </row>
    <row r="2138" spans="1:13" x14ac:dyDescent="0.25">
      <c r="A2138" s="14"/>
      <c r="B2138" s="14"/>
      <c r="C2138" s="14"/>
      <c r="D2138" s="92"/>
      <c r="E2138" s="14"/>
      <c r="F2138" s="14"/>
      <c r="G2138" s="14"/>
      <c r="H2138" s="14"/>
      <c r="I2138" s="67"/>
      <c r="J2138" s="14"/>
      <c r="K2138" s="14"/>
      <c r="L2138" s="14"/>
      <c r="M2138" s="14"/>
    </row>
    <row r="2139" spans="1:13" x14ac:dyDescent="0.25">
      <c r="A2139" s="14"/>
      <c r="B2139" s="14"/>
      <c r="C2139" s="14"/>
      <c r="D2139" s="92"/>
      <c r="E2139" s="14"/>
      <c r="F2139" s="14"/>
      <c r="G2139" s="14"/>
      <c r="H2139" s="14"/>
      <c r="I2139" s="67"/>
      <c r="J2139" s="14"/>
      <c r="K2139" s="14"/>
      <c r="L2139" s="14"/>
      <c r="M2139" s="14"/>
    </row>
    <row r="2140" spans="1:13" x14ac:dyDescent="0.25">
      <c r="A2140" s="14"/>
      <c r="B2140" s="14"/>
      <c r="C2140" s="14"/>
      <c r="D2140" s="92"/>
      <c r="E2140" s="14"/>
      <c r="F2140" s="14"/>
      <c r="G2140" s="14"/>
      <c r="H2140" s="14"/>
      <c r="I2140" s="67"/>
      <c r="J2140" s="14"/>
      <c r="K2140" s="14"/>
      <c r="L2140" s="14"/>
      <c r="M2140" s="14"/>
    </row>
    <row r="2141" spans="1:13" x14ac:dyDescent="0.25">
      <c r="A2141" s="14"/>
      <c r="B2141" s="14"/>
      <c r="C2141" s="14"/>
      <c r="D2141" s="92"/>
      <c r="E2141" s="14"/>
      <c r="F2141" s="14"/>
      <c r="G2141" s="14"/>
      <c r="H2141" s="14"/>
      <c r="I2141" s="67"/>
      <c r="J2141" s="14"/>
      <c r="K2141" s="14"/>
      <c r="L2141" s="14"/>
      <c r="M2141" s="14"/>
    </row>
    <row r="2142" spans="1:13" x14ac:dyDescent="0.25">
      <c r="A2142" s="14"/>
      <c r="B2142" s="14"/>
      <c r="C2142" s="14"/>
      <c r="D2142" s="92"/>
      <c r="E2142" s="14"/>
      <c r="F2142" s="14"/>
      <c r="G2142" s="14"/>
      <c r="H2142" s="14"/>
      <c r="I2142" s="67"/>
      <c r="J2142" s="14"/>
      <c r="K2142" s="14"/>
      <c r="L2142" s="14"/>
      <c r="M2142" s="14"/>
    </row>
    <row r="2143" spans="1:13" x14ac:dyDescent="0.25">
      <c r="A2143" s="14"/>
      <c r="B2143" s="14"/>
      <c r="C2143" s="14"/>
      <c r="D2143" s="92"/>
      <c r="E2143" s="14"/>
      <c r="F2143" s="14"/>
      <c r="G2143" s="14"/>
      <c r="H2143" s="14"/>
      <c r="I2143" s="67"/>
      <c r="J2143" s="14"/>
      <c r="K2143" s="14"/>
      <c r="L2143" s="14"/>
      <c r="M2143" s="14"/>
    </row>
    <row r="2144" spans="1:13" x14ac:dyDescent="0.25">
      <c r="A2144" s="14"/>
      <c r="B2144" s="14"/>
      <c r="C2144" s="14"/>
      <c r="D2144" s="92"/>
      <c r="E2144" s="14"/>
      <c r="F2144" s="14"/>
      <c r="G2144" s="14"/>
      <c r="H2144" s="14"/>
      <c r="I2144" s="67"/>
      <c r="J2144" s="14"/>
      <c r="K2144" s="14"/>
      <c r="L2144" s="14"/>
      <c r="M2144" s="14"/>
    </row>
    <row r="2145" spans="1:13" x14ac:dyDescent="0.25">
      <c r="A2145" s="14"/>
      <c r="B2145" s="14"/>
      <c r="C2145" s="14"/>
      <c r="D2145" s="92"/>
      <c r="E2145" s="14"/>
      <c r="F2145" s="14"/>
      <c r="G2145" s="14"/>
      <c r="H2145" s="14"/>
      <c r="I2145" s="67"/>
      <c r="J2145" s="14"/>
      <c r="K2145" s="14"/>
      <c r="L2145" s="14"/>
      <c r="M2145" s="14"/>
    </row>
    <row r="2146" spans="1:13" x14ac:dyDescent="0.25">
      <c r="A2146" s="14"/>
      <c r="B2146" s="14"/>
      <c r="C2146" s="14"/>
      <c r="D2146" s="92"/>
      <c r="E2146" s="14"/>
      <c r="F2146" s="14"/>
      <c r="G2146" s="14"/>
      <c r="H2146" s="14"/>
      <c r="I2146" s="67"/>
      <c r="J2146" s="14"/>
      <c r="K2146" s="14"/>
      <c r="L2146" s="14"/>
      <c r="M2146" s="14"/>
    </row>
    <row r="2147" spans="1:13" x14ac:dyDescent="0.25">
      <c r="A2147" s="14"/>
      <c r="B2147" s="14"/>
      <c r="C2147" s="14"/>
      <c r="D2147" s="92"/>
      <c r="E2147" s="14"/>
      <c r="F2147" s="14"/>
      <c r="G2147" s="14"/>
      <c r="H2147" s="14"/>
      <c r="I2147" s="67"/>
      <c r="J2147" s="14"/>
      <c r="K2147" s="14"/>
      <c r="L2147" s="14"/>
      <c r="M2147" s="14"/>
    </row>
    <row r="2148" spans="1:13" x14ac:dyDescent="0.25">
      <c r="A2148" s="14"/>
      <c r="B2148" s="14"/>
      <c r="C2148" s="14"/>
      <c r="D2148" s="92"/>
      <c r="E2148" s="14"/>
      <c r="F2148" s="14"/>
      <c r="G2148" s="14"/>
      <c r="H2148" s="14"/>
      <c r="I2148" s="67"/>
      <c r="J2148" s="14"/>
      <c r="K2148" s="14"/>
      <c r="L2148" s="14"/>
      <c r="M2148" s="14"/>
    </row>
    <row r="2149" spans="1:13" x14ac:dyDescent="0.25">
      <c r="A2149" s="14"/>
      <c r="B2149" s="14"/>
      <c r="C2149" s="14"/>
      <c r="D2149" s="92"/>
      <c r="E2149" s="14"/>
      <c r="F2149" s="14"/>
      <c r="G2149" s="14"/>
      <c r="H2149" s="14"/>
      <c r="I2149" s="67"/>
      <c r="J2149" s="14"/>
      <c r="K2149" s="14"/>
      <c r="L2149" s="14"/>
      <c r="M2149" s="14"/>
    </row>
    <row r="2150" spans="1:13" x14ac:dyDescent="0.25">
      <c r="A2150" s="14"/>
      <c r="B2150" s="14"/>
      <c r="C2150" s="14"/>
      <c r="D2150" s="92"/>
      <c r="E2150" s="14"/>
      <c r="F2150" s="14"/>
      <c r="G2150" s="14"/>
      <c r="H2150" s="14"/>
      <c r="I2150" s="67"/>
      <c r="J2150" s="14"/>
      <c r="K2150" s="14"/>
      <c r="L2150" s="14"/>
      <c r="M2150" s="14"/>
    </row>
    <row r="2151" spans="1:13" x14ac:dyDescent="0.25">
      <c r="A2151" s="14"/>
      <c r="B2151" s="14"/>
      <c r="C2151" s="14"/>
      <c r="D2151" s="92"/>
      <c r="E2151" s="14"/>
      <c r="F2151" s="14"/>
      <c r="G2151" s="14"/>
      <c r="H2151" s="14"/>
      <c r="I2151" s="67"/>
      <c r="J2151" s="14"/>
      <c r="K2151" s="14"/>
      <c r="L2151" s="14"/>
      <c r="M2151" s="14"/>
    </row>
    <row r="2152" spans="1:13" x14ac:dyDescent="0.25">
      <c r="A2152" s="14"/>
      <c r="B2152" s="14"/>
      <c r="C2152" s="14"/>
      <c r="D2152" s="92"/>
      <c r="E2152" s="14"/>
      <c r="F2152" s="14"/>
      <c r="G2152" s="14"/>
      <c r="H2152" s="14"/>
      <c r="I2152" s="67"/>
      <c r="J2152" s="14"/>
      <c r="K2152" s="14"/>
      <c r="L2152" s="14"/>
      <c r="M2152" s="14"/>
    </row>
    <row r="2153" spans="1:13" x14ac:dyDescent="0.25">
      <c r="A2153" s="14"/>
      <c r="B2153" s="14"/>
      <c r="C2153" s="14"/>
      <c r="D2153" s="92"/>
      <c r="E2153" s="14"/>
      <c r="F2153" s="14"/>
      <c r="G2153" s="14"/>
      <c r="H2153" s="14"/>
      <c r="I2153" s="67"/>
      <c r="J2153" s="14"/>
      <c r="K2153" s="14"/>
      <c r="L2153" s="14"/>
      <c r="M2153" s="14"/>
    </row>
    <row r="2154" spans="1:13" x14ac:dyDescent="0.25">
      <c r="A2154" s="14"/>
      <c r="B2154" s="14"/>
      <c r="C2154" s="14"/>
      <c r="D2154" s="92"/>
      <c r="E2154" s="14"/>
      <c r="F2154" s="14"/>
      <c r="G2154" s="14"/>
      <c r="H2154" s="14"/>
      <c r="I2154" s="67"/>
      <c r="J2154" s="14"/>
      <c r="K2154" s="14"/>
      <c r="L2154" s="14"/>
      <c r="M2154" s="14"/>
    </row>
    <row r="2155" spans="1:13" x14ac:dyDescent="0.25">
      <c r="A2155" s="14"/>
      <c r="B2155" s="14"/>
      <c r="C2155" s="14"/>
      <c r="D2155" s="92"/>
      <c r="E2155" s="14"/>
      <c r="F2155" s="14"/>
      <c r="G2155" s="14"/>
      <c r="H2155" s="14"/>
      <c r="I2155" s="67"/>
      <c r="J2155" s="14"/>
      <c r="K2155" s="14"/>
      <c r="L2155" s="14"/>
      <c r="M2155" s="14"/>
    </row>
    <row r="2156" spans="1:13" x14ac:dyDescent="0.25">
      <c r="A2156" s="14"/>
      <c r="B2156" s="14"/>
      <c r="C2156" s="14"/>
      <c r="D2156" s="92"/>
      <c r="E2156" s="14"/>
      <c r="F2156" s="14"/>
      <c r="G2156" s="14"/>
      <c r="H2156" s="14"/>
      <c r="I2156" s="67"/>
      <c r="J2156" s="14"/>
      <c r="K2156" s="14"/>
      <c r="L2156" s="14"/>
      <c r="M2156" s="14"/>
    </row>
    <row r="2157" spans="1:13" x14ac:dyDescent="0.25">
      <c r="A2157" s="14"/>
      <c r="B2157" s="14"/>
      <c r="C2157" s="14"/>
      <c r="D2157" s="92"/>
      <c r="E2157" s="14"/>
      <c r="F2157" s="14"/>
      <c r="G2157" s="14"/>
      <c r="H2157" s="14"/>
      <c r="I2157" s="67"/>
      <c r="J2157" s="14"/>
      <c r="K2157" s="14"/>
      <c r="L2157" s="14"/>
      <c r="M2157" s="14"/>
    </row>
    <row r="2158" spans="1:13" x14ac:dyDescent="0.25">
      <c r="A2158" s="14"/>
      <c r="B2158" s="14"/>
      <c r="C2158" s="14"/>
      <c r="D2158" s="92"/>
      <c r="E2158" s="14"/>
      <c r="F2158" s="14"/>
      <c r="G2158" s="14"/>
      <c r="H2158" s="14"/>
      <c r="I2158" s="67"/>
      <c r="J2158" s="14"/>
      <c r="K2158" s="14"/>
      <c r="L2158" s="14"/>
      <c r="M2158" s="14"/>
    </row>
    <row r="2159" spans="1:13" x14ac:dyDescent="0.25">
      <c r="A2159" s="14"/>
      <c r="B2159" s="14"/>
      <c r="C2159" s="14"/>
      <c r="D2159" s="92"/>
      <c r="E2159" s="14"/>
      <c r="F2159" s="14"/>
      <c r="G2159" s="14"/>
      <c r="H2159" s="14"/>
      <c r="I2159" s="67"/>
      <c r="J2159" s="14"/>
      <c r="K2159" s="14"/>
      <c r="L2159" s="14"/>
      <c r="M2159" s="14"/>
    </row>
    <row r="2160" spans="1:13" x14ac:dyDescent="0.25">
      <c r="A2160" s="14"/>
      <c r="B2160" s="14"/>
      <c r="C2160" s="14"/>
      <c r="D2160" s="92"/>
      <c r="E2160" s="14"/>
      <c r="F2160" s="14"/>
      <c r="G2160" s="14"/>
      <c r="H2160" s="14"/>
      <c r="I2160" s="67"/>
      <c r="J2160" s="14"/>
      <c r="K2160" s="14"/>
      <c r="L2160" s="14"/>
      <c r="M2160" s="14"/>
    </row>
    <row r="2161" spans="1:13" x14ac:dyDescent="0.25">
      <c r="A2161" s="14"/>
      <c r="B2161" s="14"/>
      <c r="C2161" s="14"/>
      <c r="D2161" s="92"/>
      <c r="E2161" s="14"/>
      <c r="F2161" s="14"/>
      <c r="G2161" s="14"/>
      <c r="H2161" s="14"/>
      <c r="I2161" s="67"/>
      <c r="J2161" s="14"/>
      <c r="K2161" s="14"/>
      <c r="L2161" s="14"/>
      <c r="M2161" s="14"/>
    </row>
    <row r="2162" spans="1:13" x14ac:dyDescent="0.25">
      <c r="A2162" s="14"/>
      <c r="B2162" s="14"/>
      <c r="C2162" s="14"/>
      <c r="D2162" s="92"/>
      <c r="E2162" s="14"/>
      <c r="F2162" s="14"/>
      <c r="G2162" s="14"/>
      <c r="H2162" s="14"/>
      <c r="I2162" s="67"/>
      <c r="J2162" s="14"/>
      <c r="K2162" s="14"/>
      <c r="L2162" s="14"/>
      <c r="M2162" s="14"/>
    </row>
    <row r="2163" spans="1:13" x14ac:dyDescent="0.25">
      <c r="A2163" s="14"/>
      <c r="B2163" s="14"/>
      <c r="C2163" s="14"/>
      <c r="D2163" s="92"/>
      <c r="E2163" s="14"/>
      <c r="F2163" s="14"/>
      <c r="G2163" s="14"/>
      <c r="H2163" s="14"/>
      <c r="I2163" s="67"/>
      <c r="J2163" s="14"/>
      <c r="K2163" s="14"/>
      <c r="L2163" s="14"/>
      <c r="M2163" s="14"/>
    </row>
    <row r="2164" spans="1:13" x14ac:dyDescent="0.25">
      <c r="A2164" s="14"/>
      <c r="B2164" s="14"/>
      <c r="C2164" s="14"/>
      <c r="D2164" s="92"/>
      <c r="E2164" s="14"/>
      <c r="F2164" s="14"/>
      <c r="G2164" s="14"/>
      <c r="H2164" s="14"/>
      <c r="I2164" s="67"/>
      <c r="J2164" s="14"/>
      <c r="K2164" s="14"/>
      <c r="L2164" s="14"/>
      <c r="M2164" s="14"/>
    </row>
    <row r="2165" spans="1:13" x14ac:dyDescent="0.25">
      <c r="A2165" s="14"/>
      <c r="B2165" s="14"/>
      <c r="C2165" s="14"/>
      <c r="D2165" s="92"/>
      <c r="E2165" s="14"/>
      <c r="F2165" s="14"/>
      <c r="G2165" s="14"/>
      <c r="H2165" s="14"/>
      <c r="I2165" s="67"/>
      <c r="J2165" s="14"/>
      <c r="K2165" s="14"/>
      <c r="L2165" s="14"/>
      <c r="M2165" s="14"/>
    </row>
    <row r="2166" spans="1:13" x14ac:dyDescent="0.25">
      <c r="A2166" s="14"/>
      <c r="B2166" s="14"/>
      <c r="C2166" s="14"/>
      <c r="D2166" s="92"/>
      <c r="E2166" s="14"/>
      <c r="F2166" s="14"/>
      <c r="G2166" s="14"/>
      <c r="H2166" s="14"/>
      <c r="I2166" s="67"/>
      <c r="J2166" s="14"/>
      <c r="K2166" s="14"/>
      <c r="L2166" s="14"/>
      <c r="M2166" s="14"/>
    </row>
    <row r="2167" spans="1:13" x14ac:dyDescent="0.25">
      <c r="A2167" s="14"/>
      <c r="B2167" s="14"/>
      <c r="C2167" s="14"/>
      <c r="D2167" s="92"/>
      <c r="E2167" s="14"/>
      <c r="F2167" s="14"/>
      <c r="G2167" s="14"/>
      <c r="H2167" s="14"/>
      <c r="I2167" s="67"/>
      <c r="J2167" s="14"/>
      <c r="K2167" s="14"/>
      <c r="L2167" s="14"/>
      <c r="M2167" s="14"/>
    </row>
    <row r="2168" spans="1:13" x14ac:dyDescent="0.25">
      <c r="A2168" s="14"/>
      <c r="B2168" s="14"/>
      <c r="C2168" s="14"/>
      <c r="D2168" s="92"/>
      <c r="E2168" s="14"/>
      <c r="F2168" s="14"/>
      <c r="G2168" s="14"/>
      <c r="H2168" s="14"/>
      <c r="I2168" s="67"/>
      <c r="J2168" s="14"/>
      <c r="K2168" s="14"/>
      <c r="L2168" s="14"/>
      <c r="M2168" s="14"/>
    </row>
    <row r="2169" spans="1:13" x14ac:dyDescent="0.25">
      <c r="A2169" s="14"/>
      <c r="B2169" s="14"/>
      <c r="C2169" s="14"/>
      <c r="D2169" s="92"/>
      <c r="E2169" s="14"/>
      <c r="F2169" s="14"/>
      <c r="G2169" s="14"/>
      <c r="H2169" s="14"/>
      <c r="I2169" s="67"/>
      <c r="J2169" s="14"/>
      <c r="K2169" s="14"/>
      <c r="L2169" s="14"/>
      <c r="M2169" s="14"/>
    </row>
    <row r="2170" spans="1:13" x14ac:dyDescent="0.25">
      <c r="A2170" s="14"/>
      <c r="B2170" s="14"/>
      <c r="C2170" s="14"/>
      <c r="D2170" s="92"/>
      <c r="E2170" s="14"/>
      <c r="F2170" s="14"/>
      <c r="G2170" s="14"/>
      <c r="H2170" s="14"/>
      <c r="I2170" s="67"/>
      <c r="J2170" s="14"/>
      <c r="K2170" s="14"/>
      <c r="L2170" s="14"/>
      <c r="M2170" s="14"/>
    </row>
    <row r="2171" spans="1:13" x14ac:dyDescent="0.25">
      <c r="A2171" s="14"/>
      <c r="B2171" s="14"/>
      <c r="C2171" s="14"/>
      <c r="D2171" s="92"/>
      <c r="E2171" s="14"/>
      <c r="F2171" s="14"/>
      <c r="G2171" s="14"/>
      <c r="H2171" s="14"/>
      <c r="I2171" s="67"/>
      <c r="J2171" s="14"/>
      <c r="K2171" s="14"/>
      <c r="L2171" s="14"/>
      <c r="M2171" s="14"/>
    </row>
    <row r="2172" spans="1:13" x14ac:dyDescent="0.25">
      <c r="A2172" s="14"/>
      <c r="B2172" s="14"/>
      <c r="C2172" s="14"/>
      <c r="D2172" s="92"/>
      <c r="E2172" s="14"/>
      <c r="F2172" s="14"/>
      <c r="G2172" s="14"/>
      <c r="H2172" s="14"/>
      <c r="I2172" s="67"/>
      <c r="J2172" s="14"/>
      <c r="K2172" s="14"/>
      <c r="L2172" s="14"/>
      <c r="M2172" s="14"/>
    </row>
    <row r="2173" spans="1:13" x14ac:dyDescent="0.25">
      <c r="A2173" s="14"/>
      <c r="B2173" s="14"/>
      <c r="C2173" s="14"/>
      <c r="D2173" s="92"/>
      <c r="E2173" s="14"/>
      <c r="F2173" s="14"/>
      <c r="G2173" s="14"/>
      <c r="H2173" s="14"/>
      <c r="I2173" s="67"/>
      <c r="J2173" s="14"/>
      <c r="K2173" s="14"/>
      <c r="L2173" s="14"/>
      <c r="M2173" s="14"/>
    </row>
    <row r="2174" spans="1:13" x14ac:dyDescent="0.25">
      <c r="A2174" s="14"/>
      <c r="B2174" s="14"/>
      <c r="C2174" s="14"/>
      <c r="D2174" s="92"/>
      <c r="E2174" s="14"/>
      <c r="F2174" s="14"/>
      <c r="G2174" s="14"/>
      <c r="H2174" s="14"/>
      <c r="I2174" s="67"/>
      <c r="J2174" s="14"/>
      <c r="K2174" s="14"/>
      <c r="L2174" s="14"/>
      <c r="M2174" s="14"/>
    </row>
    <row r="2175" spans="1:13" x14ac:dyDescent="0.25">
      <c r="A2175" s="14"/>
      <c r="B2175" s="14"/>
      <c r="C2175" s="14"/>
      <c r="D2175" s="92"/>
      <c r="E2175" s="14"/>
      <c r="F2175" s="14"/>
      <c r="G2175" s="14"/>
      <c r="H2175" s="14"/>
      <c r="I2175" s="67"/>
      <c r="J2175" s="14"/>
      <c r="K2175" s="14"/>
      <c r="L2175" s="14"/>
      <c r="M2175" s="14"/>
    </row>
    <row r="2176" spans="1:13" x14ac:dyDescent="0.25">
      <c r="A2176" s="14"/>
      <c r="B2176" s="14"/>
      <c r="C2176" s="14"/>
      <c r="D2176" s="92"/>
      <c r="E2176" s="14"/>
      <c r="F2176" s="14"/>
      <c r="G2176" s="14"/>
      <c r="H2176" s="14"/>
      <c r="I2176" s="67"/>
      <c r="J2176" s="14"/>
      <c r="K2176" s="14"/>
      <c r="L2176" s="14"/>
      <c r="M2176" s="14"/>
    </row>
    <row r="2177" spans="1:13" x14ac:dyDescent="0.25">
      <c r="A2177" s="14"/>
      <c r="B2177" s="14"/>
      <c r="C2177" s="14"/>
      <c r="D2177" s="92"/>
      <c r="E2177" s="14"/>
      <c r="F2177" s="14"/>
      <c r="G2177" s="14"/>
      <c r="H2177" s="14"/>
      <c r="I2177" s="67"/>
      <c r="J2177" s="14"/>
      <c r="K2177" s="14"/>
      <c r="L2177" s="14"/>
      <c r="M2177" s="14"/>
    </row>
    <row r="2178" spans="1:13" x14ac:dyDescent="0.25">
      <c r="A2178" s="14"/>
      <c r="B2178" s="14"/>
      <c r="C2178" s="14"/>
      <c r="D2178" s="92"/>
      <c r="E2178" s="14"/>
      <c r="F2178" s="14"/>
      <c r="G2178" s="14"/>
      <c r="H2178" s="14"/>
      <c r="I2178" s="67"/>
      <c r="J2178" s="14"/>
      <c r="K2178" s="14"/>
      <c r="L2178" s="14"/>
      <c r="M2178" s="14"/>
    </row>
    <row r="2179" spans="1:13" x14ac:dyDescent="0.25">
      <c r="A2179" s="14"/>
      <c r="B2179" s="14"/>
      <c r="C2179" s="14"/>
      <c r="D2179" s="92"/>
      <c r="E2179" s="14"/>
      <c r="F2179" s="14"/>
      <c r="G2179" s="14"/>
      <c r="H2179" s="14"/>
      <c r="I2179" s="67"/>
      <c r="J2179" s="14"/>
      <c r="K2179" s="14"/>
      <c r="L2179" s="14"/>
      <c r="M2179" s="14"/>
    </row>
    <row r="2180" spans="1:13" x14ac:dyDescent="0.25">
      <c r="A2180" s="14"/>
      <c r="B2180" s="14"/>
      <c r="C2180" s="14"/>
      <c r="D2180" s="92"/>
      <c r="E2180" s="14"/>
      <c r="F2180" s="14"/>
      <c r="G2180" s="14"/>
      <c r="H2180" s="14"/>
      <c r="I2180" s="67"/>
      <c r="J2180" s="14"/>
      <c r="K2180" s="14"/>
      <c r="L2180" s="14"/>
      <c r="M2180" s="14"/>
    </row>
    <row r="2181" spans="1:13" x14ac:dyDescent="0.25">
      <c r="A2181" s="14"/>
      <c r="B2181" s="14"/>
      <c r="C2181" s="14"/>
      <c r="D2181" s="92"/>
      <c r="E2181" s="14"/>
      <c r="F2181" s="14"/>
      <c r="G2181" s="14"/>
      <c r="H2181" s="14"/>
      <c r="I2181" s="67"/>
      <c r="J2181" s="14"/>
      <c r="K2181" s="14"/>
      <c r="L2181" s="14"/>
      <c r="M2181" s="14"/>
    </row>
    <row r="2182" spans="1:13" x14ac:dyDescent="0.25">
      <c r="A2182" s="14"/>
      <c r="B2182" s="14"/>
      <c r="C2182" s="14"/>
      <c r="D2182" s="92"/>
      <c r="E2182" s="14"/>
      <c r="F2182" s="14"/>
      <c r="G2182" s="14"/>
      <c r="H2182" s="14"/>
      <c r="I2182" s="67"/>
      <c r="J2182" s="14"/>
      <c r="K2182" s="14"/>
      <c r="L2182" s="14"/>
      <c r="M2182" s="14"/>
    </row>
    <row r="2183" spans="1:13" x14ac:dyDescent="0.25">
      <c r="A2183" s="14"/>
      <c r="B2183" s="14"/>
      <c r="C2183" s="14"/>
      <c r="D2183" s="92"/>
      <c r="E2183" s="14"/>
      <c r="F2183" s="14"/>
      <c r="G2183" s="14"/>
      <c r="H2183" s="14"/>
      <c r="I2183" s="67"/>
      <c r="J2183" s="14"/>
      <c r="K2183" s="14"/>
      <c r="L2183" s="14"/>
      <c r="M2183" s="14"/>
    </row>
    <row r="2184" spans="1:13" x14ac:dyDescent="0.25">
      <c r="A2184" s="14"/>
      <c r="B2184" s="14"/>
      <c r="C2184" s="14"/>
      <c r="D2184" s="92"/>
      <c r="E2184" s="14"/>
      <c r="F2184" s="14"/>
      <c r="G2184" s="14"/>
      <c r="H2184" s="14"/>
      <c r="I2184" s="67"/>
      <c r="J2184" s="14"/>
      <c r="K2184" s="14"/>
      <c r="L2184" s="14"/>
      <c r="M2184" s="14"/>
    </row>
    <row r="2185" spans="1:13" x14ac:dyDescent="0.25">
      <c r="A2185" s="14"/>
      <c r="B2185" s="14"/>
      <c r="C2185" s="14"/>
      <c r="D2185" s="92"/>
      <c r="E2185" s="14"/>
      <c r="F2185" s="14"/>
      <c r="G2185" s="14"/>
      <c r="H2185" s="14"/>
      <c r="I2185" s="67"/>
      <c r="J2185" s="14"/>
      <c r="K2185" s="14"/>
      <c r="L2185" s="14"/>
      <c r="M2185" s="14"/>
    </row>
    <row r="2186" spans="1:13" x14ac:dyDescent="0.25">
      <c r="A2186" s="14"/>
      <c r="B2186" s="14"/>
      <c r="C2186" s="14"/>
      <c r="D2186" s="92"/>
      <c r="E2186" s="14"/>
      <c r="F2186" s="14"/>
      <c r="G2186" s="14"/>
      <c r="H2186" s="14"/>
      <c r="I2186" s="67"/>
      <c r="J2186" s="14"/>
      <c r="K2186" s="14"/>
      <c r="L2186" s="14"/>
      <c r="M2186" s="14"/>
    </row>
    <row r="2187" spans="1:13" x14ac:dyDescent="0.25">
      <c r="A2187" s="14"/>
      <c r="B2187" s="14"/>
      <c r="C2187" s="14"/>
      <c r="D2187" s="92"/>
      <c r="E2187" s="14"/>
      <c r="F2187" s="14"/>
      <c r="G2187" s="14"/>
      <c r="H2187" s="14"/>
      <c r="I2187" s="67"/>
      <c r="J2187" s="14"/>
      <c r="K2187" s="14"/>
      <c r="L2187" s="14"/>
      <c r="M2187" s="14"/>
    </row>
    <row r="2188" spans="1:13" x14ac:dyDescent="0.25">
      <c r="A2188" s="14"/>
      <c r="B2188" s="14"/>
      <c r="C2188" s="14"/>
      <c r="D2188" s="92"/>
      <c r="E2188" s="14"/>
      <c r="F2188" s="14"/>
      <c r="G2188" s="14"/>
      <c r="H2188" s="14"/>
      <c r="I2188" s="67"/>
      <c r="J2188" s="14"/>
      <c r="K2188" s="14"/>
      <c r="L2188" s="14"/>
      <c r="M2188" s="14"/>
    </row>
    <row r="2189" spans="1:13" x14ac:dyDescent="0.25">
      <c r="A2189" s="14"/>
      <c r="B2189" s="14"/>
      <c r="C2189" s="14"/>
      <c r="D2189" s="92"/>
      <c r="E2189" s="14"/>
      <c r="F2189" s="14"/>
      <c r="G2189" s="14"/>
      <c r="H2189" s="14"/>
      <c r="I2189" s="67"/>
      <c r="J2189" s="14"/>
      <c r="K2189" s="14"/>
      <c r="L2189" s="14"/>
      <c r="M2189" s="14"/>
    </row>
    <row r="2190" spans="1:13" x14ac:dyDescent="0.25">
      <c r="A2190" s="14"/>
      <c r="B2190" s="14"/>
      <c r="C2190" s="14"/>
      <c r="D2190" s="92"/>
      <c r="E2190" s="14"/>
      <c r="F2190" s="14"/>
      <c r="G2190" s="14"/>
      <c r="H2190" s="14"/>
      <c r="I2190" s="67"/>
      <c r="J2190" s="14"/>
      <c r="K2190" s="14"/>
      <c r="L2190" s="14"/>
      <c r="M2190" s="14"/>
    </row>
    <row r="2191" spans="1:13" x14ac:dyDescent="0.25">
      <c r="A2191" s="14"/>
      <c r="B2191" s="14"/>
      <c r="C2191" s="14"/>
      <c r="D2191" s="92"/>
      <c r="E2191" s="14"/>
      <c r="F2191" s="14"/>
      <c r="G2191" s="14"/>
      <c r="H2191" s="14"/>
      <c r="I2191" s="67"/>
      <c r="J2191" s="14"/>
      <c r="K2191" s="14"/>
      <c r="L2191" s="14"/>
      <c r="M2191" s="14"/>
    </row>
    <row r="2192" spans="1:13" x14ac:dyDescent="0.25">
      <c r="A2192" s="14"/>
      <c r="B2192" s="14"/>
      <c r="C2192" s="14"/>
      <c r="D2192" s="92"/>
      <c r="E2192" s="14"/>
      <c r="F2192" s="14"/>
      <c r="G2192" s="14"/>
      <c r="H2192" s="14"/>
      <c r="I2192" s="67"/>
      <c r="J2192" s="14"/>
      <c r="K2192" s="14"/>
      <c r="L2192" s="14"/>
      <c r="M2192" s="14"/>
    </row>
    <row r="2193" spans="1:13" x14ac:dyDescent="0.25">
      <c r="A2193" s="14"/>
      <c r="B2193" s="14"/>
      <c r="C2193" s="14"/>
      <c r="D2193" s="92"/>
      <c r="E2193" s="14"/>
      <c r="F2193" s="14"/>
      <c r="G2193" s="14"/>
      <c r="H2193" s="14"/>
      <c r="I2193" s="67"/>
      <c r="J2193" s="14"/>
      <c r="K2193" s="14"/>
      <c r="L2193" s="14"/>
      <c r="M2193" s="14"/>
    </row>
    <row r="2194" spans="1:13" x14ac:dyDescent="0.25">
      <c r="A2194" s="14"/>
      <c r="B2194" s="14"/>
      <c r="C2194" s="14"/>
      <c r="D2194" s="92"/>
      <c r="E2194" s="14"/>
      <c r="F2194" s="14"/>
      <c r="G2194" s="14"/>
      <c r="H2194" s="14"/>
      <c r="I2194" s="67"/>
      <c r="J2194" s="14"/>
      <c r="K2194" s="14"/>
      <c r="L2194" s="14"/>
      <c r="M2194" s="14"/>
    </row>
    <row r="2195" spans="1:13" x14ac:dyDescent="0.25">
      <c r="A2195" s="14"/>
      <c r="B2195" s="14"/>
      <c r="C2195" s="14"/>
      <c r="D2195" s="92"/>
      <c r="E2195" s="14"/>
      <c r="F2195" s="14"/>
      <c r="G2195" s="14"/>
      <c r="H2195" s="14"/>
      <c r="I2195" s="67"/>
      <c r="J2195" s="14"/>
      <c r="K2195" s="14"/>
      <c r="L2195" s="14"/>
      <c r="M2195" s="14"/>
    </row>
    <row r="2196" spans="1:13" x14ac:dyDescent="0.25">
      <c r="A2196" s="14"/>
      <c r="B2196" s="14"/>
      <c r="C2196" s="14"/>
      <c r="D2196" s="92"/>
      <c r="E2196" s="14"/>
      <c r="F2196" s="14"/>
      <c r="G2196" s="14"/>
      <c r="H2196" s="14"/>
      <c r="I2196" s="67"/>
      <c r="J2196" s="14"/>
      <c r="K2196" s="14"/>
      <c r="L2196" s="14"/>
      <c r="M2196" s="14"/>
    </row>
    <row r="2197" spans="1:13" x14ac:dyDescent="0.25">
      <c r="A2197" s="14"/>
      <c r="B2197" s="14"/>
      <c r="C2197" s="14"/>
      <c r="D2197" s="92"/>
      <c r="E2197" s="14"/>
      <c r="F2197" s="14"/>
      <c r="G2197" s="14"/>
      <c r="H2197" s="14"/>
      <c r="I2197" s="67"/>
      <c r="J2197" s="14"/>
      <c r="K2197" s="14"/>
      <c r="L2197" s="14"/>
      <c r="M2197" s="14"/>
    </row>
    <row r="2198" spans="1:13" x14ac:dyDescent="0.25">
      <c r="A2198" s="14"/>
      <c r="B2198" s="14"/>
      <c r="C2198" s="14"/>
      <c r="D2198" s="92"/>
      <c r="E2198" s="14"/>
      <c r="F2198" s="14"/>
      <c r="G2198" s="14"/>
      <c r="H2198" s="14"/>
      <c r="I2198" s="67"/>
      <c r="J2198" s="14"/>
      <c r="K2198" s="14"/>
      <c r="L2198" s="14"/>
      <c r="M2198" s="14"/>
    </row>
    <row r="2199" spans="1:13" x14ac:dyDescent="0.25">
      <c r="A2199" s="14"/>
      <c r="B2199" s="14"/>
      <c r="C2199" s="14"/>
      <c r="D2199" s="92"/>
      <c r="E2199" s="14"/>
      <c r="F2199" s="14"/>
      <c r="G2199" s="14"/>
      <c r="H2199" s="14"/>
      <c r="I2199" s="67"/>
      <c r="J2199" s="14"/>
      <c r="K2199" s="14"/>
      <c r="L2199" s="14"/>
      <c r="M2199" s="14"/>
    </row>
    <row r="2200" spans="1:13" x14ac:dyDescent="0.25">
      <c r="A2200" s="14"/>
      <c r="B2200" s="14"/>
      <c r="C2200" s="14"/>
      <c r="D2200" s="92"/>
      <c r="E2200" s="14"/>
      <c r="F2200" s="14"/>
      <c r="G2200" s="14"/>
      <c r="H2200" s="14"/>
      <c r="I2200" s="67"/>
      <c r="J2200" s="14"/>
      <c r="K2200" s="14"/>
      <c r="L2200" s="14"/>
      <c r="M2200" s="14"/>
    </row>
    <row r="2201" spans="1:13" x14ac:dyDescent="0.25">
      <c r="A2201" s="14"/>
      <c r="B2201" s="14"/>
      <c r="C2201" s="14"/>
      <c r="D2201" s="92"/>
      <c r="E2201" s="14"/>
      <c r="F2201" s="14"/>
      <c r="G2201" s="14"/>
      <c r="H2201" s="14"/>
      <c r="I2201" s="67"/>
      <c r="J2201" s="14"/>
      <c r="K2201" s="14"/>
      <c r="L2201" s="14"/>
      <c r="M2201" s="14"/>
    </row>
    <row r="2202" spans="1:13" x14ac:dyDescent="0.25">
      <c r="A2202" s="14"/>
      <c r="B2202" s="14"/>
      <c r="C2202" s="14"/>
      <c r="D2202" s="92"/>
      <c r="E2202" s="14"/>
      <c r="F2202" s="14"/>
      <c r="G2202" s="14"/>
      <c r="H2202" s="14"/>
      <c r="I2202" s="67"/>
      <c r="J2202" s="14"/>
      <c r="K2202" s="14"/>
      <c r="L2202" s="14"/>
      <c r="M2202" s="14"/>
    </row>
    <row r="2203" spans="1:13" x14ac:dyDescent="0.25">
      <c r="A2203" s="14"/>
      <c r="B2203" s="14"/>
      <c r="C2203" s="14"/>
      <c r="D2203" s="92"/>
      <c r="E2203" s="14"/>
      <c r="F2203" s="14"/>
      <c r="G2203" s="14"/>
      <c r="H2203" s="14"/>
      <c r="I2203" s="67"/>
      <c r="J2203" s="14"/>
      <c r="K2203" s="14"/>
      <c r="L2203" s="14"/>
      <c r="M2203" s="14"/>
    </row>
    <row r="2204" spans="1:13" x14ac:dyDescent="0.25">
      <c r="A2204" s="14"/>
      <c r="B2204" s="14"/>
      <c r="C2204" s="14"/>
      <c r="D2204" s="92"/>
      <c r="E2204" s="14"/>
      <c r="F2204" s="14"/>
      <c r="G2204" s="14"/>
      <c r="H2204" s="14"/>
      <c r="I2204" s="67"/>
      <c r="J2204" s="14"/>
      <c r="K2204" s="14"/>
      <c r="L2204" s="14"/>
      <c r="M2204" s="14"/>
    </row>
    <row r="2205" spans="1:13" x14ac:dyDescent="0.25">
      <c r="A2205" s="14"/>
      <c r="B2205" s="14"/>
      <c r="C2205" s="14"/>
      <c r="D2205" s="92"/>
      <c r="E2205" s="14"/>
      <c r="F2205" s="14"/>
      <c r="G2205" s="14"/>
      <c r="H2205" s="14"/>
      <c r="I2205" s="67"/>
      <c r="J2205" s="14"/>
      <c r="K2205" s="14"/>
      <c r="L2205" s="14"/>
      <c r="M2205" s="14"/>
    </row>
    <row r="2206" spans="1:13" x14ac:dyDescent="0.25">
      <c r="A2206" s="14"/>
      <c r="B2206" s="14"/>
      <c r="C2206" s="14"/>
      <c r="D2206" s="92"/>
      <c r="E2206" s="14"/>
      <c r="F2206" s="14"/>
      <c r="G2206" s="14"/>
      <c r="H2206" s="14"/>
      <c r="I2206" s="67"/>
      <c r="J2206" s="14"/>
      <c r="K2206" s="14"/>
      <c r="L2206" s="14"/>
      <c r="M2206" s="14"/>
    </row>
    <row r="2207" spans="1:13" x14ac:dyDescent="0.25">
      <c r="A2207" s="14"/>
      <c r="B2207" s="14"/>
      <c r="C2207" s="14"/>
      <c r="D2207" s="92"/>
      <c r="E2207" s="14"/>
      <c r="F2207" s="14"/>
      <c r="G2207" s="14"/>
      <c r="H2207" s="14"/>
      <c r="I2207" s="67"/>
      <c r="J2207" s="14"/>
      <c r="K2207" s="14"/>
      <c r="L2207" s="14"/>
      <c r="M2207" s="14"/>
    </row>
    <row r="2208" spans="1:13" x14ac:dyDescent="0.25">
      <c r="A2208" s="14"/>
      <c r="B2208" s="14"/>
      <c r="C2208" s="14"/>
      <c r="D2208" s="92"/>
      <c r="E2208" s="14"/>
      <c r="F2208" s="14"/>
      <c r="G2208" s="14"/>
      <c r="H2208" s="14"/>
      <c r="I2208" s="67"/>
      <c r="J2208" s="14"/>
      <c r="K2208" s="14"/>
      <c r="L2208" s="14"/>
      <c r="M2208" s="14"/>
    </row>
    <row r="2209" spans="1:13" x14ac:dyDescent="0.25">
      <c r="A2209" s="14"/>
      <c r="B2209" s="14"/>
      <c r="C2209" s="14"/>
      <c r="D2209" s="92"/>
      <c r="E2209" s="14"/>
      <c r="F2209" s="14"/>
      <c r="G2209" s="14"/>
      <c r="H2209" s="14"/>
      <c r="I2209" s="67"/>
      <c r="J2209" s="14"/>
      <c r="K2209" s="14"/>
      <c r="L2209" s="14"/>
      <c r="M2209" s="14"/>
    </row>
    <row r="2210" spans="1:13" x14ac:dyDescent="0.25">
      <c r="A2210" s="14"/>
      <c r="B2210" s="14"/>
      <c r="C2210" s="14"/>
      <c r="D2210" s="92"/>
      <c r="E2210" s="14"/>
      <c r="F2210" s="14"/>
      <c r="G2210" s="14"/>
      <c r="H2210" s="14"/>
      <c r="I2210" s="67"/>
      <c r="J2210" s="14"/>
      <c r="K2210" s="14"/>
      <c r="L2210" s="14"/>
      <c r="M2210" s="14"/>
    </row>
    <row r="2211" spans="1:13" x14ac:dyDescent="0.25">
      <c r="A2211" s="14"/>
      <c r="B2211" s="14"/>
      <c r="C2211" s="14"/>
      <c r="D2211" s="92"/>
      <c r="E2211" s="14"/>
      <c r="F2211" s="14"/>
      <c r="G2211" s="14"/>
      <c r="H2211" s="14"/>
      <c r="I2211" s="67"/>
      <c r="J2211" s="14"/>
      <c r="K2211" s="14"/>
      <c r="L2211" s="14"/>
      <c r="M2211" s="14"/>
    </row>
    <row r="2212" spans="1:13" x14ac:dyDescent="0.25">
      <c r="A2212" s="14"/>
      <c r="B2212" s="14"/>
      <c r="C2212" s="14"/>
      <c r="D2212" s="92"/>
      <c r="E2212" s="14"/>
      <c r="F2212" s="14"/>
      <c r="G2212" s="14"/>
      <c r="H2212" s="14"/>
      <c r="I2212" s="67"/>
      <c r="J2212" s="14"/>
      <c r="K2212" s="14"/>
      <c r="L2212" s="14"/>
      <c r="M2212" s="14"/>
    </row>
    <row r="2213" spans="1:13" x14ac:dyDescent="0.25">
      <c r="A2213" s="14"/>
      <c r="B2213" s="14"/>
      <c r="C2213" s="14"/>
      <c r="D2213" s="92"/>
      <c r="E2213" s="14"/>
      <c r="F2213" s="14"/>
      <c r="G2213" s="14"/>
      <c r="H2213" s="14"/>
      <c r="I2213" s="67"/>
      <c r="J2213" s="14"/>
      <c r="K2213" s="14"/>
      <c r="L2213" s="14"/>
      <c r="M2213" s="14"/>
    </row>
    <row r="2214" spans="1:13" x14ac:dyDescent="0.25">
      <c r="A2214" s="14"/>
      <c r="B2214" s="14"/>
      <c r="C2214" s="14"/>
      <c r="D2214" s="92"/>
      <c r="E2214" s="14"/>
      <c r="F2214" s="14"/>
      <c r="G2214" s="14"/>
      <c r="H2214" s="14"/>
      <c r="I2214" s="67"/>
      <c r="J2214" s="14"/>
      <c r="K2214" s="14"/>
      <c r="L2214" s="14"/>
      <c r="M2214" s="14"/>
    </row>
    <row r="2215" spans="1:13" x14ac:dyDescent="0.25">
      <c r="A2215" s="14"/>
      <c r="B2215" s="14"/>
      <c r="C2215" s="14"/>
      <c r="D2215" s="92"/>
      <c r="E2215" s="14"/>
      <c r="F2215" s="14"/>
      <c r="G2215" s="14"/>
      <c r="H2215" s="14"/>
      <c r="I2215" s="67"/>
      <c r="J2215" s="14"/>
      <c r="K2215" s="14"/>
      <c r="L2215" s="14"/>
      <c r="M2215" s="14"/>
    </row>
    <row r="2216" spans="1:13" x14ac:dyDescent="0.25">
      <c r="A2216" s="14"/>
      <c r="B2216" s="14"/>
      <c r="C2216" s="14"/>
      <c r="D2216" s="92"/>
      <c r="E2216" s="14"/>
      <c r="F2216" s="14"/>
      <c r="G2216" s="14"/>
      <c r="H2216" s="14"/>
      <c r="I2216" s="67"/>
      <c r="J2216" s="14"/>
      <c r="K2216" s="14"/>
      <c r="L2216" s="14"/>
      <c r="M2216" s="14"/>
    </row>
    <row r="2217" spans="1:13" x14ac:dyDescent="0.25">
      <c r="A2217" s="14"/>
      <c r="B2217" s="14"/>
      <c r="C2217" s="14"/>
      <c r="D2217" s="92"/>
      <c r="E2217" s="14"/>
      <c r="F2217" s="14"/>
      <c r="G2217" s="14"/>
      <c r="H2217" s="14"/>
      <c r="I2217" s="67"/>
      <c r="J2217" s="14"/>
      <c r="K2217" s="14"/>
      <c r="L2217" s="14"/>
      <c r="M2217" s="14"/>
    </row>
    <row r="2218" spans="1:13" x14ac:dyDescent="0.25">
      <c r="A2218" s="14"/>
      <c r="B2218" s="14"/>
      <c r="C2218" s="14"/>
      <c r="D2218" s="92"/>
      <c r="E2218" s="14"/>
      <c r="F2218" s="14"/>
      <c r="G2218" s="14"/>
      <c r="H2218" s="14"/>
      <c r="I2218" s="67"/>
      <c r="J2218" s="14"/>
      <c r="K2218" s="14"/>
      <c r="L2218" s="14"/>
      <c r="M2218" s="14"/>
    </row>
    <row r="2219" spans="1:13" x14ac:dyDescent="0.25">
      <c r="A2219" s="14"/>
      <c r="B2219" s="14"/>
      <c r="C2219" s="14"/>
      <c r="D2219" s="92"/>
      <c r="E2219" s="14"/>
      <c r="F2219" s="14"/>
      <c r="G2219" s="14"/>
      <c r="H2219" s="14"/>
      <c r="I2219" s="67"/>
      <c r="J2219" s="14"/>
      <c r="K2219" s="14"/>
      <c r="L2219" s="14"/>
      <c r="M2219" s="14"/>
    </row>
    <row r="2220" spans="1:13" x14ac:dyDescent="0.25">
      <c r="A2220" s="14"/>
      <c r="B2220" s="14"/>
      <c r="C2220" s="14"/>
      <c r="D2220" s="92"/>
      <c r="E2220" s="14"/>
      <c r="F2220" s="14"/>
      <c r="G2220" s="14"/>
      <c r="H2220" s="14"/>
      <c r="I2220" s="67"/>
      <c r="J2220" s="14"/>
      <c r="K2220" s="14"/>
      <c r="L2220" s="14"/>
      <c r="M2220" s="14"/>
    </row>
    <row r="2221" spans="1:13" x14ac:dyDescent="0.25">
      <c r="A2221" s="14"/>
      <c r="B2221" s="14"/>
      <c r="C2221" s="14"/>
      <c r="D2221" s="92"/>
      <c r="E2221" s="14"/>
      <c r="F2221" s="14"/>
      <c r="G2221" s="14"/>
      <c r="H2221" s="14"/>
      <c r="I2221" s="67"/>
      <c r="J2221" s="14"/>
      <c r="K2221" s="14"/>
      <c r="L2221" s="14"/>
      <c r="M2221" s="14"/>
    </row>
    <row r="2222" spans="1:13" x14ac:dyDescent="0.25">
      <c r="A2222" s="14"/>
      <c r="B2222" s="14"/>
      <c r="C2222" s="14"/>
      <c r="D2222" s="92"/>
      <c r="E2222" s="14"/>
      <c r="F2222" s="14"/>
      <c r="G2222" s="14"/>
      <c r="H2222" s="14"/>
      <c r="I2222" s="67"/>
      <c r="J2222" s="14"/>
      <c r="K2222" s="14"/>
      <c r="L2222" s="14"/>
      <c r="M2222" s="14"/>
    </row>
    <row r="2223" spans="1:13" x14ac:dyDescent="0.25">
      <c r="A2223" s="14"/>
      <c r="B2223" s="14"/>
      <c r="C2223" s="14"/>
      <c r="D2223" s="92"/>
      <c r="E2223" s="14"/>
      <c r="F2223" s="14"/>
      <c r="G2223" s="14"/>
      <c r="H2223" s="14"/>
      <c r="I2223" s="67"/>
      <c r="J2223" s="14"/>
      <c r="K2223" s="14"/>
      <c r="L2223" s="14"/>
      <c r="M2223" s="14"/>
    </row>
    <row r="2224" spans="1:13" x14ac:dyDescent="0.25">
      <c r="A2224" s="14"/>
      <c r="B2224" s="14"/>
      <c r="C2224" s="14"/>
      <c r="D2224" s="92"/>
      <c r="E2224" s="14"/>
      <c r="F2224" s="14"/>
      <c r="G2224" s="14"/>
      <c r="H2224" s="14"/>
      <c r="I2224" s="67"/>
      <c r="J2224" s="14"/>
      <c r="K2224" s="14"/>
      <c r="L2224" s="14"/>
      <c r="M2224" s="14"/>
    </row>
    <row r="2225" spans="1:13" x14ac:dyDescent="0.25">
      <c r="A2225" s="14"/>
      <c r="B2225" s="14"/>
      <c r="C2225" s="14"/>
      <c r="D2225" s="92"/>
      <c r="E2225" s="14"/>
      <c r="F2225" s="14"/>
      <c r="G2225" s="14"/>
      <c r="H2225" s="14"/>
      <c r="I2225" s="67"/>
      <c r="J2225" s="14"/>
      <c r="K2225" s="14"/>
      <c r="L2225" s="14"/>
      <c r="M2225" s="14"/>
    </row>
    <row r="2226" spans="1:13" x14ac:dyDescent="0.25">
      <c r="A2226" s="14"/>
      <c r="B2226" s="14"/>
      <c r="C2226" s="14"/>
      <c r="D2226" s="92"/>
      <c r="E2226" s="14"/>
      <c r="F2226" s="14"/>
      <c r="G2226" s="14"/>
      <c r="H2226" s="14"/>
      <c r="I2226" s="67"/>
      <c r="J2226" s="14"/>
      <c r="K2226" s="14"/>
      <c r="L2226" s="14"/>
      <c r="M2226" s="14"/>
    </row>
    <row r="2227" spans="1:13" x14ac:dyDescent="0.25">
      <c r="A2227" s="14"/>
      <c r="B2227" s="14"/>
      <c r="C2227" s="14"/>
      <c r="D2227" s="92"/>
      <c r="E2227" s="14"/>
      <c r="F2227" s="14"/>
      <c r="G2227" s="14"/>
      <c r="H2227" s="14"/>
      <c r="I2227" s="67"/>
      <c r="J2227" s="14"/>
      <c r="K2227" s="14"/>
      <c r="L2227" s="14"/>
      <c r="M2227" s="14"/>
    </row>
    <row r="2228" spans="1:13" x14ac:dyDescent="0.25">
      <c r="A2228" s="14"/>
      <c r="B2228" s="14"/>
      <c r="C2228" s="14"/>
      <c r="D2228" s="92"/>
      <c r="E2228" s="14"/>
      <c r="F2228" s="14"/>
      <c r="G2228" s="14"/>
      <c r="H2228" s="14"/>
      <c r="I2228" s="67"/>
      <c r="J2228" s="14"/>
      <c r="K2228" s="14"/>
      <c r="L2228" s="14"/>
      <c r="M2228" s="14"/>
    </row>
    <row r="2229" spans="1:13" x14ac:dyDescent="0.25">
      <c r="A2229" s="14"/>
      <c r="B2229" s="14"/>
      <c r="C2229" s="14"/>
      <c r="D2229" s="92"/>
      <c r="E2229" s="14"/>
      <c r="F2229" s="14"/>
      <c r="G2229" s="14"/>
      <c r="H2229" s="14"/>
      <c r="I2229" s="67"/>
      <c r="J2229" s="14"/>
      <c r="K2229" s="14"/>
      <c r="L2229" s="14"/>
      <c r="M2229" s="14"/>
    </row>
    <row r="2230" spans="1:13" x14ac:dyDescent="0.25">
      <c r="A2230" s="14"/>
      <c r="B2230" s="14"/>
      <c r="C2230" s="14"/>
      <c r="D2230" s="92"/>
      <c r="E2230" s="14"/>
      <c r="F2230" s="14"/>
      <c r="G2230" s="14"/>
      <c r="H2230" s="14"/>
      <c r="I2230" s="67"/>
      <c r="J2230" s="14"/>
      <c r="K2230" s="14"/>
      <c r="L2230" s="14"/>
      <c r="M2230" s="14"/>
    </row>
    <row r="2231" spans="1:13" x14ac:dyDescent="0.25">
      <c r="A2231" s="14"/>
      <c r="B2231" s="14"/>
      <c r="C2231" s="14"/>
      <c r="D2231" s="92"/>
      <c r="E2231" s="14"/>
      <c r="F2231" s="14"/>
      <c r="G2231" s="14"/>
      <c r="H2231" s="14"/>
      <c r="I2231" s="67"/>
      <c r="J2231" s="14"/>
      <c r="K2231" s="14"/>
      <c r="L2231" s="14"/>
      <c r="M2231" s="14"/>
    </row>
    <row r="2232" spans="1:13" x14ac:dyDescent="0.25">
      <c r="A2232" s="14"/>
      <c r="B2232" s="14"/>
      <c r="C2232" s="14"/>
      <c r="D2232" s="92"/>
      <c r="E2232" s="14"/>
      <c r="F2232" s="14"/>
      <c r="G2232" s="14"/>
      <c r="H2232" s="14"/>
      <c r="I2232" s="67"/>
      <c r="J2232" s="14"/>
      <c r="K2232" s="14"/>
      <c r="L2232" s="14"/>
      <c r="M2232" s="14"/>
    </row>
    <row r="2233" spans="1:13" x14ac:dyDescent="0.25">
      <c r="A2233" s="14"/>
      <c r="B2233" s="14"/>
      <c r="C2233" s="14"/>
      <c r="D2233" s="92"/>
      <c r="E2233" s="14"/>
      <c r="F2233" s="14"/>
      <c r="G2233" s="14"/>
      <c r="H2233" s="14"/>
      <c r="I2233" s="67"/>
      <c r="J2233" s="14"/>
      <c r="K2233" s="14"/>
      <c r="L2233" s="14"/>
      <c r="M2233" s="14"/>
    </row>
    <row r="2234" spans="1:13" x14ac:dyDescent="0.25">
      <c r="A2234" s="14"/>
      <c r="B2234" s="14"/>
      <c r="C2234" s="14"/>
      <c r="D2234" s="92"/>
      <c r="E2234" s="14"/>
      <c r="F2234" s="14"/>
      <c r="G2234" s="14"/>
      <c r="H2234" s="14"/>
      <c r="I2234" s="67"/>
      <c r="J2234" s="14"/>
      <c r="K2234" s="14"/>
      <c r="L2234" s="14"/>
      <c r="M2234" s="14"/>
    </row>
    <row r="2235" spans="1:13" x14ac:dyDescent="0.25">
      <c r="A2235" s="14"/>
      <c r="B2235" s="14"/>
      <c r="C2235" s="14"/>
      <c r="D2235" s="92"/>
      <c r="E2235" s="14"/>
      <c r="F2235" s="14"/>
      <c r="G2235" s="14"/>
      <c r="H2235" s="14"/>
      <c r="I2235" s="67"/>
      <c r="J2235" s="14"/>
      <c r="K2235" s="14"/>
      <c r="L2235" s="14"/>
      <c r="M2235" s="14"/>
    </row>
    <row r="2236" spans="1:13" x14ac:dyDescent="0.25">
      <c r="A2236" s="14"/>
      <c r="B2236" s="14"/>
      <c r="C2236" s="14"/>
      <c r="D2236" s="92"/>
      <c r="E2236" s="14"/>
      <c r="F2236" s="14"/>
      <c r="G2236" s="14"/>
      <c r="H2236" s="14"/>
      <c r="I2236" s="67"/>
      <c r="J2236" s="14"/>
      <c r="K2236" s="14"/>
      <c r="L2236" s="14"/>
      <c r="M2236" s="14"/>
    </row>
    <row r="2237" spans="1:13" x14ac:dyDescent="0.25">
      <c r="A2237" s="14"/>
      <c r="B2237" s="14"/>
      <c r="C2237" s="14"/>
      <c r="D2237" s="92"/>
      <c r="E2237" s="14"/>
      <c r="F2237" s="14"/>
      <c r="G2237" s="14"/>
      <c r="H2237" s="14"/>
      <c r="I2237" s="67"/>
      <c r="J2237" s="14"/>
      <c r="K2237" s="14"/>
      <c r="L2237" s="14"/>
      <c r="M2237" s="14"/>
    </row>
    <row r="2238" spans="1:13" x14ac:dyDescent="0.25">
      <c r="A2238" s="14"/>
      <c r="B2238" s="14"/>
      <c r="C2238" s="14"/>
      <c r="D2238" s="92"/>
      <c r="E2238" s="14"/>
      <c r="F2238" s="14"/>
      <c r="G2238" s="14"/>
      <c r="H2238" s="14"/>
      <c r="I2238" s="67"/>
      <c r="J2238" s="14"/>
      <c r="K2238" s="14"/>
      <c r="L2238" s="14"/>
      <c r="M2238" s="14"/>
    </row>
    <row r="2239" spans="1:13" x14ac:dyDescent="0.25">
      <c r="A2239" s="14"/>
      <c r="B2239" s="14"/>
      <c r="C2239" s="14"/>
      <c r="D2239" s="92"/>
      <c r="E2239" s="14"/>
      <c r="F2239" s="14"/>
      <c r="G2239" s="14"/>
      <c r="H2239" s="14"/>
      <c r="I2239" s="67"/>
      <c r="J2239" s="14"/>
      <c r="K2239" s="14"/>
      <c r="L2239" s="14"/>
      <c r="M2239" s="14"/>
    </row>
    <row r="2240" spans="1:13" x14ac:dyDescent="0.25">
      <c r="A2240" s="14"/>
      <c r="B2240" s="14"/>
      <c r="C2240" s="14"/>
      <c r="D2240" s="92"/>
      <c r="E2240" s="14"/>
      <c r="F2240" s="14"/>
      <c r="G2240" s="14"/>
      <c r="H2240" s="14"/>
      <c r="I2240" s="67"/>
      <c r="J2240" s="14"/>
      <c r="K2240" s="14"/>
      <c r="L2240" s="14"/>
      <c r="M2240" s="14"/>
    </row>
    <row r="2241" spans="1:13" x14ac:dyDescent="0.25">
      <c r="A2241" s="14"/>
      <c r="B2241" s="14"/>
      <c r="C2241" s="14"/>
      <c r="D2241" s="92"/>
      <c r="E2241" s="14"/>
      <c r="F2241" s="14"/>
      <c r="G2241" s="14"/>
      <c r="H2241" s="14"/>
      <c r="I2241" s="67"/>
      <c r="J2241" s="14"/>
      <c r="K2241" s="14"/>
      <c r="L2241" s="14"/>
      <c r="M2241" s="14"/>
    </row>
    <row r="2242" spans="1:13" x14ac:dyDescent="0.25">
      <c r="A2242" s="14"/>
      <c r="B2242" s="14"/>
      <c r="C2242" s="14"/>
      <c r="D2242" s="92"/>
      <c r="E2242" s="14"/>
      <c r="F2242" s="14"/>
      <c r="G2242" s="14"/>
      <c r="H2242" s="14"/>
      <c r="I2242" s="67"/>
      <c r="J2242" s="14"/>
      <c r="K2242" s="14"/>
      <c r="L2242" s="14"/>
      <c r="M2242" s="14"/>
    </row>
    <row r="2243" spans="1:13" x14ac:dyDescent="0.25">
      <c r="A2243" s="14"/>
      <c r="B2243" s="14"/>
      <c r="C2243" s="14"/>
      <c r="D2243" s="92"/>
      <c r="E2243" s="14"/>
      <c r="F2243" s="14"/>
      <c r="G2243" s="14"/>
      <c r="H2243" s="14"/>
      <c r="I2243" s="67"/>
      <c r="J2243" s="14"/>
      <c r="K2243" s="14"/>
      <c r="L2243" s="14"/>
      <c r="M2243" s="14"/>
    </row>
    <row r="2244" spans="1:13" x14ac:dyDescent="0.25">
      <c r="A2244" s="14"/>
      <c r="B2244" s="14"/>
      <c r="C2244" s="14"/>
      <c r="D2244" s="92"/>
      <c r="E2244" s="14"/>
      <c r="F2244" s="14"/>
      <c r="G2244" s="14"/>
      <c r="H2244" s="14"/>
      <c r="I2244" s="67"/>
      <c r="J2244" s="14"/>
      <c r="K2244" s="14"/>
      <c r="L2244" s="14"/>
      <c r="M2244" s="14"/>
    </row>
    <row r="2245" spans="1:13" x14ac:dyDescent="0.25">
      <c r="A2245" s="14"/>
      <c r="B2245" s="14"/>
      <c r="C2245" s="14"/>
      <c r="D2245" s="92"/>
      <c r="E2245" s="14"/>
      <c r="F2245" s="14"/>
      <c r="G2245" s="14"/>
      <c r="H2245" s="14"/>
      <c r="I2245" s="67"/>
      <c r="J2245" s="14"/>
      <c r="K2245" s="14"/>
      <c r="L2245" s="14"/>
      <c r="M2245" s="14"/>
    </row>
    <row r="2246" spans="1:13" x14ac:dyDescent="0.25">
      <c r="A2246" s="14"/>
      <c r="B2246" s="14"/>
      <c r="C2246" s="14"/>
      <c r="D2246" s="92"/>
      <c r="E2246" s="14"/>
      <c r="F2246" s="14"/>
      <c r="G2246" s="14"/>
      <c r="H2246" s="14"/>
      <c r="I2246" s="67"/>
      <c r="J2246" s="14"/>
      <c r="K2246" s="14"/>
      <c r="L2246" s="14"/>
      <c r="M2246" s="14"/>
    </row>
    <row r="2247" spans="1:13" x14ac:dyDescent="0.25">
      <c r="A2247" s="14"/>
      <c r="B2247" s="14"/>
      <c r="C2247" s="14"/>
      <c r="D2247" s="92"/>
      <c r="E2247" s="14"/>
      <c r="F2247" s="14"/>
      <c r="G2247" s="14"/>
      <c r="H2247" s="14"/>
      <c r="I2247" s="67"/>
      <c r="J2247" s="14"/>
      <c r="K2247" s="14"/>
      <c r="L2247" s="14"/>
      <c r="M2247" s="14"/>
    </row>
    <row r="2248" spans="1:13" x14ac:dyDescent="0.25">
      <c r="A2248" s="14"/>
      <c r="B2248" s="14"/>
      <c r="C2248" s="14"/>
      <c r="D2248" s="92"/>
      <c r="E2248" s="14"/>
      <c r="F2248" s="14"/>
      <c r="G2248" s="14"/>
      <c r="H2248" s="14"/>
      <c r="I2248" s="67"/>
      <c r="J2248" s="14"/>
      <c r="K2248" s="14"/>
      <c r="L2248" s="14"/>
      <c r="M2248" s="14"/>
    </row>
    <row r="2249" spans="1:13" x14ac:dyDescent="0.25">
      <c r="A2249" s="14"/>
      <c r="B2249" s="14"/>
      <c r="C2249" s="14"/>
      <c r="D2249" s="92"/>
      <c r="E2249" s="14"/>
      <c r="F2249" s="14"/>
      <c r="G2249" s="14"/>
      <c r="H2249" s="14"/>
      <c r="I2249" s="67"/>
      <c r="J2249" s="14"/>
      <c r="K2249" s="14"/>
      <c r="L2249" s="14"/>
      <c r="M2249" s="14"/>
    </row>
    <row r="2250" spans="1:13" x14ac:dyDescent="0.25">
      <c r="A2250" s="14"/>
      <c r="B2250" s="14"/>
      <c r="C2250" s="14"/>
      <c r="D2250" s="92"/>
      <c r="E2250" s="14"/>
      <c r="F2250" s="14"/>
      <c r="G2250" s="14"/>
      <c r="H2250" s="14"/>
      <c r="I2250" s="67"/>
      <c r="J2250" s="14"/>
      <c r="K2250" s="14"/>
      <c r="L2250" s="14"/>
      <c r="M2250" s="14"/>
    </row>
    <row r="2251" spans="1:13" x14ac:dyDescent="0.25">
      <c r="A2251" s="14"/>
      <c r="B2251" s="14"/>
      <c r="C2251" s="14"/>
      <c r="D2251" s="92"/>
      <c r="E2251" s="14"/>
      <c r="F2251" s="14"/>
      <c r="G2251" s="14"/>
      <c r="H2251" s="14"/>
      <c r="I2251" s="67"/>
      <c r="J2251" s="14"/>
      <c r="K2251" s="14"/>
      <c r="L2251" s="14"/>
      <c r="M2251" s="14"/>
    </row>
    <row r="2252" spans="1:13" x14ac:dyDescent="0.25">
      <c r="A2252" s="14"/>
      <c r="B2252" s="14"/>
      <c r="C2252" s="14"/>
      <c r="D2252" s="92"/>
      <c r="E2252" s="14"/>
      <c r="F2252" s="14"/>
      <c r="G2252" s="14"/>
      <c r="H2252" s="14"/>
      <c r="I2252" s="67"/>
      <c r="J2252" s="14"/>
      <c r="K2252" s="14"/>
      <c r="L2252" s="14"/>
      <c r="M2252" s="14"/>
    </row>
    <row r="2253" spans="1:13" x14ac:dyDescent="0.25">
      <c r="A2253" s="14"/>
      <c r="B2253" s="14"/>
      <c r="C2253" s="14"/>
      <c r="D2253" s="92"/>
      <c r="E2253" s="14"/>
      <c r="F2253" s="14"/>
      <c r="G2253" s="14"/>
      <c r="H2253" s="14"/>
      <c r="I2253" s="67"/>
      <c r="J2253" s="14"/>
      <c r="K2253" s="14"/>
      <c r="L2253" s="14"/>
      <c r="M2253" s="14"/>
    </row>
    <row r="2254" spans="1:13" x14ac:dyDescent="0.25">
      <c r="A2254" s="14"/>
      <c r="B2254" s="14"/>
      <c r="C2254" s="14"/>
      <c r="D2254" s="92"/>
      <c r="E2254" s="14"/>
      <c r="F2254" s="14"/>
      <c r="G2254" s="14"/>
      <c r="H2254" s="14"/>
      <c r="I2254" s="67"/>
      <c r="J2254" s="14"/>
      <c r="K2254" s="14"/>
      <c r="L2254" s="14"/>
      <c r="M2254" s="14"/>
    </row>
    <row r="2255" spans="1:13" x14ac:dyDescent="0.25">
      <c r="A2255" s="14"/>
      <c r="B2255" s="14"/>
      <c r="C2255" s="14"/>
      <c r="D2255" s="92"/>
      <c r="E2255" s="14"/>
      <c r="F2255" s="14"/>
      <c r="G2255" s="14"/>
      <c r="H2255" s="14"/>
      <c r="I2255" s="67"/>
      <c r="J2255" s="14"/>
      <c r="K2255" s="14"/>
      <c r="L2255" s="14"/>
      <c r="M2255" s="14"/>
    </row>
    <row r="2256" spans="1:13" x14ac:dyDescent="0.25">
      <c r="A2256" s="14"/>
      <c r="B2256" s="14"/>
      <c r="C2256" s="14"/>
      <c r="D2256" s="92"/>
      <c r="E2256" s="14"/>
      <c r="F2256" s="14"/>
      <c r="G2256" s="14"/>
      <c r="H2256" s="14"/>
      <c r="I2256" s="67"/>
      <c r="J2256" s="14"/>
      <c r="K2256" s="14"/>
      <c r="L2256" s="14"/>
      <c r="M2256" s="14"/>
    </row>
    <row r="2257" spans="1:13" x14ac:dyDescent="0.25">
      <c r="A2257" s="14"/>
      <c r="B2257" s="14"/>
      <c r="C2257" s="14"/>
      <c r="D2257" s="92"/>
      <c r="E2257" s="14"/>
      <c r="F2257" s="14"/>
      <c r="G2257" s="14"/>
      <c r="H2257" s="14"/>
      <c r="I2257" s="67"/>
      <c r="J2257" s="14"/>
      <c r="K2257" s="14"/>
      <c r="L2257" s="14"/>
      <c r="M2257" s="14"/>
    </row>
    <row r="2258" spans="1:13" x14ac:dyDescent="0.25">
      <c r="A2258" s="14"/>
      <c r="B2258" s="14"/>
      <c r="C2258" s="14"/>
      <c r="D2258" s="92"/>
      <c r="E2258" s="14"/>
      <c r="F2258" s="14"/>
      <c r="G2258" s="14"/>
      <c r="H2258" s="14"/>
      <c r="I2258" s="67"/>
      <c r="J2258" s="14"/>
      <c r="K2258" s="14"/>
      <c r="L2258" s="14"/>
      <c r="M2258" s="14"/>
    </row>
    <row r="2259" spans="1:13" x14ac:dyDescent="0.25">
      <c r="A2259" s="14"/>
      <c r="B2259" s="14"/>
      <c r="C2259" s="14"/>
      <c r="D2259" s="92"/>
      <c r="E2259" s="14"/>
      <c r="F2259" s="14"/>
      <c r="G2259" s="14"/>
      <c r="H2259" s="14"/>
      <c r="I2259" s="67"/>
      <c r="J2259" s="14"/>
      <c r="K2259" s="14"/>
      <c r="L2259" s="14"/>
      <c r="M2259" s="14"/>
    </row>
    <row r="2260" spans="1:13" x14ac:dyDescent="0.25">
      <c r="A2260" s="14"/>
      <c r="B2260" s="14"/>
      <c r="C2260" s="14"/>
      <c r="D2260" s="92"/>
      <c r="E2260" s="14"/>
      <c r="F2260" s="14"/>
      <c r="G2260" s="14"/>
      <c r="H2260" s="14"/>
      <c r="I2260" s="67"/>
      <c r="J2260" s="14"/>
      <c r="K2260" s="14"/>
      <c r="L2260" s="14"/>
      <c r="M2260" s="14"/>
    </row>
    <row r="2261" spans="1:13" x14ac:dyDescent="0.25">
      <c r="A2261" s="14"/>
      <c r="B2261" s="14"/>
      <c r="C2261" s="14"/>
      <c r="D2261" s="92"/>
      <c r="E2261" s="14"/>
      <c r="F2261" s="14"/>
      <c r="G2261" s="14"/>
      <c r="H2261" s="14"/>
      <c r="I2261" s="67"/>
      <c r="J2261" s="14"/>
      <c r="K2261" s="14"/>
      <c r="L2261" s="14"/>
      <c r="M2261" s="14"/>
    </row>
    <row r="2262" spans="1:13" x14ac:dyDescent="0.25">
      <c r="A2262" s="14"/>
      <c r="B2262" s="14"/>
      <c r="C2262" s="14"/>
      <c r="D2262" s="92"/>
      <c r="E2262" s="14"/>
      <c r="F2262" s="14"/>
      <c r="G2262" s="14"/>
      <c r="H2262" s="14"/>
      <c r="I2262" s="67"/>
      <c r="J2262" s="14"/>
      <c r="K2262" s="14"/>
      <c r="L2262" s="14"/>
      <c r="M2262" s="14"/>
    </row>
    <row r="2263" spans="1:13" x14ac:dyDescent="0.25">
      <c r="A2263" s="14"/>
      <c r="B2263" s="14"/>
      <c r="C2263" s="14"/>
      <c r="D2263" s="92"/>
      <c r="E2263" s="14"/>
      <c r="F2263" s="14"/>
      <c r="G2263" s="14"/>
      <c r="H2263" s="14"/>
      <c r="I2263" s="67"/>
      <c r="J2263" s="14"/>
      <c r="K2263" s="14"/>
      <c r="L2263" s="14"/>
      <c r="M2263" s="14"/>
    </row>
    <row r="2264" spans="1:13" x14ac:dyDescent="0.25">
      <c r="A2264" s="14"/>
      <c r="B2264" s="14"/>
      <c r="C2264" s="14"/>
      <c r="D2264" s="92"/>
      <c r="E2264" s="14"/>
      <c r="F2264" s="14"/>
      <c r="G2264" s="14"/>
      <c r="H2264" s="14"/>
      <c r="I2264" s="67"/>
      <c r="J2264" s="14"/>
      <c r="K2264" s="14"/>
      <c r="L2264" s="14"/>
      <c r="M2264" s="14"/>
    </row>
    <row r="2265" spans="1:13" x14ac:dyDescent="0.25">
      <c r="A2265" s="14"/>
      <c r="B2265" s="14"/>
      <c r="C2265" s="14"/>
      <c r="D2265" s="92"/>
      <c r="E2265" s="14"/>
      <c r="F2265" s="14"/>
      <c r="G2265" s="14"/>
      <c r="H2265" s="14"/>
      <c r="I2265" s="67"/>
      <c r="J2265" s="14"/>
      <c r="K2265" s="14"/>
      <c r="L2265" s="14"/>
      <c r="M2265" s="14"/>
    </row>
    <row r="2266" spans="1:13" x14ac:dyDescent="0.25">
      <c r="A2266" s="14"/>
      <c r="B2266" s="14"/>
      <c r="C2266" s="14"/>
      <c r="D2266" s="92"/>
      <c r="E2266" s="14"/>
      <c r="F2266" s="14"/>
      <c r="G2266" s="14"/>
      <c r="H2266" s="14"/>
      <c r="I2266" s="67"/>
      <c r="J2266" s="14"/>
      <c r="K2266" s="14"/>
      <c r="L2266" s="14"/>
      <c r="M2266" s="14"/>
    </row>
    <row r="2267" spans="1:13" x14ac:dyDescent="0.25">
      <c r="A2267" s="14"/>
      <c r="B2267" s="14"/>
      <c r="C2267" s="14"/>
      <c r="D2267" s="92"/>
      <c r="E2267" s="14"/>
      <c r="F2267" s="14"/>
      <c r="G2267" s="14"/>
      <c r="H2267" s="14"/>
      <c r="I2267" s="67"/>
      <c r="J2267" s="14"/>
      <c r="K2267" s="14"/>
      <c r="L2267" s="14"/>
      <c r="M2267" s="14"/>
    </row>
    <row r="2268" spans="1:13" x14ac:dyDescent="0.25">
      <c r="A2268" s="14"/>
      <c r="B2268" s="14"/>
      <c r="C2268" s="14"/>
      <c r="D2268" s="92"/>
      <c r="E2268" s="14"/>
      <c r="F2268" s="14"/>
      <c r="G2268" s="14"/>
      <c r="H2268" s="14"/>
      <c r="I2268" s="67"/>
      <c r="J2268" s="14"/>
      <c r="K2268" s="14"/>
      <c r="L2268" s="14"/>
      <c r="M2268" s="14"/>
    </row>
    <row r="2269" spans="1:13" x14ac:dyDescent="0.25">
      <c r="A2269" s="14"/>
      <c r="B2269" s="14"/>
      <c r="C2269" s="14"/>
      <c r="D2269" s="92"/>
      <c r="E2269" s="14"/>
      <c r="F2269" s="14"/>
      <c r="G2269" s="14"/>
      <c r="H2269" s="14"/>
      <c r="I2269" s="67"/>
      <c r="J2269" s="14"/>
      <c r="K2269" s="14"/>
      <c r="L2269" s="14"/>
      <c r="M2269" s="14"/>
    </row>
    <row r="2270" spans="1:13" x14ac:dyDescent="0.25">
      <c r="A2270" s="14"/>
      <c r="B2270" s="14"/>
      <c r="C2270" s="14"/>
      <c r="D2270" s="92"/>
      <c r="E2270" s="14"/>
      <c r="F2270" s="14"/>
      <c r="G2270" s="14"/>
      <c r="H2270" s="14"/>
      <c r="I2270" s="67"/>
      <c r="J2270" s="14"/>
      <c r="K2270" s="14"/>
      <c r="L2270" s="14"/>
      <c r="M2270" s="14"/>
    </row>
    <row r="2271" spans="1:13" x14ac:dyDescent="0.25">
      <c r="A2271" s="14"/>
      <c r="B2271" s="14"/>
      <c r="C2271" s="14"/>
      <c r="D2271" s="92"/>
      <c r="E2271" s="14"/>
      <c r="F2271" s="14"/>
      <c r="G2271" s="14"/>
      <c r="H2271" s="14"/>
      <c r="I2271" s="67"/>
      <c r="J2271" s="14"/>
      <c r="K2271" s="14"/>
      <c r="L2271" s="14"/>
      <c r="M2271" s="14"/>
    </row>
    <row r="2272" spans="1:13" x14ac:dyDescent="0.25">
      <c r="A2272" s="14"/>
      <c r="B2272" s="14"/>
      <c r="C2272" s="14"/>
      <c r="D2272" s="92"/>
      <c r="E2272" s="14"/>
      <c r="F2272" s="14"/>
      <c r="G2272" s="14"/>
      <c r="H2272" s="14"/>
      <c r="I2272" s="67"/>
      <c r="J2272" s="14"/>
      <c r="K2272" s="14"/>
      <c r="L2272" s="14"/>
      <c r="M2272" s="14"/>
    </row>
    <row r="2273" spans="1:13" x14ac:dyDescent="0.25">
      <c r="A2273" s="14"/>
      <c r="B2273" s="14"/>
      <c r="C2273" s="14"/>
      <c r="D2273" s="92"/>
      <c r="E2273" s="14"/>
      <c r="F2273" s="14"/>
      <c r="G2273" s="14"/>
      <c r="H2273" s="14"/>
      <c r="I2273" s="67"/>
      <c r="J2273" s="14"/>
      <c r="K2273" s="14"/>
      <c r="L2273" s="14"/>
      <c r="M2273" s="14"/>
    </row>
    <row r="2274" spans="1:13" x14ac:dyDescent="0.25">
      <c r="A2274" s="14"/>
      <c r="B2274" s="14"/>
      <c r="C2274" s="14"/>
      <c r="D2274" s="92"/>
      <c r="E2274" s="14"/>
      <c r="F2274" s="14"/>
      <c r="G2274" s="14"/>
      <c r="H2274" s="14"/>
      <c r="I2274" s="67"/>
      <c r="J2274" s="14"/>
      <c r="K2274" s="14"/>
      <c r="L2274" s="14"/>
      <c r="M2274" s="14"/>
    </row>
    <row r="2275" spans="1:13" x14ac:dyDescent="0.25">
      <c r="A2275" s="14"/>
      <c r="B2275" s="14"/>
      <c r="C2275" s="14"/>
      <c r="D2275" s="92"/>
      <c r="E2275" s="14"/>
      <c r="F2275" s="14"/>
      <c r="G2275" s="14"/>
      <c r="H2275" s="14"/>
      <c r="I2275" s="67"/>
      <c r="J2275" s="14"/>
      <c r="K2275" s="14"/>
      <c r="L2275" s="14"/>
      <c r="M2275" s="14"/>
    </row>
    <row r="2276" spans="1:13" x14ac:dyDescent="0.25">
      <c r="A2276" s="14"/>
      <c r="B2276" s="14"/>
      <c r="C2276" s="14"/>
      <c r="D2276" s="92"/>
      <c r="E2276" s="14"/>
      <c r="F2276" s="14"/>
      <c r="G2276" s="14"/>
      <c r="H2276" s="14"/>
      <c r="I2276" s="67"/>
      <c r="J2276" s="14"/>
      <c r="K2276" s="14"/>
      <c r="L2276" s="14"/>
      <c r="M2276" s="14"/>
    </row>
    <row r="2277" spans="1:13" x14ac:dyDescent="0.25">
      <c r="A2277" s="14"/>
      <c r="B2277" s="14"/>
      <c r="C2277" s="14"/>
      <c r="D2277" s="92"/>
      <c r="E2277" s="14"/>
      <c r="F2277" s="14"/>
      <c r="G2277" s="14"/>
      <c r="H2277" s="14"/>
      <c r="I2277" s="67"/>
      <c r="J2277" s="14"/>
      <c r="K2277" s="14"/>
      <c r="L2277" s="14"/>
      <c r="M2277" s="14"/>
    </row>
    <row r="2278" spans="1:13" x14ac:dyDescent="0.25">
      <c r="A2278" s="14"/>
      <c r="B2278" s="14"/>
      <c r="C2278" s="14"/>
      <c r="D2278" s="92"/>
      <c r="E2278" s="14"/>
      <c r="F2278" s="14"/>
      <c r="G2278" s="14"/>
      <c r="H2278" s="14"/>
      <c r="I2278" s="67"/>
      <c r="J2278" s="14"/>
      <c r="K2278" s="14"/>
      <c r="L2278" s="14"/>
      <c r="M2278" s="14"/>
    </row>
    <row r="2279" spans="1:13" x14ac:dyDescent="0.25">
      <c r="A2279" s="14"/>
      <c r="B2279" s="14"/>
      <c r="C2279" s="14"/>
      <c r="D2279" s="92"/>
      <c r="E2279" s="14"/>
      <c r="F2279" s="14"/>
      <c r="G2279" s="14"/>
      <c r="H2279" s="14"/>
      <c r="I2279" s="67"/>
      <c r="J2279" s="14"/>
      <c r="K2279" s="14"/>
      <c r="L2279" s="14"/>
      <c r="M2279" s="14"/>
    </row>
    <row r="2280" spans="1:13" x14ac:dyDescent="0.25">
      <c r="A2280" s="14"/>
      <c r="B2280" s="14"/>
      <c r="C2280" s="14"/>
      <c r="D2280" s="92"/>
      <c r="E2280" s="14"/>
      <c r="F2280" s="14"/>
      <c r="G2280" s="14"/>
      <c r="H2280" s="14"/>
      <c r="I2280" s="67"/>
      <c r="J2280" s="14"/>
      <c r="K2280" s="14"/>
      <c r="L2280" s="14"/>
      <c r="M2280" s="14"/>
    </row>
    <row r="2281" spans="1:13" x14ac:dyDescent="0.25">
      <c r="A2281" s="14"/>
      <c r="B2281" s="14"/>
      <c r="C2281" s="14"/>
      <c r="D2281" s="92"/>
      <c r="E2281" s="14"/>
      <c r="F2281" s="14"/>
      <c r="G2281" s="14"/>
      <c r="H2281" s="14"/>
      <c r="I2281" s="67"/>
      <c r="J2281" s="14"/>
      <c r="K2281" s="14"/>
      <c r="L2281" s="14"/>
      <c r="M2281" s="14"/>
    </row>
    <row r="2282" spans="1:13" x14ac:dyDescent="0.25">
      <c r="A2282" s="14"/>
      <c r="B2282" s="14"/>
      <c r="C2282" s="14"/>
      <c r="D2282" s="92"/>
      <c r="E2282" s="14"/>
      <c r="F2282" s="14"/>
      <c r="G2282" s="14"/>
      <c r="H2282" s="14"/>
      <c r="I2282" s="67"/>
      <c r="J2282" s="14"/>
      <c r="K2282" s="14"/>
      <c r="L2282" s="14"/>
      <c r="M2282" s="14"/>
    </row>
    <row r="2283" spans="1:13" x14ac:dyDescent="0.25">
      <c r="A2283" s="14"/>
      <c r="B2283" s="14"/>
      <c r="C2283" s="14"/>
      <c r="D2283" s="92"/>
      <c r="E2283" s="14"/>
      <c r="F2283" s="14"/>
      <c r="G2283" s="14"/>
      <c r="H2283" s="14"/>
      <c r="I2283" s="67"/>
      <c r="J2283" s="14"/>
      <c r="K2283" s="14"/>
      <c r="L2283" s="14"/>
      <c r="M2283" s="14"/>
    </row>
    <row r="2284" spans="1:13" x14ac:dyDescent="0.25">
      <c r="A2284" s="14"/>
      <c r="B2284" s="14"/>
      <c r="C2284" s="14"/>
      <c r="D2284" s="92"/>
      <c r="E2284" s="14"/>
      <c r="F2284" s="14"/>
      <c r="G2284" s="14"/>
      <c r="H2284" s="14"/>
      <c r="I2284" s="67"/>
      <c r="J2284" s="14"/>
      <c r="K2284" s="14"/>
      <c r="L2284" s="14"/>
      <c r="M2284" s="14"/>
    </row>
    <row r="2285" spans="1:13" x14ac:dyDescent="0.25">
      <c r="A2285" s="14"/>
      <c r="B2285" s="14"/>
      <c r="C2285" s="14"/>
      <c r="D2285" s="92"/>
      <c r="E2285" s="14"/>
      <c r="F2285" s="14"/>
      <c r="G2285" s="14"/>
      <c r="H2285" s="14"/>
      <c r="I2285" s="67"/>
      <c r="J2285" s="14"/>
      <c r="K2285" s="14"/>
      <c r="L2285" s="14"/>
      <c r="M2285" s="14"/>
    </row>
    <row r="2286" spans="1:13" x14ac:dyDescent="0.25">
      <c r="A2286" s="14"/>
      <c r="B2286" s="14"/>
      <c r="C2286" s="14"/>
      <c r="D2286" s="92"/>
      <c r="E2286" s="14"/>
      <c r="F2286" s="14"/>
      <c r="G2286" s="14"/>
      <c r="H2286" s="14"/>
      <c r="I2286" s="67"/>
      <c r="J2286" s="14"/>
      <c r="K2286" s="14"/>
      <c r="L2286" s="14"/>
      <c r="M2286" s="14"/>
    </row>
    <row r="2287" spans="1:13" x14ac:dyDescent="0.25">
      <c r="A2287" s="14"/>
      <c r="B2287" s="14"/>
      <c r="C2287" s="14"/>
      <c r="D2287" s="92"/>
      <c r="E2287" s="14"/>
      <c r="F2287" s="14"/>
      <c r="G2287" s="14"/>
      <c r="H2287" s="14"/>
      <c r="I2287" s="67"/>
      <c r="J2287" s="14"/>
      <c r="K2287" s="14"/>
      <c r="L2287" s="14"/>
      <c r="M2287" s="14"/>
    </row>
    <row r="2288" spans="1:13" x14ac:dyDescent="0.25">
      <c r="A2288" s="14"/>
      <c r="B2288" s="14"/>
      <c r="C2288" s="14"/>
      <c r="D2288" s="92"/>
      <c r="E2288" s="14"/>
      <c r="F2288" s="14"/>
      <c r="G2288" s="14"/>
      <c r="H2288" s="14"/>
      <c r="I2288" s="67"/>
      <c r="J2288" s="14"/>
      <c r="K2288" s="14"/>
      <c r="L2288" s="14"/>
      <c r="M2288" s="14"/>
    </row>
    <row r="2289" spans="1:13" x14ac:dyDescent="0.25">
      <c r="A2289" s="14"/>
      <c r="B2289" s="14"/>
      <c r="C2289" s="14"/>
      <c r="D2289" s="92"/>
      <c r="E2289" s="14"/>
      <c r="F2289" s="14"/>
      <c r="G2289" s="14"/>
      <c r="H2289" s="14"/>
      <c r="I2289" s="67"/>
      <c r="J2289" s="14"/>
      <c r="K2289" s="14"/>
      <c r="L2289" s="14"/>
      <c r="M2289" s="14"/>
    </row>
    <row r="2290" spans="1:13" x14ac:dyDescent="0.25">
      <c r="A2290" s="14"/>
      <c r="B2290" s="14"/>
      <c r="C2290" s="14"/>
      <c r="D2290" s="92"/>
      <c r="E2290" s="14"/>
      <c r="F2290" s="14"/>
      <c r="G2290" s="14"/>
      <c r="H2290" s="14"/>
      <c r="I2290" s="67"/>
      <c r="J2290" s="14"/>
      <c r="K2290" s="14"/>
      <c r="L2290" s="14"/>
      <c r="M2290" s="14"/>
    </row>
    <row r="2291" spans="1:13" x14ac:dyDescent="0.25">
      <c r="A2291" s="14"/>
      <c r="B2291" s="14"/>
      <c r="C2291" s="14"/>
      <c r="D2291" s="92"/>
      <c r="E2291" s="14"/>
      <c r="F2291" s="14"/>
      <c r="G2291" s="14"/>
      <c r="H2291" s="14"/>
      <c r="I2291" s="67"/>
      <c r="J2291" s="14"/>
      <c r="K2291" s="14"/>
      <c r="L2291" s="14"/>
      <c r="M2291" s="14"/>
    </row>
    <row r="2292" spans="1:13" x14ac:dyDescent="0.25">
      <c r="A2292" s="14"/>
      <c r="B2292" s="14"/>
      <c r="C2292" s="14"/>
      <c r="D2292" s="92"/>
      <c r="E2292" s="14"/>
      <c r="F2292" s="14"/>
      <c r="G2292" s="14"/>
      <c r="H2292" s="14"/>
      <c r="I2292" s="67"/>
      <c r="J2292" s="14"/>
      <c r="K2292" s="14"/>
      <c r="L2292" s="14"/>
      <c r="M2292" s="14"/>
    </row>
    <row r="2293" spans="1:13" x14ac:dyDescent="0.25">
      <c r="A2293" s="14"/>
      <c r="B2293" s="14"/>
      <c r="C2293" s="14"/>
      <c r="D2293" s="92"/>
      <c r="E2293" s="14"/>
      <c r="F2293" s="14"/>
      <c r="G2293" s="14"/>
      <c r="H2293" s="14"/>
      <c r="I2293" s="67"/>
      <c r="J2293" s="14"/>
      <c r="K2293" s="14"/>
      <c r="L2293" s="14"/>
      <c r="M2293" s="14"/>
    </row>
    <row r="2294" spans="1:13" x14ac:dyDescent="0.25">
      <c r="A2294" s="14"/>
      <c r="B2294" s="14"/>
      <c r="C2294" s="14"/>
      <c r="D2294" s="92"/>
      <c r="E2294" s="14"/>
      <c r="F2294" s="14"/>
      <c r="G2294" s="14"/>
      <c r="H2294" s="14"/>
      <c r="I2294" s="67"/>
      <c r="J2294" s="14"/>
      <c r="K2294" s="14"/>
      <c r="L2294" s="14"/>
      <c r="M2294" s="14"/>
    </row>
    <row r="2295" spans="1:13" x14ac:dyDescent="0.25">
      <c r="A2295" s="14"/>
      <c r="B2295" s="14"/>
      <c r="C2295" s="14"/>
      <c r="D2295" s="92"/>
      <c r="E2295" s="14"/>
      <c r="F2295" s="14"/>
      <c r="G2295" s="14"/>
      <c r="H2295" s="14"/>
      <c r="I2295" s="67"/>
      <c r="J2295" s="14"/>
      <c r="K2295" s="14"/>
      <c r="L2295" s="14"/>
      <c r="M2295" s="14"/>
    </row>
    <row r="2296" spans="1:13" x14ac:dyDescent="0.25">
      <c r="A2296" s="14"/>
      <c r="B2296" s="14"/>
      <c r="C2296" s="14"/>
      <c r="D2296" s="92"/>
      <c r="E2296" s="14"/>
      <c r="F2296" s="14"/>
      <c r="G2296" s="14"/>
      <c r="H2296" s="14"/>
      <c r="I2296" s="67"/>
      <c r="J2296" s="14"/>
      <c r="K2296" s="14"/>
      <c r="L2296" s="14"/>
      <c r="M2296" s="14"/>
    </row>
    <row r="2297" spans="1:13" x14ac:dyDescent="0.25">
      <c r="A2297" s="14"/>
      <c r="B2297" s="14"/>
      <c r="C2297" s="14"/>
      <c r="D2297" s="92"/>
      <c r="E2297" s="14"/>
      <c r="F2297" s="14"/>
      <c r="G2297" s="14"/>
      <c r="H2297" s="14"/>
      <c r="I2297" s="67"/>
      <c r="J2297" s="14"/>
      <c r="K2297" s="14"/>
      <c r="L2297" s="14"/>
      <c r="M2297" s="14"/>
    </row>
    <row r="2298" spans="1:13" x14ac:dyDescent="0.25">
      <c r="A2298" s="14"/>
      <c r="B2298" s="14"/>
      <c r="C2298" s="14"/>
      <c r="D2298" s="92"/>
      <c r="E2298" s="14"/>
      <c r="F2298" s="14"/>
      <c r="G2298" s="14"/>
      <c r="H2298" s="14"/>
      <c r="I2298" s="67"/>
      <c r="J2298" s="14"/>
      <c r="K2298" s="14"/>
      <c r="L2298" s="14"/>
      <c r="M2298" s="14"/>
    </row>
    <row r="2299" spans="1:13" x14ac:dyDescent="0.25">
      <c r="A2299" s="14"/>
      <c r="B2299" s="14"/>
      <c r="C2299" s="14"/>
      <c r="D2299" s="92"/>
      <c r="E2299" s="14"/>
      <c r="F2299" s="14"/>
      <c r="G2299" s="14"/>
      <c r="H2299" s="14"/>
      <c r="I2299" s="67"/>
      <c r="J2299" s="14"/>
      <c r="K2299" s="14"/>
      <c r="L2299" s="14"/>
      <c r="M2299" s="14"/>
    </row>
    <row r="2300" spans="1:13" x14ac:dyDescent="0.25">
      <c r="A2300" s="14"/>
      <c r="B2300" s="14"/>
      <c r="C2300" s="14"/>
      <c r="D2300" s="92"/>
      <c r="E2300" s="14"/>
      <c r="F2300" s="14"/>
      <c r="G2300" s="14"/>
      <c r="H2300" s="14"/>
      <c r="I2300" s="67"/>
      <c r="J2300" s="14"/>
      <c r="K2300" s="14"/>
      <c r="L2300" s="14"/>
      <c r="M2300" s="14"/>
    </row>
    <row r="2301" spans="1:13" x14ac:dyDescent="0.25">
      <c r="A2301" s="14"/>
      <c r="B2301" s="14"/>
      <c r="C2301" s="14"/>
      <c r="D2301" s="92"/>
      <c r="E2301" s="14"/>
      <c r="F2301" s="14"/>
      <c r="G2301" s="14"/>
      <c r="H2301" s="14"/>
      <c r="I2301" s="67"/>
      <c r="J2301" s="14"/>
      <c r="K2301" s="14"/>
      <c r="L2301" s="14"/>
      <c r="M2301" s="14"/>
    </row>
    <row r="2302" spans="1:13" x14ac:dyDescent="0.25">
      <c r="A2302" s="14"/>
      <c r="B2302" s="14"/>
      <c r="C2302" s="14"/>
      <c r="D2302" s="92"/>
      <c r="E2302" s="14"/>
      <c r="F2302" s="14"/>
      <c r="G2302" s="14"/>
      <c r="H2302" s="14"/>
      <c r="I2302" s="67"/>
      <c r="J2302" s="14"/>
      <c r="K2302" s="14"/>
      <c r="L2302" s="14"/>
      <c r="M2302" s="14"/>
    </row>
    <row r="2303" spans="1:13" x14ac:dyDescent="0.25">
      <c r="A2303" s="14"/>
      <c r="B2303" s="14"/>
      <c r="C2303" s="14"/>
      <c r="D2303" s="92"/>
      <c r="E2303" s="14"/>
      <c r="F2303" s="14"/>
      <c r="G2303" s="14"/>
      <c r="H2303" s="14"/>
      <c r="I2303" s="67"/>
      <c r="J2303" s="14"/>
      <c r="K2303" s="14"/>
      <c r="L2303" s="14"/>
      <c r="M2303" s="14"/>
    </row>
    <row r="2304" spans="1:13" x14ac:dyDescent="0.25">
      <c r="A2304" s="14"/>
      <c r="B2304" s="14"/>
      <c r="C2304" s="14"/>
      <c r="D2304" s="92"/>
      <c r="E2304" s="14"/>
      <c r="F2304" s="14"/>
      <c r="G2304" s="14"/>
      <c r="H2304" s="14"/>
      <c r="I2304" s="67"/>
      <c r="J2304" s="14"/>
      <c r="K2304" s="14"/>
      <c r="L2304" s="14"/>
      <c r="M2304" s="14"/>
    </row>
    <row r="2305" spans="1:13" x14ac:dyDescent="0.25">
      <c r="A2305" s="14"/>
      <c r="B2305" s="14"/>
      <c r="C2305" s="14"/>
      <c r="D2305" s="92"/>
      <c r="E2305" s="14"/>
      <c r="F2305" s="14"/>
      <c r="G2305" s="14"/>
      <c r="H2305" s="14"/>
      <c r="I2305" s="67"/>
      <c r="J2305" s="14"/>
      <c r="K2305" s="14"/>
      <c r="L2305" s="14"/>
      <c r="M2305" s="14"/>
    </row>
    <row r="2306" spans="1:13" x14ac:dyDescent="0.25">
      <c r="A2306" s="14"/>
      <c r="B2306" s="14"/>
      <c r="C2306" s="14"/>
      <c r="D2306" s="92"/>
      <c r="E2306" s="14"/>
      <c r="F2306" s="14"/>
      <c r="G2306" s="14"/>
      <c r="H2306" s="14"/>
      <c r="I2306" s="67"/>
      <c r="J2306" s="14"/>
      <c r="K2306" s="14"/>
      <c r="L2306" s="14"/>
      <c r="M2306" s="14"/>
    </row>
    <row r="2307" spans="1:13" x14ac:dyDescent="0.25">
      <c r="A2307" s="14"/>
      <c r="B2307" s="14"/>
      <c r="C2307" s="14"/>
      <c r="D2307" s="92"/>
      <c r="E2307" s="14"/>
      <c r="F2307" s="14"/>
      <c r="G2307" s="14"/>
      <c r="H2307" s="14"/>
      <c r="I2307" s="67"/>
      <c r="J2307" s="14"/>
      <c r="K2307" s="14"/>
      <c r="L2307" s="14"/>
      <c r="M2307" s="14"/>
    </row>
    <row r="2308" spans="1:13" x14ac:dyDescent="0.25">
      <c r="A2308" s="14"/>
      <c r="B2308" s="14"/>
      <c r="C2308" s="14"/>
      <c r="D2308" s="92"/>
      <c r="E2308" s="14"/>
      <c r="F2308" s="14"/>
      <c r="G2308" s="14"/>
      <c r="H2308" s="14"/>
      <c r="I2308" s="67"/>
      <c r="J2308" s="14"/>
      <c r="K2308" s="14"/>
      <c r="L2308" s="14"/>
      <c r="M2308" s="14"/>
    </row>
    <row r="2309" spans="1:13" x14ac:dyDescent="0.25">
      <c r="A2309" s="14"/>
      <c r="B2309" s="14"/>
      <c r="C2309" s="14"/>
      <c r="D2309" s="92"/>
      <c r="E2309" s="14"/>
      <c r="F2309" s="14"/>
      <c r="G2309" s="14"/>
      <c r="H2309" s="14"/>
      <c r="I2309" s="67"/>
      <c r="J2309" s="14"/>
      <c r="K2309" s="14"/>
      <c r="L2309" s="14"/>
      <c r="M2309" s="14"/>
    </row>
    <row r="2310" spans="1:13" x14ac:dyDescent="0.25">
      <c r="A2310" s="14"/>
      <c r="B2310" s="14"/>
      <c r="C2310" s="14"/>
      <c r="D2310" s="92"/>
      <c r="E2310" s="14"/>
      <c r="F2310" s="14"/>
      <c r="G2310" s="14"/>
      <c r="H2310" s="14"/>
      <c r="I2310" s="67"/>
      <c r="J2310" s="14"/>
      <c r="K2310" s="14"/>
      <c r="L2310" s="14"/>
      <c r="M2310" s="14"/>
    </row>
    <row r="2311" spans="1:13" x14ac:dyDescent="0.25">
      <c r="A2311" s="14"/>
      <c r="B2311" s="14"/>
      <c r="C2311" s="14"/>
      <c r="D2311" s="92"/>
      <c r="E2311" s="14"/>
      <c r="F2311" s="14"/>
      <c r="G2311" s="14"/>
      <c r="H2311" s="14"/>
      <c r="I2311" s="67"/>
      <c r="J2311" s="14"/>
      <c r="K2311" s="14"/>
      <c r="L2311" s="14"/>
      <c r="M2311" s="14"/>
    </row>
    <row r="2312" spans="1:13" x14ac:dyDescent="0.25">
      <c r="A2312" s="14"/>
      <c r="B2312" s="14"/>
      <c r="C2312" s="14"/>
      <c r="D2312" s="92"/>
      <c r="E2312" s="14"/>
      <c r="F2312" s="14"/>
      <c r="G2312" s="14"/>
      <c r="H2312" s="14"/>
      <c r="I2312" s="67"/>
      <c r="J2312" s="14"/>
      <c r="K2312" s="14"/>
      <c r="L2312" s="14"/>
      <c r="M2312" s="14"/>
    </row>
    <row r="2313" spans="1:13" x14ac:dyDescent="0.25">
      <c r="A2313" s="14"/>
      <c r="B2313" s="14"/>
      <c r="C2313" s="14"/>
      <c r="D2313" s="92"/>
      <c r="E2313" s="14"/>
      <c r="F2313" s="14"/>
      <c r="G2313" s="14"/>
      <c r="H2313" s="14"/>
      <c r="I2313" s="67"/>
      <c r="J2313" s="14"/>
      <c r="K2313" s="14"/>
      <c r="L2313" s="14"/>
      <c r="M2313" s="14"/>
    </row>
    <row r="2314" spans="1:13" x14ac:dyDescent="0.25">
      <c r="A2314" s="14"/>
      <c r="B2314" s="14"/>
      <c r="C2314" s="14"/>
      <c r="D2314" s="92"/>
      <c r="E2314" s="14"/>
      <c r="F2314" s="14"/>
      <c r="G2314" s="14"/>
      <c r="H2314" s="14"/>
      <c r="I2314" s="67"/>
      <c r="J2314" s="14"/>
      <c r="K2314" s="14"/>
      <c r="L2314" s="14"/>
      <c r="M2314" s="14"/>
    </row>
    <row r="2315" spans="1:13" x14ac:dyDescent="0.25">
      <c r="A2315" s="14"/>
      <c r="B2315" s="14"/>
      <c r="C2315" s="14"/>
      <c r="D2315" s="92"/>
      <c r="E2315" s="14"/>
      <c r="F2315" s="14"/>
      <c r="G2315" s="14"/>
      <c r="H2315" s="14"/>
      <c r="I2315" s="67"/>
      <c r="J2315" s="14"/>
      <c r="K2315" s="14"/>
      <c r="L2315" s="14"/>
      <c r="M2315" s="14"/>
    </row>
    <row r="2316" spans="1:13" x14ac:dyDescent="0.25">
      <c r="A2316" s="14"/>
      <c r="B2316" s="14"/>
      <c r="C2316" s="14"/>
      <c r="D2316" s="92"/>
      <c r="E2316" s="14"/>
      <c r="F2316" s="14"/>
      <c r="G2316" s="14"/>
      <c r="H2316" s="14"/>
      <c r="I2316" s="67"/>
      <c r="J2316" s="14"/>
      <c r="K2316" s="14"/>
      <c r="L2316" s="14"/>
      <c r="M2316" s="14"/>
    </row>
    <row r="2317" spans="1:13" x14ac:dyDescent="0.25">
      <c r="A2317" s="14"/>
      <c r="B2317" s="14"/>
      <c r="C2317" s="14"/>
      <c r="D2317" s="92"/>
      <c r="E2317" s="14"/>
      <c r="F2317" s="14"/>
      <c r="G2317" s="14"/>
      <c r="H2317" s="14"/>
      <c r="I2317" s="67"/>
      <c r="J2317" s="14"/>
      <c r="K2317" s="14"/>
      <c r="L2317" s="14"/>
      <c r="M2317" s="14"/>
    </row>
    <row r="2318" spans="1:13" x14ac:dyDescent="0.25">
      <c r="A2318" s="14"/>
      <c r="B2318" s="14"/>
      <c r="C2318" s="14"/>
      <c r="D2318" s="92"/>
      <c r="E2318" s="14"/>
      <c r="F2318" s="14"/>
      <c r="G2318" s="14"/>
      <c r="H2318" s="14"/>
      <c r="I2318" s="67"/>
      <c r="J2318" s="14"/>
      <c r="K2318" s="14"/>
      <c r="L2318" s="14"/>
      <c r="M2318" s="14"/>
    </row>
    <row r="2319" spans="1:13" x14ac:dyDescent="0.25">
      <c r="A2319" s="14"/>
      <c r="B2319" s="14"/>
      <c r="C2319" s="14"/>
      <c r="D2319" s="92"/>
      <c r="E2319" s="14"/>
      <c r="F2319" s="14"/>
      <c r="G2319" s="14"/>
      <c r="H2319" s="14"/>
      <c r="I2319" s="67"/>
      <c r="J2319" s="14"/>
      <c r="K2319" s="14"/>
      <c r="L2319" s="14"/>
      <c r="M2319" s="14"/>
    </row>
    <row r="2320" spans="1:13" x14ac:dyDescent="0.25">
      <c r="A2320" s="14"/>
      <c r="B2320" s="14"/>
      <c r="C2320" s="14"/>
      <c r="D2320" s="92"/>
      <c r="E2320" s="14"/>
      <c r="F2320" s="14"/>
      <c r="G2320" s="14"/>
      <c r="H2320" s="14"/>
      <c r="I2320" s="67"/>
      <c r="J2320" s="14"/>
      <c r="K2320" s="14"/>
      <c r="L2320" s="14"/>
      <c r="M2320" s="14"/>
    </row>
    <row r="2321" spans="1:13" x14ac:dyDescent="0.25">
      <c r="A2321" s="14"/>
      <c r="B2321" s="14"/>
      <c r="C2321" s="14"/>
      <c r="D2321" s="92"/>
      <c r="E2321" s="14"/>
      <c r="F2321" s="14"/>
      <c r="G2321" s="14"/>
      <c r="H2321" s="14"/>
      <c r="I2321" s="67"/>
      <c r="J2321" s="14"/>
      <c r="K2321" s="14"/>
      <c r="L2321" s="14"/>
      <c r="M2321" s="14"/>
    </row>
    <row r="2322" spans="1:13" x14ac:dyDescent="0.25">
      <c r="A2322" s="14"/>
      <c r="B2322" s="14"/>
      <c r="C2322" s="14"/>
      <c r="D2322" s="92"/>
      <c r="E2322" s="14"/>
      <c r="F2322" s="14"/>
      <c r="G2322" s="14"/>
      <c r="H2322" s="14"/>
      <c r="I2322" s="67"/>
      <c r="J2322" s="14"/>
      <c r="K2322" s="14"/>
      <c r="L2322" s="14"/>
      <c r="M2322" s="14"/>
    </row>
    <row r="2323" spans="1:13" x14ac:dyDescent="0.25">
      <c r="A2323" s="14"/>
      <c r="B2323" s="14"/>
      <c r="C2323" s="14"/>
      <c r="D2323" s="92"/>
      <c r="E2323" s="14"/>
      <c r="F2323" s="14"/>
      <c r="G2323" s="14"/>
      <c r="H2323" s="14"/>
      <c r="I2323" s="67"/>
      <c r="J2323" s="14"/>
      <c r="K2323" s="14"/>
      <c r="L2323" s="14"/>
      <c r="M2323" s="14"/>
    </row>
    <row r="2324" spans="1:13" x14ac:dyDescent="0.25">
      <c r="A2324" s="14"/>
      <c r="B2324" s="14"/>
      <c r="C2324" s="14"/>
      <c r="D2324" s="92"/>
      <c r="E2324" s="14"/>
      <c r="F2324" s="14"/>
      <c r="G2324" s="14"/>
      <c r="H2324" s="14"/>
      <c r="I2324" s="67"/>
      <c r="J2324" s="14"/>
      <c r="K2324" s="14"/>
      <c r="L2324" s="14"/>
      <c r="M2324" s="14"/>
    </row>
    <row r="2325" spans="1:13" x14ac:dyDescent="0.25">
      <c r="A2325" s="14"/>
      <c r="B2325" s="14"/>
      <c r="C2325" s="14"/>
      <c r="D2325" s="92"/>
      <c r="E2325" s="14"/>
      <c r="F2325" s="14"/>
      <c r="G2325" s="14"/>
      <c r="H2325" s="14"/>
      <c r="I2325" s="67"/>
      <c r="J2325" s="14"/>
      <c r="K2325" s="14"/>
      <c r="L2325" s="14"/>
      <c r="M2325" s="14"/>
    </row>
    <row r="2326" spans="1:13" x14ac:dyDescent="0.25">
      <c r="A2326" s="14"/>
      <c r="B2326" s="14"/>
      <c r="C2326" s="14"/>
      <c r="D2326" s="92"/>
      <c r="E2326" s="14"/>
      <c r="F2326" s="14"/>
      <c r="G2326" s="14"/>
      <c r="H2326" s="14"/>
      <c r="I2326" s="67"/>
      <c r="J2326" s="14"/>
      <c r="K2326" s="14"/>
      <c r="L2326" s="14"/>
      <c r="M2326" s="14"/>
    </row>
    <row r="2327" spans="1:13" x14ac:dyDescent="0.25">
      <c r="A2327" s="14"/>
      <c r="B2327" s="14"/>
      <c r="C2327" s="14"/>
      <c r="D2327" s="92"/>
      <c r="E2327" s="14"/>
      <c r="F2327" s="14"/>
      <c r="G2327" s="14"/>
      <c r="H2327" s="14"/>
      <c r="I2327" s="67"/>
      <c r="J2327" s="14"/>
      <c r="K2327" s="14"/>
      <c r="L2327" s="14"/>
      <c r="M2327" s="14"/>
    </row>
    <row r="2328" spans="1:13" x14ac:dyDescent="0.25">
      <c r="A2328" s="14"/>
      <c r="B2328" s="14"/>
      <c r="C2328" s="14"/>
      <c r="D2328" s="92"/>
      <c r="E2328" s="14"/>
      <c r="F2328" s="14"/>
      <c r="G2328" s="14"/>
      <c r="H2328" s="14"/>
      <c r="I2328" s="67"/>
      <c r="J2328" s="14"/>
      <c r="K2328" s="14"/>
      <c r="L2328" s="14"/>
      <c r="M2328" s="14"/>
    </row>
    <row r="2329" spans="1:13" x14ac:dyDescent="0.25">
      <c r="A2329" s="14"/>
      <c r="B2329" s="14"/>
      <c r="C2329" s="14"/>
      <c r="D2329" s="92"/>
      <c r="E2329" s="14"/>
      <c r="F2329" s="14"/>
      <c r="G2329" s="14"/>
      <c r="H2329" s="14"/>
      <c r="I2329" s="67"/>
      <c r="J2329" s="14"/>
      <c r="K2329" s="14"/>
      <c r="L2329" s="14"/>
      <c r="M2329" s="14"/>
    </row>
    <row r="2330" spans="1:13" x14ac:dyDescent="0.25">
      <c r="A2330" s="14"/>
      <c r="B2330" s="14"/>
      <c r="C2330" s="14"/>
      <c r="D2330" s="92"/>
      <c r="E2330" s="14"/>
      <c r="F2330" s="14"/>
      <c r="G2330" s="14"/>
      <c r="H2330" s="14"/>
      <c r="I2330" s="67"/>
      <c r="J2330" s="14"/>
      <c r="K2330" s="14"/>
      <c r="L2330" s="14"/>
      <c r="M2330" s="14"/>
    </row>
    <row r="2331" spans="1:13" x14ac:dyDescent="0.25">
      <c r="A2331" s="14"/>
      <c r="B2331" s="14"/>
      <c r="C2331" s="14"/>
      <c r="D2331" s="92"/>
      <c r="E2331" s="14"/>
      <c r="F2331" s="14"/>
      <c r="G2331" s="14"/>
      <c r="H2331" s="14"/>
      <c r="I2331" s="67"/>
      <c r="J2331" s="14"/>
      <c r="K2331" s="14"/>
      <c r="L2331" s="14"/>
      <c r="M2331" s="14"/>
    </row>
    <row r="2332" spans="1:13" x14ac:dyDescent="0.25">
      <c r="A2332" s="14"/>
      <c r="B2332" s="14"/>
      <c r="C2332" s="14"/>
      <c r="D2332" s="92"/>
      <c r="E2332" s="14"/>
      <c r="F2332" s="14"/>
      <c r="G2332" s="14"/>
      <c r="H2332" s="14"/>
      <c r="I2332" s="67"/>
      <c r="J2332" s="14"/>
      <c r="K2332" s="14"/>
      <c r="L2332" s="14"/>
      <c r="M2332" s="14"/>
    </row>
    <row r="2333" spans="1:13" x14ac:dyDescent="0.25">
      <c r="A2333" s="14"/>
      <c r="B2333" s="14"/>
      <c r="C2333" s="14"/>
      <c r="D2333" s="92"/>
      <c r="E2333" s="14"/>
      <c r="F2333" s="14"/>
      <c r="G2333" s="14"/>
      <c r="H2333" s="14"/>
      <c r="I2333" s="67"/>
      <c r="J2333" s="14"/>
      <c r="K2333" s="14"/>
      <c r="L2333" s="14"/>
      <c r="M2333" s="14"/>
    </row>
    <row r="2334" spans="1:13" x14ac:dyDescent="0.25">
      <c r="A2334" s="14"/>
      <c r="B2334" s="14"/>
      <c r="C2334" s="14"/>
      <c r="D2334" s="92"/>
      <c r="E2334" s="14"/>
      <c r="F2334" s="14"/>
      <c r="G2334" s="14"/>
      <c r="H2334" s="14"/>
      <c r="I2334" s="67"/>
      <c r="J2334" s="14"/>
      <c r="K2334" s="14"/>
      <c r="L2334" s="14"/>
      <c r="M2334" s="14"/>
    </row>
    <row r="2335" spans="1:13" x14ac:dyDescent="0.25">
      <c r="A2335" s="14"/>
      <c r="B2335" s="14"/>
      <c r="C2335" s="14"/>
      <c r="D2335" s="92"/>
      <c r="E2335" s="14"/>
      <c r="F2335" s="14"/>
      <c r="G2335" s="14"/>
      <c r="H2335" s="14"/>
      <c r="I2335" s="67"/>
      <c r="J2335" s="14"/>
      <c r="K2335" s="14"/>
      <c r="L2335" s="14"/>
      <c r="M2335" s="14"/>
    </row>
    <row r="2336" spans="1:13" x14ac:dyDescent="0.25">
      <c r="A2336" s="14"/>
      <c r="B2336" s="14"/>
      <c r="C2336" s="14"/>
      <c r="D2336" s="92"/>
      <c r="E2336" s="14"/>
      <c r="F2336" s="14"/>
      <c r="G2336" s="14"/>
      <c r="H2336" s="14"/>
      <c r="I2336" s="67"/>
      <c r="J2336" s="14"/>
      <c r="K2336" s="14"/>
      <c r="L2336" s="14"/>
      <c r="M2336" s="14"/>
    </row>
    <row r="2337" spans="1:13" x14ac:dyDescent="0.25">
      <c r="A2337" s="14"/>
      <c r="B2337" s="14"/>
      <c r="C2337" s="14"/>
      <c r="D2337" s="92"/>
      <c r="E2337" s="14"/>
      <c r="F2337" s="14"/>
      <c r="G2337" s="14"/>
      <c r="H2337" s="14"/>
      <c r="I2337" s="67"/>
      <c r="J2337" s="14"/>
      <c r="K2337" s="14"/>
      <c r="L2337" s="14"/>
      <c r="M2337" s="14"/>
    </row>
    <row r="2338" spans="1:13" x14ac:dyDescent="0.25">
      <c r="A2338" s="14"/>
      <c r="B2338" s="14"/>
      <c r="C2338" s="14"/>
      <c r="D2338" s="92"/>
      <c r="E2338" s="14"/>
      <c r="F2338" s="14"/>
      <c r="G2338" s="14"/>
      <c r="H2338" s="14"/>
      <c r="I2338" s="67"/>
      <c r="J2338" s="14"/>
      <c r="K2338" s="14"/>
      <c r="L2338" s="14"/>
      <c r="M2338" s="14"/>
    </row>
    <row r="2339" spans="1:13" x14ac:dyDescent="0.25">
      <c r="A2339" s="14"/>
      <c r="B2339" s="14"/>
      <c r="C2339" s="14"/>
      <c r="D2339" s="92"/>
      <c r="E2339" s="14"/>
      <c r="F2339" s="14"/>
      <c r="G2339" s="14"/>
      <c r="H2339" s="14"/>
      <c r="I2339" s="67"/>
      <c r="J2339" s="14"/>
      <c r="K2339" s="14"/>
      <c r="L2339" s="14"/>
      <c r="M2339" s="14"/>
    </row>
    <row r="2340" spans="1:13" x14ac:dyDescent="0.25">
      <c r="A2340" s="14"/>
      <c r="B2340" s="14"/>
      <c r="C2340" s="14"/>
      <c r="D2340" s="92"/>
      <c r="E2340" s="14"/>
      <c r="F2340" s="14"/>
      <c r="G2340" s="14"/>
      <c r="H2340" s="14"/>
      <c r="I2340" s="67"/>
      <c r="J2340" s="14"/>
      <c r="K2340" s="14"/>
      <c r="L2340" s="14"/>
      <c r="M2340" s="14"/>
    </row>
    <row r="2341" spans="1:13" x14ac:dyDescent="0.25">
      <c r="A2341" s="14"/>
      <c r="B2341" s="14"/>
      <c r="C2341" s="14"/>
      <c r="D2341" s="92"/>
      <c r="E2341" s="14"/>
      <c r="F2341" s="14"/>
      <c r="G2341" s="14"/>
      <c r="H2341" s="14"/>
      <c r="I2341" s="67"/>
      <c r="J2341" s="14"/>
      <c r="K2341" s="14"/>
      <c r="L2341" s="14"/>
      <c r="M2341" s="14"/>
    </row>
    <row r="2342" spans="1:13" x14ac:dyDescent="0.25">
      <c r="A2342" s="14"/>
      <c r="B2342" s="14"/>
      <c r="C2342" s="14"/>
      <c r="D2342" s="92"/>
      <c r="E2342" s="14"/>
      <c r="F2342" s="14"/>
      <c r="G2342" s="14"/>
      <c r="H2342" s="14"/>
      <c r="I2342" s="67"/>
      <c r="J2342" s="14"/>
      <c r="K2342" s="14"/>
      <c r="L2342" s="14"/>
      <c r="M2342" s="14"/>
    </row>
    <row r="2343" spans="1:13" x14ac:dyDescent="0.25">
      <c r="A2343" s="14"/>
      <c r="B2343" s="14"/>
      <c r="C2343" s="14"/>
      <c r="D2343" s="92"/>
      <c r="E2343" s="14"/>
      <c r="F2343" s="14"/>
      <c r="G2343" s="14"/>
      <c r="H2343" s="14"/>
      <c r="I2343" s="67"/>
      <c r="J2343" s="14"/>
      <c r="K2343" s="14"/>
      <c r="L2343" s="14"/>
      <c r="M2343" s="14"/>
    </row>
    <row r="2344" spans="1:13" x14ac:dyDescent="0.25">
      <c r="A2344" s="14"/>
      <c r="B2344" s="14"/>
      <c r="C2344" s="14"/>
      <c r="D2344" s="92"/>
      <c r="E2344" s="14"/>
      <c r="F2344" s="14"/>
      <c r="G2344" s="14"/>
      <c r="H2344" s="14"/>
      <c r="I2344" s="67"/>
      <c r="J2344" s="14"/>
      <c r="K2344" s="14"/>
      <c r="L2344" s="14"/>
      <c r="M2344" s="14"/>
    </row>
    <row r="2345" spans="1:13" x14ac:dyDescent="0.25">
      <c r="A2345" s="14"/>
      <c r="B2345" s="14"/>
      <c r="C2345" s="14"/>
      <c r="D2345" s="92"/>
      <c r="E2345" s="14"/>
      <c r="F2345" s="14"/>
      <c r="G2345" s="14"/>
      <c r="H2345" s="14"/>
      <c r="I2345" s="67"/>
      <c r="J2345" s="14"/>
      <c r="K2345" s="14"/>
      <c r="L2345" s="14"/>
      <c r="M2345" s="14"/>
    </row>
    <row r="2346" spans="1:13" x14ac:dyDescent="0.25">
      <c r="A2346" s="14"/>
      <c r="B2346" s="14"/>
      <c r="C2346" s="14"/>
      <c r="D2346" s="92"/>
      <c r="E2346" s="14"/>
      <c r="F2346" s="14"/>
      <c r="G2346" s="14"/>
      <c r="H2346" s="14"/>
      <c r="I2346" s="67"/>
      <c r="J2346" s="14"/>
      <c r="K2346" s="14"/>
      <c r="L2346" s="14"/>
      <c r="M2346" s="14"/>
    </row>
    <row r="2347" spans="1:13" x14ac:dyDescent="0.25">
      <c r="A2347" s="14"/>
      <c r="B2347" s="14"/>
      <c r="C2347" s="14"/>
      <c r="D2347" s="92"/>
      <c r="E2347" s="14"/>
      <c r="F2347" s="14"/>
      <c r="G2347" s="14"/>
      <c r="H2347" s="14"/>
      <c r="I2347" s="67"/>
      <c r="J2347" s="14"/>
      <c r="K2347" s="14"/>
      <c r="L2347" s="14"/>
      <c r="M2347" s="14"/>
    </row>
    <row r="2348" spans="1:13" x14ac:dyDescent="0.25">
      <c r="A2348" s="14"/>
      <c r="B2348" s="14"/>
      <c r="C2348" s="14"/>
      <c r="D2348" s="92"/>
      <c r="E2348" s="14"/>
      <c r="F2348" s="14"/>
      <c r="G2348" s="14"/>
      <c r="H2348" s="14"/>
      <c r="I2348" s="67"/>
      <c r="J2348" s="14"/>
      <c r="K2348" s="14"/>
      <c r="L2348" s="14"/>
      <c r="M2348" s="14"/>
    </row>
    <row r="2349" spans="1:13" x14ac:dyDescent="0.25">
      <c r="A2349" s="14"/>
      <c r="B2349" s="14"/>
      <c r="C2349" s="14"/>
      <c r="D2349" s="92"/>
      <c r="E2349" s="14"/>
      <c r="F2349" s="14"/>
      <c r="G2349" s="14"/>
      <c r="H2349" s="14"/>
      <c r="I2349" s="67"/>
      <c r="J2349" s="14"/>
      <c r="K2349" s="14"/>
      <c r="L2349" s="14"/>
      <c r="M2349" s="14"/>
    </row>
    <row r="2350" spans="1:13" x14ac:dyDescent="0.25">
      <c r="A2350" s="14"/>
      <c r="B2350" s="14"/>
      <c r="C2350" s="14"/>
      <c r="D2350" s="92"/>
      <c r="E2350" s="14"/>
      <c r="F2350" s="14"/>
      <c r="G2350" s="14"/>
      <c r="H2350" s="14"/>
      <c r="I2350" s="67"/>
      <c r="J2350" s="14"/>
      <c r="K2350" s="14"/>
      <c r="L2350" s="14"/>
      <c r="M2350" s="14"/>
    </row>
    <row r="2351" spans="1:13" x14ac:dyDescent="0.25">
      <c r="A2351" s="14"/>
      <c r="B2351" s="14"/>
      <c r="C2351" s="14"/>
      <c r="D2351" s="92"/>
      <c r="E2351" s="14"/>
      <c r="F2351" s="14"/>
      <c r="G2351" s="14"/>
      <c r="H2351" s="14"/>
      <c r="I2351" s="67"/>
      <c r="J2351" s="14"/>
      <c r="K2351" s="14"/>
      <c r="L2351" s="14"/>
      <c r="M2351" s="14"/>
    </row>
    <row r="2352" spans="1:13" x14ac:dyDescent="0.25">
      <c r="A2352" s="14"/>
      <c r="B2352" s="14"/>
      <c r="C2352" s="14"/>
      <c r="D2352" s="92"/>
      <c r="E2352" s="14"/>
      <c r="F2352" s="14"/>
      <c r="G2352" s="14"/>
      <c r="H2352" s="14"/>
      <c r="I2352" s="67"/>
      <c r="J2352" s="14"/>
      <c r="K2352" s="14"/>
      <c r="L2352" s="14"/>
      <c r="M2352" s="14"/>
    </row>
    <row r="2353" spans="1:13" x14ac:dyDescent="0.25">
      <c r="A2353" s="14"/>
      <c r="B2353" s="14"/>
      <c r="C2353" s="14"/>
      <c r="D2353" s="92"/>
      <c r="E2353" s="14"/>
      <c r="F2353" s="14"/>
      <c r="G2353" s="14"/>
      <c r="H2353" s="14"/>
      <c r="I2353" s="67"/>
      <c r="J2353" s="14"/>
      <c r="K2353" s="14"/>
      <c r="L2353" s="14"/>
      <c r="M2353" s="14"/>
    </row>
    <row r="2354" spans="1:13" x14ac:dyDescent="0.25">
      <c r="A2354" s="14"/>
      <c r="B2354" s="14"/>
      <c r="C2354" s="14"/>
      <c r="D2354" s="92"/>
      <c r="E2354" s="14"/>
      <c r="F2354" s="14"/>
      <c r="G2354" s="14"/>
      <c r="H2354" s="14"/>
      <c r="I2354" s="67"/>
      <c r="J2354" s="14"/>
      <c r="K2354" s="14"/>
      <c r="L2354" s="14"/>
      <c r="M2354" s="14"/>
    </row>
    <row r="2355" spans="1:13" x14ac:dyDescent="0.25">
      <c r="A2355" s="14"/>
      <c r="B2355" s="14"/>
      <c r="C2355" s="14"/>
      <c r="D2355" s="92"/>
      <c r="E2355" s="14"/>
      <c r="F2355" s="14"/>
      <c r="G2355" s="14"/>
      <c r="H2355" s="14"/>
      <c r="I2355" s="67"/>
      <c r="J2355" s="14"/>
      <c r="K2355" s="14"/>
      <c r="L2355" s="14"/>
      <c r="M2355" s="14"/>
    </row>
    <row r="2356" spans="1:13" x14ac:dyDescent="0.25">
      <c r="A2356" s="14"/>
      <c r="B2356" s="14"/>
      <c r="C2356" s="14"/>
      <c r="D2356" s="92"/>
      <c r="E2356" s="14"/>
      <c r="F2356" s="14"/>
      <c r="G2356" s="14"/>
      <c r="H2356" s="14"/>
      <c r="I2356" s="67"/>
      <c r="J2356" s="14"/>
      <c r="K2356" s="14"/>
      <c r="L2356" s="14"/>
      <c r="M2356" s="14"/>
    </row>
    <row r="2357" spans="1:13" x14ac:dyDescent="0.25">
      <c r="A2357" s="14"/>
      <c r="B2357" s="14"/>
      <c r="C2357" s="14"/>
      <c r="D2357" s="92"/>
      <c r="E2357" s="14"/>
      <c r="F2357" s="14"/>
      <c r="G2357" s="14"/>
      <c r="H2357" s="14"/>
      <c r="I2357" s="67"/>
      <c r="J2357" s="14"/>
      <c r="K2357" s="14"/>
      <c r="L2357" s="14"/>
      <c r="M2357" s="14"/>
    </row>
    <row r="2358" spans="1:13" x14ac:dyDescent="0.25">
      <c r="A2358" s="14"/>
      <c r="B2358" s="14"/>
      <c r="C2358" s="14"/>
      <c r="D2358" s="92"/>
      <c r="E2358" s="14"/>
      <c r="F2358" s="14"/>
      <c r="G2358" s="14"/>
      <c r="H2358" s="14"/>
      <c r="I2358" s="67"/>
      <c r="J2358" s="14"/>
      <c r="K2358" s="14"/>
      <c r="L2358" s="14"/>
      <c r="M2358" s="14"/>
    </row>
    <row r="2359" spans="1:13" x14ac:dyDescent="0.25">
      <c r="A2359" s="14"/>
      <c r="B2359" s="14"/>
      <c r="C2359" s="14"/>
      <c r="D2359" s="92"/>
      <c r="E2359" s="14"/>
      <c r="F2359" s="14"/>
      <c r="G2359" s="14"/>
      <c r="H2359" s="14"/>
      <c r="I2359" s="67"/>
      <c r="J2359" s="14"/>
      <c r="K2359" s="14"/>
      <c r="L2359" s="14"/>
      <c r="M2359" s="14"/>
    </row>
    <row r="2360" spans="1:13" x14ac:dyDescent="0.25">
      <c r="A2360" s="14"/>
      <c r="B2360" s="14"/>
      <c r="C2360" s="14"/>
      <c r="D2360" s="92"/>
      <c r="E2360" s="14"/>
      <c r="F2360" s="14"/>
      <c r="G2360" s="14"/>
      <c r="H2360" s="14"/>
      <c r="I2360" s="67"/>
      <c r="J2360" s="14"/>
      <c r="K2360" s="14"/>
      <c r="L2360" s="14"/>
      <c r="M2360" s="14"/>
    </row>
    <row r="2361" spans="1:13" x14ac:dyDescent="0.25">
      <c r="A2361" s="14"/>
      <c r="B2361" s="14"/>
      <c r="C2361" s="14"/>
      <c r="D2361" s="92"/>
      <c r="E2361" s="14"/>
      <c r="F2361" s="14"/>
      <c r="G2361" s="14"/>
      <c r="H2361" s="14"/>
      <c r="I2361" s="67"/>
      <c r="J2361" s="14"/>
      <c r="K2361" s="14"/>
      <c r="L2361" s="14"/>
      <c r="M2361" s="14"/>
    </row>
    <row r="2362" spans="1:13" x14ac:dyDescent="0.25">
      <c r="A2362" s="14"/>
      <c r="B2362" s="14"/>
      <c r="C2362" s="14"/>
      <c r="D2362" s="92"/>
      <c r="E2362" s="14"/>
      <c r="F2362" s="14"/>
      <c r="G2362" s="14"/>
      <c r="H2362" s="14"/>
      <c r="I2362" s="67"/>
      <c r="J2362" s="14"/>
      <c r="K2362" s="14"/>
      <c r="L2362" s="14"/>
      <c r="M2362" s="14"/>
    </row>
    <row r="2363" spans="1:13" x14ac:dyDescent="0.25">
      <c r="A2363" s="14"/>
      <c r="B2363" s="14"/>
      <c r="C2363" s="14"/>
      <c r="D2363" s="92"/>
      <c r="E2363" s="14"/>
      <c r="F2363" s="14"/>
      <c r="G2363" s="14"/>
      <c r="H2363" s="14"/>
      <c r="I2363" s="67"/>
      <c r="J2363" s="14"/>
      <c r="K2363" s="14"/>
      <c r="L2363" s="14"/>
      <c r="M2363" s="14"/>
    </row>
    <row r="2364" spans="1:13" x14ac:dyDescent="0.25">
      <c r="A2364" s="14"/>
      <c r="B2364" s="14"/>
      <c r="C2364" s="14"/>
      <c r="D2364" s="92"/>
      <c r="E2364" s="14"/>
      <c r="F2364" s="14"/>
      <c r="G2364" s="14"/>
      <c r="H2364" s="14"/>
      <c r="I2364" s="67"/>
      <c r="J2364" s="14"/>
      <c r="K2364" s="14"/>
      <c r="L2364" s="14"/>
      <c r="M2364" s="14"/>
    </row>
    <row r="2365" spans="1:13" x14ac:dyDescent="0.25">
      <c r="A2365" s="14"/>
      <c r="B2365" s="14"/>
      <c r="C2365" s="14"/>
      <c r="D2365" s="92"/>
      <c r="E2365" s="14"/>
      <c r="F2365" s="14"/>
      <c r="G2365" s="14"/>
      <c r="H2365" s="14"/>
      <c r="I2365" s="67"/>
      <c r="J2365" s="14"/>
      <c r="K2365" s="14"/>
      <c r="L2365" s="14"/>
      <c r="M2365" s="14"/>
    </row>
    <row r="2366" spans="1:13" x14ac:dyDescent="0.25">
      <c r="A2366" s="14"/>
      <c r="B2366" s="14"/>
      <c r="C2366" s="14"/>
      <c r="D2366" s="92"/>
      <c r="E2366" s="14"/>
      <c r="F2366" s="14"/>
      <c r="G2366" s="14"/>
      <c r="H2366" s="14"/>
      <c r="I2366" s="67"/>
      <c r="J2366" s="14"/>
      <c r="K2366" s="14"/>
      <c r="L2366" s="14"/>
      <c r="M2366" s="14"/>
    </row>
    <row r="2367" spans="1:13" x14ac:dyDescent="0.25">
      <c r="A2367" s="14"/>
      <c r="B2367" s="14"/>
      <c r="C2367" s="14"/>
      <c r="D2367" s="92"/>
      <c r="E2367" s="14"/>
      <c r="F2367" s="14"/>
      <c r="G2367" s="14"/>
      <c r="H2367" s="14"/>
      <c r="I2367" s="67"/>
      <c r="J2367" s="14"/>
      <c r="K2367" s="14"/>
      <c r="L2367" s="14"/>
      <c r="M2367" s="14"/>
    </row>
    <row r="2368" spans="1:13" x14ac:dyDescent="0.25">
      <c r="A2368" s="14"/>
      <c r="B2368" s="14"/>
      <c r="C2368" s="14"/>
      <c r="D2368" s="92"/>
      <c r="E2368" s="14"/>
      <c r="F2368" s="14"/>
      <c r="G2368" s="14"/>
      <c r="H2368" s="14"/>
      <c r="I2368" s="67"/>
      <c r="J2368" s="14"/>
      <c r="K2368" s="14"/>
      <c r="L2368" s="14"/>
      <c r="M2368" s="14"/>
    </row>
    <row r="2369" spans="1:13" x14ac:dyDescent="0.25">
      <c r="A2369" s="14"/>
      <c r="B2369" s="14"/>
      <c r="C2369" s="14"/>
      <c r="D2369" s="92"/>
      <c r="E2369" s="14"/>
      <c r="F2369" s="14"/>
      <c r="G2369" s="14"/>
      <c r="H2369" s="14"/>
      <c r="I2369" s="67"/>
      <c r="J2369" s="14"/>
      <c r="K2369" s="14"/>
      <c r="L2369" s="14"/>
      <c r="M2369" s="14"/>
    </row>
    <row r="2370" spans="1:13" x14ac:dyDescent="0.25">
      <c r="A2370" s="14"/>
      <c r="B2370" s="14"/>
      <c r="C2370" s="14"/>
      <c r="D2370" s="92"/>
      <c r="E2370" s="14"/>
      <c r="F2370" s="14"/>
      <c r="G2370" s="14"/>
      <c r="H2370" s="14"/>
      <c r="I2370" s="67"/>
      <c r="J2370" s="14"/>
      <c r="K2370" s="14"/>
      <c r="L2370" s="14"/>
      <c r="M2370" s="14"/>
    </row>
    <row r="2371" spans="1:13" x14ac:dyDescent="0.25">
      <c r="A2371" s="14"/>
      <c r="B2371" s="14"/>
      <c r="C2371" s="14"/>
      <c r="D2371" s="92"/>
      <c r="E2371" s="14"/>
      <c r="F2371" s="14"/>
      <c r="G2371" s="14"/>
      <c r="H2371" s="14"/>
      <c r="I2371" s="67"/>
      <c r="J2371" s="14"/>
      <c r="K2371" s="14"/>
      <c r="L2371" s="14"/>
      <c r="M2371" s="14"/>
    </row>
    <row r="2372" spans="1:13" x14ac:dyDescent="0.25">
      <c r="A2372" s="14"/>
      <c r="B2372" s="14"/>
      <c r="C2372" s="14"/>
      <c r="D2372" s="92"/>
      <c r="E2372" s="14"/>
      <c r="F2372" s="14"/>
      <c r="G2372" s="14"/>
      <c r="H2372" s="14"/>
      <c r="I2372" s="67"/>
      <c r="J2372" s="14"/>
      <c r="K2372" s="14"/>
      <c r="L2372" s="14"/>
      <c r="M2372" s="14"/>
    </row>
    <row r="2373" spans="1:13" x14ac:dyDescent="0.25">
      <c r="A2373" s="14"/>
      <c r="B2373" s="14"/>
      <c r="C2373" s="14"/>
      <c r="D2373" s="92"/>
      <c r="E2373" s="14"/>
      <c r="F2373" s="14"/>
      <c r="G2373" s="14"/>
      <c r="H2373" s="14"/>
      <c r="I2373" s="67"/>
      <c r="J2373" s="14"/>
      <c r="K2373" s="14"/>
      <c r="L2373" s="14"/>
      <c r="M2373" s="14"/>
    </row>
    <row r="2374" spans="1:13" x14ac:dyDescent="0.25">
      <c r="A2374" s="14"/>
      <c r="B2374" s="14"/>
      <c r="C2374" s="14"/>
      <c r="D2374" s="92"/>
      <c r="E2374" s="14"/>
      <c r="F2374" s="14"/>
      <c r="G2374" s="14"/>
      <c r="H2374" s="14"/>
      <c r="I2374" s="67"/>
      <c r="J2374" s="14"/>
      <c r="K2374" s="14"/>
      <c r="L2374" s="14"/>
      <c r="M2374" s="14"/>
    </row>
    <row r="2375" spans="1:13" x14ac:dyDescent="0.25">
      <c r="A2375" s="14"/>
      <c r="B2375" s="14"/>
      <c r="C2375" s="14"/>
      <c r="D2375" s="92"/>
      <c r="E2375" s="14"/>
      <c r="F2375" s="14"/>
      <c r="G2375" s="14"/>
      <c r="H2375" s="14"/>
      <c r="I2375" s="67"/>
      <c r="J2375" s="14"/>
      <c r="K2375" s="14"/>
      <c r="L2375" s="14"/>
      <c r="M2375" s="14"/>
    </row>
    <row r="2376" spans="1:13" x14ac:dyDescent="0.25">
      <c r="A2376" s="14"/>
      <c r="B2376" s="14"/>
      <c r="C2376" s="14"/>
      <c r="D2376" s="92"/>
      <c r="E2376" s="14"/>
      <c r="F2376" s="14"/>
      <c r="G2376" s="14"/>
      <c r="H2376" s="14"/>
      <c r="I2376" s="67"/>
      <c r="J2376" s="14"/>
      <c r="K2376" s="14"/>
      <c r="L2376" s="14"/>
      <c r="M2376" s="14"/>
    </row>
    <row r="2377" spans="1:13" x14ac:dyDescent="0.25">
      <c r="A2377" s="14"/>
      <c r="B2377" s="14"/>
      <c r="C2377" s="14"/>
      <c r="D2377" s="92"/>
      <c r="E2377" s="14"/>
      <c r="F2377" s="14"/>
      <c r="G2377" s="14"/>
      <c r="H2377" s="14"/>
      <c r="I2377" s="67"/>
      <c r="J2377" s="14"/>
      <c r="K2377" s="14"/>
      <c r="L2377" s="14"/>
      <c r="M2377" s="14"/>
    </row>
    <row r="2378" spans="1:13" x14ac:dyDescent="0.25">
      <c r="A2378" s="14"/>
      <c r="B2378" s="14"/>
      <c r="C2378" s="14"/>
      <c r="D2378" s="92"/>
      <c r="E2378" s="14"/>
      <c r="F2378" s="14"/>
      <c r="G2378" s="14"/>
      <c r="H2378" s="14"/>
      <c r="I2378" s="67"/>
      <c r="J2378" s="14"/>
      <c r="K2378" s="14"/>
      <c r="L2378" s="14"/>
      <c r="M2378" s="14"/>
    </row>
    <row r="2379" spans="1:13" x14ac:dyDescent="0.25">
      <c r="A2379" s="14"/>
      <c r="B2379" s="14"/>
      <c r="C2379" s="14"/>
      <c r="D2379" s="92"/>
      <c r="E2379" s="14"/>
      <c r="F2379" s="14"/>
      <c r="G2379" s="14"/>
      <c r="H2379" s="14"/>
      <c r="I2379" s="67"/>
      <c r="J2379" s="14"/>
      <c r="K2379" s="14"/>
      <c r="L2379" s="14"/>
      <c r="M2379" s="14"/>
    </row>
    <row r="2380" spans="1:13" x14ac:dyDescent="0.25">
      <c r="A2380" s="14"/>
      <c r="B2380" s="14"/>
      <c r="C2380" s="14"/>
      <c r="D2380" s="92"/>
      <c r="E2380" s="14"/>
      <c r="F2380" s="14"/>
      <c r="G2380" s="14"/>
      <c r="H2380" s="14"/>
      <c r="I2380" s="67"/>
      <c r="J2380" s="14"/>
      <c r="K2380" s="14"/>
      <c r="L2380" s="14"/>
      <c r="M2380" s="14"/>
    </row>
    <row r="2381" spans="1:13" x14ac:dyDescent="0.25">
      <c r="A2381" s="14"/>
      <c r="B2381" s="14"/>
      <c r="C2381" s="14"/>
      <c r="D2381" s="92"/>
      <c r="E2381" s="14"/>
      <c r="F2381" s="14"/>
      <c r="G2381" s="14"/>
      <c r="H2381" s="14"/>
      <c r="I2381" s="67"/>
      <c r="J2381" s="14"/>
      <c r="K2381" s="14"/>
      <c r="L2381" s="14"/>
      <c r="M2381" s="14"/>
    </row>
    <row r="2382" spans="1:13" x14ac:dyDescent="0.25">
      <c r="A2382" s="14"/>
      <c r="B2382" s="14"/>
      <c r="C2382" s="14"/>
      <c r="D2382" s="92"/>
      <c r="E2382" s="14"/>
      <c r="F2382" s="14"/>
      <c r="G2382" s="14"/>
      <c r="H2382" s="14"/>
      <c r="I2382" s="67"/>
      <c r="J2382" s="14"/>
      <c r="K2382" s="14"/>
      <c r="L2382" s="14"/>
      <c r="M2382" s="14"/>
    </row>
    <row r="2383" spans="1:13" x14ac:dyDescent="0.25">
      <c r="A2383" s="14"/>
      <c r="B2383" s="14"/>
      <c r="C2383" s="14"/>
      <c r="D2383" s="92"/>
      <c r="E2383" s="14"/>
      <c r="F2383" s="14"/>
      <c r="G2383" s="14"/>
      <c r="H2383" s="14"/>
      <c r="I2383" s="67"/>
      <c r="J2383" s="14"/>
      <c r="K2383" s="14"/>
      <c r="L2383" s="14"/>
      <c r="M2383" s="14"/>
    </row>
    <row r="2384" spans="1:13" x14ac:dyDescent="0.25">
      <c r="A2384" s="14"/>
      <c r="B2384" s="14"/>
      <c r="C2384" s="14"/>
      <c r="D2384" s="92"/>
      <c r="E2384" s="14"/>
      <c r="F2384" s="14"/>
      <c r="G2384" s="14"/>
      <c r="H2384" s="14"/>
      <c r="I2384" s="67"/>
      <c r="J2384" s="14"/>
      <c r="K2384" s="14"/>
      <c r="L2384" s="14"/>
      <c r="M2384" s="14"/>
    </row>
    <row r="2385" spans="1:13" x14ac:dyDescent="0.25">
      <c r="A2385" s="14"/>
      <c r="B2385" s="14"/>
      <c r="C2385" s="14"/>
      <c r="D2385" s="92"/>
      <c r="E2385" s="14"/>
      <c r="F2385" s="14"/>
      <c r="G2385" s="14"/>
      <c r="H2385" s="14"/>
      <c r="I2385" s="67"/>
      <c r="J2385" s="14"/>
      <c r="K2385" s="14"/>
      <c r="L2385" s="14"/>
      <c r="M2385" s="14"/>
    </row>
    <row r="2386" spans="1:13" x14ac:dyDescent="0.25">
      <c r="A2386" s="14"/>
      <c r="B2386" s="14"/>
      <c r="C2386" s="14"/>
      <c r="D2386" s="92"/>
      <c r="E2386" s="14"/>
      <c r="F2386" s="14"/>
      <c r="G2386" s="14"/>
      <c r="H2386" s="14"/>
      <c r="I2386" s="67"/>
      <c r="J2386" s="14"/>
      <c r="K2386" s="14"/>
      <c r="L2386" s="14"/>
      <c r="M2386" s="14"/>
    </row>
    <row r="2387" spans="1:13" x14ac:dyDescent="0.25">
      <c r="A2387" s="14"/>
      <c r="B2387" s="14"/>
      <c r="C2387" s="14"/>
      <c r="D2387" s="92"/>
      <c r="E2387" s="14"/>
      <c r="F2387" s="14"/>
      <c r="G2387" s="14"/>
      <c r="H2387" s="14"/>
      <c r="I2387" s="67"/>
      <c r="J2387" s="14"/>
      <c r="K2387" s="14"/>
      <c r="L2387" s="14"/>
      <c r="M2387" s="14"/>
    </row>
    <row r="2388" spans="1:13" x14ac:dyDescent="0.25">
      <c r="A2388" s="14"/>
      <c r="B2388" s="14"/>
      <c r="C2388" s="14"/>
      <c r="D2388" s="92"/>
      <c r="E2388" s="14"/>
      <c r="F2388" s="14"/>
      <c r="G2388" s="14"/>
      <c r="H2388" s="14"/>
      <c r="I2388" s="67"/>
      <c r="J2388" s="14"/>
      <c r="K2388" s="14"/>
      <c r="L2388" s="14"/>
      <c r="M2388" s="14"/>
    </row>
    <row r="2389" spans="1:13" x14ac:dyDescent="0.25">
      <c r="A2389" s="14"/>
      <c r="B2389" s="14"/>
      <c r="C2389" s="14"/>
      <c r="D2389" s="92"/>
      <c r="E2389" s="14"/>
      <c r="F2389" s="14"/>
      <c r="G2389" s="14"/>
      <c r="H2389" s="14"/>
      <c r="I2389" s="67"/>
      <c r="J2389" s="14"/>
      <c r="K2389" s="14"/>
      <c r="L2389" s="14"/>
      <c r="M2389" s="14"/>
    </row>
    <row r="2390" spans="1:13" x14ac:dyDescent="0.25">
      <c r="A2390" s="14"/>
      <c r="B2390" s="14"/>
      <c r="C2390" s="14"/>
      <c r="D2390" s="92"/>
      <c r="E2390" s="14"/>
      <c r="F2390" s="14"/>
      <c r="G2390" s="14"/>
      <c r="H2390" s="14"/>
      <c r="I2390" s="67"/>
      <c r="J2390" s="14"/>
      <c r="K2390" s="14"/>
      <c r="L2390" s="14"/>
      <c r="M2390" s="14"/>
    </row>
    <row r="2391" spans="1:13" x14ac:dyDescent="0.25">
      <c r="A2391" s="14"/>
      <c r="B2391" s="14"/>
      <c r="C2391" s="14"/>
      <c r="D2391" s="92"/>
      <c r="E2391" s="14"/>
      <c r="F2391" s="14"/>
      <c r="G2391" s="14"/>
      <c r="H2391" s="14"/>
      <c r="I2391" s="67"/>
      <c r="J2391" s="14"/>
      <c r="K2391" s="14"/>
      <c r="L2391" s="14"/>
      <c r="M2391" s="14"/>
    </row>
    <row r="2392" spans="1:13" x14ac:dyDescent="0.25">
      <c r="A2392" s="14"/>
      <c r="B2392" s="14"/>
      <c r="C2392" s="14"/>
      <c r="D2392" s="92"/>
      <c r="E2392" s="14"/>
      <c r="F2392" s="14"/>
      <c r="G2392" s="14"/>
      <c r="H2392" s="14"/>
      <c r="I2392" s="67"/>
      <c r="J2392" s="14"/>
      <c r="K2392" s="14"/>
      <c r="L2392" s="14"/>
      <c r="M2392" s="14"/>
    </row>
    <row r="2393" spans="1:13" x14ac:dyDescent="0.25">
      <c r="A2393" s="14"/>
      <c r="B2393" s="14"/>
      <c r="C2393" s="14"/>
      <c r="D2393" s="92"/>
      <c r="E2393" s="14"/>
      <c r="F2393" s="14"/>
      <c r="G2393" s="14"/>
      <c r="H2393" s="14"/>
      <c r="I2393" s="67"/>
      <c r="J2393" s="14"/>
      <c r="K2393" s="14"/>
      <c r="L2393" s="14"/>
      <c r="M2393" s="14"/>
    </row>
    <row r="2394" spans="1:13" x14ac:dyDescent="0.25">
      <c r="A2394" s="14"/>
      <c r="B2394" s="14"/>
      <c r="C2394" s="14"/>
      <c r="D2394" s="92"/>
      <c r="E2394" s="14"/>
      <c r="F2394" s="14"/>
      <c r="G2394" s="14"/>
      <c r="H2394" s="14"/>
      <c r="I2394" s="67"/>
      <c r="J2394" s="14"/>
      <c r="K2394" s="14"/>
      <c r="L2394" s="14"/>
      <c r="M2394" s="14"/>
    </row>
    <row r="2395" spans="1:13" x14ac:dyDescent="0.25">
      <c r="A2395" s="14"/>
      <c r="B2395" s="14"/>
      <c r="C2395" s="14"/>
      <c r="D2395" s="92"/>
      <c r="E2395" s="14"/>
      <c r="F2395" s="14"/>
      <c r="G2395" s="14"/>
      <c r="H2395" s="14"/>
      <c r="I2395" s="67"/>
      <c r="J2395" s="14"/>
      <c r="K2395" s="14"/>
      <c r="L2395" s="14"/>
      <c r="M2395" s="14"/>
    </row>
    <row r="2396" spans="1:13" x14ac:dyDescent="0.25">
      <c r="A2396" s="14"/>
      <c r="B2396" s="14"/>
      <c r="C2396" s="14"/>
      <c r="D2396" s="92"/>
      <c r="E2396" s="14"/>
      <c r="F2396" s="14"/>
      <c r="G2396" s="14"/>
      <c r="H2396" s="14"/>
      <c r="I2396" s="67"/>
      <c r="J2396" s="14"/>
      <c r="K2396" s="14"/>
      <c r="L2396" s="14"/>
      <c r="M2396" s="14"/>
    </row>
    <row r="2397" spans="1:13" x14ac:dyDescent="0.25">
      <c r="A2397" s="14"/>
      <c r="B2397" s="14"/>
      <c r="C2397" s="14"/>
      <c r="D2397" s="92"/>
      <c r="E2397" s="14"/>
      <c r="F2397" s="14"/>
      <c r="G2397" s="14"/>
      <c r="H2397" s="14"/>
      <c r="I2397" s="67"/>
      <c r="J2397" s="14"/>
      <c r="K2397" s="14"/>
      <c r="L2397" s="14"/>
      <c r="M2397" s="14"/>
    </row>
    <row r="2398" spans="1:13" x14ac:dyDescent="0.25">
      <c r="A2398" s="14"/>
      <c r="B2398" s="14"/>
      <c r="C2398" s="14"/>
      <c r="D2398" s="92"/>
      <c r="E2398" s="14"/>
      <c r="F2398" s="14"/>
      <c r="G2398" s="14"/>
      <c r="H2398" s="14"/>
      <c r="I2398" s="67"/>
      <c r="J2398" s="14"/>
      <c r="K2398" s="14"/>
      <c r="L2398" s="14"/>
      <c r="M2398" s="14"/>
    </row>
    <row r="2399" spans="1:13" x14ac:dyDescent="0.25">
      <c r="A2399" s="14"/>
      <c r="B2399" s="14"/>
      <c r="C2399" s="14"/>
      <c r="D2399" s="92"/>
      <c r="E2399" s="14"/>
      <c r="F2399" s="14"/>
      <c r="G2399" s="14"/>
      <c r="H2399" s="14"/>
      <c r="I2399" s="67"/>
      <c r="J2399" s="14"/>
      <c r="K2399" s="14"/>
      <c r="L2399" s="14"/>
      <c r="M2399" s="14"/>
    </row>
    <row r="2400" spans="1:13" x14ac:dyDescent="0.25">
      <c r="A2400" s="14"/>
      <c r="B2400" s="14"/>
      <c r="C2400" s="14"/>
      <c r="D2400" s="92"/>
      <c r="E2400" s="14"/>
      <c r="F2400" s="14"/>
      <c r="G2400" s="14"/>
      <c r="H2400" s="14"/>
      <c r="I2400" s="67"/>
      <c r="J2400" s="14"/>
      <c r="K2400" s="14"/>
      <c r="L2400" s="14"/>
      <c r="M2400" s="14"/>
    </row>
    <row r="2401" spans="1:13" x14ac:dyDescent="0.25">
      <c r="A2401" s="14"/>
      <c r="B2401" s="14"/>
      <c r="C2401" s="14"/>
      <c r="D2401" s="92"/>
      <c r="E2401" s="14"/>
      <c r="F2401" s="14"/>
      <c r="G2401" s="14"/>
      <c r="H2401" s="14"/>
      <c r="I2401" s="67"/>
      <c r="J2401" s="14"/>
      <c r="K2401" s="14"/>
      <c r="L2401" s="14"/>
      <c r="M2401" s="14"/>
    </row>
    <row r="2402" spans="1:13" x14ac:dyDescent="0.25">
      <c r="A2402" s="14"/>
      <c r="B2402" s="14"/>
      <c r="C2402" s="14"/>
      <c r="D2402" s="92"/>
      <c r="E2402" s="14"/>
      <c r="F2402" s="14"/>
      <c r="G2402" s="14"/>
      <c r="H2402" s="14"/>
      <c r="I2402" s="67"/>
      <c r="J2402" s="14"/>
      <c r="K2402" s="14"/>
      <c r="L2402" s="14"/>
      <c r="M2402" s="14"/>
    </row>
    <row r="2403" spans="1:13" x14ac:dyDescent="0.25">
      <c r="A2403" s="14"/>
      <c r="B2403" s="14"/>
      <c r="C2403" s="14"/>
      <c r="D2403" s="92"/>
      <c r="E2403" s="14"/>
      <c r="F2403" s="14"/>
      <c r="G2403" s="14"/>
      <c r="H2403" s="14"/>
      <c r="I2403" s="67"/>
      <c r="J2403" s="14"/>
      <c r="K2403" s="14"/>
      <c r="L2403" s="14"/>
      <c r="M2403" s="14"/>
    </row>
    <row r="2404" spans="1:13" x14ac:dyDescent="0.25">
      <c r="A2404" s="14"/>
      <c r="B2404" s="14"/>
      <c r="C2404" s="14"/>
      <c r="D2404" s="92"/>
      <c r="E2404" s="14"/>
      <c r="F2404" s="14"/>
      <c r="G2404" s="14"/>
      <c r="H2404" s="14"/>
      <c r="I2404" s="67"/>
      <c r="J2404" s="14"/>
      <c r="K2404" s="14"/>
      <c r="L2404" s="14"/>
      <c r="M2404" s="14"/>
    </row>
    <row r="2405" spans="1:13" x14ac:dyDescent="0.25">
      <c r="A2405" s="14"/>
      <c r="B2405" s="14"/>
      <c r="C2405" s="14"/>
      <c r="D2405" s="92"/>
      <c r="E2405" s="14"/>
      <c r="F2405" s="14"/>
      <c r="G2405" s="14"/>
      <c r="H2405" s="14"/>
      <c r="I2405" s="67"/>
      <c r="J2405" s="14"/>
      <c r="K2405" s="14"/>
      <c r="L2405" s="14"/>
      <c r="M2405" s="14"/>
    </row>
    <row r="2406" spans="1:13" x14ac:dyDescent="0.25">
      <c r="A2406" s="14"/>
      <c r="B2406" s="14"/>
      <c r="C2406" s="14"/>
      <c r="D2406" s="92"/>
      <c r="E2406" s="14"/>
      <c r="F2406" s="14"/>
      <c r="G2406" s="14"/>
      <c r="H2406" s="14"/>
      <c r="I2406" s="67"/>
      <c r="J2406" s="14"/>
      <c r="K2406" s="14"/>
      <c r="L2406" s="14"/>
      <c r="M2406" s="14"/>
    </row>
    <row r="2407" spans="1:13" x14ac:dyDescent="0.25">
      <c r="A2407" s="14"/>
      <c r="B2407" s="14"/>
      <c r="C2407" s="14"/>
      <c r="D2407" s="92"/>
      <c r="E2407" s="14"/>
      <c r="F2407" s="14"/>
      <c r="G2407" s="14"/>
      <c r="H2407" s="14"/>
      <c r="I2407" s="67"/>
      <c r="J2407" s="14"/>
      <c r="K2407" s="14"/>
      <c r="L2407" s="14"/>
      <c r="M2407" s="14"/>
    </row>
    <row r="2408" spans="1:13" x14ac:dyDescent="0.25">
      <c r="A2408" s="14"/>
      <c r="B2408" s="14"/>
      <c r="C2408" s="14"/>
      <c r="D2408" s="92"/>
      <c r="E2408" s="14"/>
      <c r="F2408" s="14"/>
      <c r="G2408" s="14"/>
      <c r="H2408" s="14"/>
      <c r="I2408" s="67"/>
      <c r="J2408" s="14"/>
      <c r="K2408" s="14"/>
      <c r="L2408" s="14"/>
      <c r="M2408" s="14"/>
    </row>
    <row r="2409" spans="1:13" x14ac:dyDescent="0.25">
      <c r="A2409" s="14"/>
      <c r="B2409" s="14"/>
      <c r="C2409" s="14"/>
      <c r="D2409" s="92"/>
      <c r="E2409" s="14"/>
      <c r="F2409" s="14"/>
      <c r="G2409" s="14"/>
      <c r="H2409" s="14"/>
      <c r="I2409" s="67"/>
      <c r="J2409" s="14"/>
      <c r="K2409" s="14"/>
      <c r="L2409" s="14"/>
      <c r="M2409" s="14"/>
    </row>
    <row r="2410" spans="1:13" x14ac:dyDescent="0.25">
      <c r="A2410" s="14"/>
      <c r="B2410" s="14"/>
      <c r="C2410" s="14"/>
      <c r="D2410" s="92"/>
      <c r="E2410" s="14"/>
      <c r="F2410" s="14"/>
      <c r="G2410" s="14"/>
      <c r="H2410" s="14"/>
      <c r="I2410" s="67"/>
      <c r="J2410" s="14"/>
      <c r="K2410" s="14"/>
      <c r="L2410" s="14"/>
      <c r="M2410" s="14"/>
    </row>
    <row r="2411" spans="1:13" x14ac:dyDescent="0.25">
      <c r="A2411" s="14"/>
      <c r="B2411" s="14"/>
      <c r="C2411" s="14"/>
      <c r="D2411" s="92"/>
      <c r="E2411" s="14"/>
      <c r="F2411" s="14"/>
      <c r="G2411" s="14"/>
      <c r="H2411" s="14"/>
      <c r="I2411" s="67"/>
      <c r="J2411" s="14"/>
      <c r="K2411" s="14"/>
      <c r="L2411" s="14"/>
      <c r="M2411" s="14"/>
    </row>
    <row r="2412" spans="1:13" x14ac:dyDescent="0.25">
      <c r="A2412" s="14"/>
      <c r="B2412" s="14"/>
      <c r="C2412" s="14"/>
      <c r="D2412" s="92"/>
      <c r="E2412" s="14"/>
      <c r="F2412" s="14"/>
      <c r="G2412" s="14"/>
      <c r="H2412" s="14"/>
      <c r="I2412" s="67"/>
      <c r="J2412" s="14"/>
      <c r="K2412" s="14"/>
      <c r="L2412" s="14"/>
      <c r="M2412" s="14"/>
    </row>
    <row r="2413" spans="1:13" x14ac:dyDescent="0.25">
      <c r="A2413" s="14"/>
      <c r="B2413" s="14"/>
      <c r="C2413" s="14"/>
      <c r="D2413" s="92"/>
      <c r="E2413" s="14"/>
      <c r="F2413" s="14"/>
      <c r="G2413" s="14"/>
      <c r="H2413" s="14"/>
      <c r="I2413" s="67"/>
      <c r="J2413" s="14"/>
      <c r="K2413" s="14"/>
      <c r="L2413" s="14"/>
      <c r="M2413" s="14"/>
    </row>
    <row r="2414" spans="1:13" x14ac:dyDescent="0.25">
      <c r="A2414" s="14"/>
      <c r="B2414" s="14"/>
      <c r="C2414" s="14"/>
      <c r="D2414" s="92"/>
      <c r="E2414" s="14"/>
      <c r="F2414" s="14"/>
      <c r="G2414" s="14"/>
      <c r="H2414" s="14"/>
      <c r="I2414" s="67"/>
      <c r="J2414" s="14"/>
      <c r="K2414" s="14"/>
      <c r="L2414" s="14"/>
      <c r="M2414" s="14"/>
    </row>
    <row r="2415" spans="1:13" x14ac:dyDescent="0.25">
      <c r="A2415" s="14"/>
      <c r="B2415" s="14"/>
      <c r="C2415" s="14"/>
      <c r="D2415" s="92"/>
      <c r="E2415" s="14"/>
      <c r="F2415" s="14"/>
      <c r="G2415" s="14"/>
      <c r="H2415" s="14"/>
      <c r="I2415" s="67"/>
      <c r="J2415" s="14"/>
      <c r="K2415" s="14"/>
      <c r="L2415" s="14"/>
      <c r="M2415" s="14"/>
    </row>
    <row r="2416" spans="1:13" x14ac:dyDescent="0.25">
      <c r="A2416" s="14"/>
      <c r="B2416" s="14"/>
      <c r="C2416" s="14"/>
      <c r="D2416" s="92"/>
      <c r="E2416" s="14"/>
      <c r="F2416" s="14"/>
      <c r="G2416" s="14"/>
      <c r="H2416" s="14"/>
      <c r="I2416" s="67"/>
      <c r="J2416" s="14"/>
      <c r="K2416" s="14"/>
      <c r="L2416" s="14"/>
      <c r="M2416" s="14"/>
    </row>
    <row r="2417" spans="1:13" x14ac:dyDescent="0.25">
      <c r="A2417" s="14"/>
      <c r="B2417" s="14"/>
      <c r="C2417" s="14"/>
      <c r="D2417" s="92"/>
      <c r="E2417" s="14"/>
      <c r="F2417" s="14"/>
      <c r="G2417" s="14"/>
      <c r="H2417" s="14"/>
      <c r="I2417" s="67"/>
      <c r="J2417" s="14"/>
      <c r="K2417" s="14"/>
      <c r="L2417" s="14"/>
      <c r="M2417" s="14"/>
    </row>
    <row r="2418" spans="1:13" x14ac:dyDescent="0.25">
      <c r="A2418" s="14"/>
      <c r="B2418" s="14"/>
      <c r="C2418" s="14"/>
      <c r="D2418" s="92"/>
      <c r="E2418" s="14"/>
      <c r="F2418" s="14"/>
      <c r="G2418" s="14"/>
      <c r="H2418" s="14"/>
      <c r="I2418" s="67"/>
      <c r="J2418" s="14"/>
      <c r="K2418" s="14"/>
      <c r="L2418" s="14"/>
      <c r="M2418" s="14"/>
    </row>
    <row r="2419" spans="1:13" x14ac:dyDescent="0.25">
      <c r="A2419" s="14"/>
      <c r="B2419" s="14"/>
      <c r="C2419" s="14"/>
      <c r="D2419" s="92"/>
      <c r="E2419" s="14"/>
      <c r="F2419" s="14"/>
      <c r="G2419" s="14"/>
      <c r="H2419" s="14"/>
      <c r="I2419" s="67"/>
      <c r="J2419" s="14"/>
      <c r="K2419" s="14"/>
      <c r="L2419" s="14"/>
      <c r="M2419" s="14"/>
    </row>
    <row r="2420" spans="1:13" x14ac:dyDescent="0.25">
      <c r="A2420" s="14"/>
      <c r="B2420" s="14"/>
      <c r="C2420" s="14"/>
      <c r="D2420" s="92"/>
      <c r="E2420" s="14"/>
      <c r="F2420" s="14"/>
      <c r="G2420" s="14"/>
      <c r="H2420" s="14"/>
      <c r="I2420" s="67"/>
      <c r="J2420" s="14"/>
      <c r="K2420" s="14"/>
      <c r="L2420" s="14"/>
      <c r="M2420" s="14"/>
    </row>
    <row r="2421" spans="1:13" x14ac:dyDescent="0.25">
      <c r="A2421" s="14"/>
      <c r="B2421" s="14"/>
      <c r="C2421" s="14"/>
      <c r="D2421" s="92"/>
      <c r="E2421" s="14"/>
      <c r="F2421" s="14"/>
      <c r="G2421" s="14"/>
      <c r="H2421" s="14"/>
      <c r="I2421" s="67"/>
      <c r="J2421" s="14"/>
      <c r="K2421" s="14"/>
      <c r="L2421" s="14"/>
      <c r="M2421" s="14"/>
    </row>
    <row r="2422" spans="1:13" x14ac:dyDescent="0.25">
      <c r="A2422" s="14"/>
      <c r="B2422" s="14"/>
      <c r="C2422" s="14"/>
      <c r="D2422" s="92"/>
      <c r="E2422" s="14"/>
      <c r="F2422" s="14"/>
      <c r="G2422" s="14"/>
      <c r="H2422" s="14"/>
      <c r="I2422" s="67"/>
      <c r="J2422" s="14"/>
      <c r="K2422" s="14"/>
      <c r="L2422" s="14"/>
      <c r="M2422" s="14"/>
    </row>
    <row r="2423" spans="1:13" x14ac:dyDescent="0.25">
      <c r="A2423" s="14"/>
      <c r="B2423" s="14"/>
      <c r="C2423" s="14"/>
      <c r="D2423" s="92"/>
      <c r="E2423" s="14"/>
      <c r="F2423" s="14"/>
      <c r="G2423" s="14"/>
      <c r="H2423" s="14"/>
      <c r="I2423" s="67"/>
      <c r="J2423" s="14"/>
      <c r="K2423" s="14"/>
      <c r="L2423" s="14"/>
      <c r="M2423" s="14"/>
    </row>
    <row r="2424" spans="1:13" x14ac:dyDescent="0.25">
      <c r="A2424" s="14"/>
      <c r="B2424" s="14"/>
      <c r="C2424" s="14"/>
      <c r="D2424" s="92"/>
      <c r="E2424" s="14"/>
      <c r="F2424" s="14"/>
      <c r="G2424" s="14"/>
      <c r="H2424" s="14"/>
      <c r="I2424" s="67"/>
      <c r="J2424" s="14"/>
      <c r="K2424" s="14"/>
      <c r="L2424" s="14"/>
      <c r="M2424" s="14"/>
    </row>
    <row r="2425" spans="1:13" x14ac:dyDescent="0.25">
      <c r="A2425" s="14"/>
      <c r="B2425" s="14"/>
      <c r="C2425" s="14"/>
      <c r="D2425" s="92"/>
      <c r="E2425" s="14"/>
      <c r="F2425" s="14"/>
      <c r="G2425" s="14"/>
      <c r="H2425" s="14"/>
      <c r="I2425" s="67"/>
      <c r="J2425" s="14"/>
      <c r="K2425" s="14"/>
      <c r="L2425" s="14"/>
      <c r="M2425" s="14"/>
    </row>
    <row r="2426" spans="1:13" x14ac:dyDescent="0.25">
      <c r="A2426" s="14"/>
      <c r="B2426" s="14"/>
      <c r="C2426" s="14"/>
      <c r="D2426" s="92"/>
      <c r="E2426" s="14"/>
      <c r="F2426" s="14"/>
      <c r="G2426" s="14"/>
      <c r="H2426" s="14"/>
      <c r="I2426" s="67"/>
      <c r="J2426" s="14"/>
      <c r="K2426" s="14"/>
      <c r="L2426" s="14"/>
      <c r="M2426" s="14"/>
    </row>
    <row r="2427" spans="1:13" x14ac:dyDescent="0.25">
      <c r="A2427" s="14"/>
      <c r="B2427" s="14"/>
      <c r="C2427" s="14"/>
      <c r="D2427" s="92"/>
      <c r="E2427" s="14"/>
      <c r="F2427" s="14"/>
      <c r="G2427" s="14"/>
      <c r="H2427" s="14"/>
      <c r="I2427" s="67"/>
      <c r="J2427" s="14"/>
      <c r="K2427" s="14"/>
      <c r="L2427" s="14"/>
      <c r="M2427" s="14"/>
    </row>
    <row r="2428" spans="1:13" x14ac:dyDescent="0.25">
      <c r="A2428" s="14"/>
      <c r="B2428" s="14"/>
      <c r="C2428" s="14"/>
      <c r="D2428" s="92"/>
      <c r="E2428" s="14"/>
      <c r="F2428" s="14"/>
      <c r="G2428" s="14"/>
      <c r="H2428" s="14"/>
      <c r="I2428" s="67"/>
      <c r="J2428" s="14"/>
      <c r="K2428" s="14"/>
      <c r="L2428" s="14"/>
      <c r="M2428" s="14"/>
    </row>
    <row r="2429" spans="1:13" x14ac:dyDescent="0.25">
      <c r="A2429" s="14"/>
      <c r="B2429" s="14"/>
      <c r="C2429" s="14"/>
      <c r="D2429" s="92"/>
      <c r="E2429" s="14"/>
      <c r="F2429" s="14"/>
      <c r="G2429" s="14"/>
      <c r="H2429" s="14"/>
      <c r="I2429" s="67"/>
      <c r="J2429" s="14"/>
      <c r="K2429" s="14"/>
      <c r="L2429" s="14"/>
      <c r="M2429" s="14"/>
    </row>
    <row r="2430" spans="1:13" x14ac:dyDescent="0.25">
      <c r="A2430" s="14"/>
      <c r="B2430" s="14"/>
      <c r="C2430" s="14"/>
      <c r="D2430" s="92"/>
      <c r="E2430" s="14"/>
      <c r="F2430" s="14"/>
      <c r="G2430" s="14"/>
      <c r="H2430" s="14"/>
      <c r="I2430" s="67"/>
      <c r="J2430" s="14"/>
      <c r="K2430" s="14"/>
      <c r="L2430" s="14"/>
      <c r="M2430" s="14"/>
    </row>
    <row r="2431" spans="1:13" x14ac:dyDescent="0.25">
      <c r="A2431" s="14"/>
      <c r="B2431" s="14"/>
      <c r="C2431" s="14"/>
      <c r="D2431" s="92"/>
      <c r="E2431" s="14"/>
      <c r="F2431" s="14"/>
      <c r="G2431" s="14"/>
      <c r="H2431" s="14"/>
      <c r="I2431" s="67"/>
      <c r="J2431" s="14"/>
      <c r="K2431" s="14"/>
      <c r="L2431" s="14"/>
      <c r="M2431" s="14"/>
    </row>
    <row r="2432" spans="1:13" x14ac:dyDescent="0.25">
      <c r="A2432" s="14"/>
      <c r="B2432" s="14"/>
      <c r="C2432" s="14"/>
      <c r="D2432" s="92"/>
      <c r="E2432" s="14"/>
      <c r="F2432" s="14"/>
      <c r="G2432" s="14"/>
      <c r="H2432" s="14"/>
      <c r="I2432" s="67"/>
      <c r="J2432" s="14"/>
      <c r="K2432" s="14"/>
      <c r="L2432" s="14"/>
      <c r="M2432" s="14"/>
    </row>
    <row r="2433" spans="1:13" x14ac:dyDescent="0.25">
      <c r="A2433" s="14"/>
      <c r="B2433" s="14"/>
      <c r="C2433" s="14"/>
      <c r="D2433" s="92"/>
      <c r="E2433" s="14"/>
      <c r="F2433" s="14"/>
      <c r="G2433" s="14"/>
      <c r="H2433" s="14"/>
      <c r="I2433" s="67"/>
      <c r="J2433" s="14"/>
      <c r="K2433" s="14"/>
      <c r="L2433" s="14"/>
      <c r="M2433" s="14"/>
    </row>
    <row r="2434" spans="1:13" x14ac:dyDescent="0.25">
      <c r="A2434" s="14"/>
      <c r="B2434" s="14"/>
      <c r="C2434" s="14"/>
      <c r="D2434" s="92"/>
      <c r="E2434" s="14"/>
      <c r="F2434" s="14"/>
      <c r="G2434" s="14"/>
      <c r="H2434" s="14"/>
      <c r="I2434" s="67"/>
      <c r="J2434" s="14"/>
      <c r="K2434" s="14"/>
      <c r="L2434" s="14"/>
      <c r="M2434" s="14"/>
    </row>
    <row r="2435" spans="1:13" x14ac:dyDescent="0.25">
      <c r="A2435" s="14"/>
      <c r="B2435" s="14"/>
      <c r="C2435" s="14"/>
      <c r="D2435" s="92"/>
      <c r="E2435" s="14"/>
      <c r="F2435" s="14"/>
      <c r="G2435" s="14"/>
      <c r="H2435" s="14"/>
      <c r="I2435" s="67"/>
      <c r="J2435" s="14"/>
      <c r="K2435" s="14"/>
      <c r="L2435" s="14"/>
      <c r="M2435" s="14"/>
    </row>
    <row r="2436" spans="1:13" x14ac:dyDescent="0.25">
      <c r="A2436" s="14"/>
      <c r="B2436" s="14"/>
      <c r="C2436" s="14"/>
      <c r="D2436" s="92"/>
      <c r="E2436" s="14"/>
      <c r="F2436" s="14"/>
      <c r="G2436" s="14"/>
      <c r="H2436" s="14"/>
      <c r="I2436" s="67"/>
      <c r="J2436" s="14"/>
      <c r="K2436" s="14"/>
      <c r="L2436" s="14"/>
      <c r="M2436" s="14"/>
    </row>
    <row r="2437" spans="1:13" x14ac:dyDescent="0.25">
      <c r="A2437" s="14"/>
      <c r="B2437" s="14"/>
      <c r="C2437" s="14"/>
      <c r="D2437" s="92"/>
      <c r="E2437" s="14"/>
      <c r="F2437" s="14"/>
      <c r="G2437" s="14"/>
      <c r="H2437" s="14"/>
      <c r="I2437" s="67"/>
      <c r="J2437" s="14"/>
      <c r="K2437" s="14"/>
      <c r="L2437" s="14"/>
      <c r="M2437" s="14"/>
    </row>
    <row r="2438" spans="1:13" x14ac:dyDescent="0.25">
      <c r="A2438" s="14"/>
      <c r="B2438" s="14"/>
      <c r="C2438" s="14"/>
      <c r="D2438" s="92"/>
      <c r="E2438" s="14"/>
      <c r="F2438" s="14"/>
      <c r="G2438" s="14"/>
      <c r="H2438" s="14"/>
      <c r="I2438" s="67"/>
      <c r="J2438" s="14"/>
      <c r="K2438" s="14"/>
      <c r="L2438" s="14"/>
      <c r="M2438" s="14"/>
    </row>
    <row r="2439" spans="1:13" x14ac:dyDescent="0.25">
      <c r="A2439" s="14"/>
      <c r="B2439" s="14"/>
      <c r="C2439" s="14"/>
      <c r="D2439" s="92"/>
      <c r="E2439" s="14"/>
      <c r="F2439" s="14"/>
      <c r="G2439" s="14"/>
      <c r="H2439" s="14"/>
      <c r="I2439" s="67"/>
      <c r="J2439" s="14"/>
      <c r="K2439" s="14"/>
      <c r="L2439" s="14"/>
      <c r="M2439" s="14"/>
    </row>
    <row r="2440" spans="1:13" x14ac:dyDescent="0.25">
      <c r="A2440" s="14"/>
      <c r="B2440" s="14"/>
      <c r="C2440" s="14"/>
      <c r="D2440" s="92"/>
      <c r="E2440" s="14"/>
      <c r="F2440" s="14"/>
      <c r="G2440" s="14"/>
      <c r="H2440" s="14"/>
      <c r="I2440" s="67"/>
      <c r="J2440" s="14"/>
      <c r="K2440" s="14"/>
      <c r="L2440" s="14"/>
      <c r="M2440" s="14"/>
    </row>
    <row r="2441" spans="1:13" x14ac:dyDescent="0.25">
      <c r="A2441" s="14"/>
      <c r="B2441" s="14"/>
      <c r="C2441" s="14"/>
      <c r="D2441" s="92"/>
      <c r="E2441" s="14"/>
      <c r="F2441" s="14"/>
      <c r="G2441" s="14"/>
      <c r="H2441" s="14"/>
      <c r="I2441" s="67"/>
      <c r="J2441" s="14"/>
      <c r="K2441" s="14"/>
      <c r="L2441" s="14"/>
      <c r="M2441" s="14"/>
    </row>
    <row r="2442" spans="1:13" x14ac:dyDescent="0.25">
      <c r="A2442" s="14"/>
      <c r="B2442" s="14"/>
      <c r="C2442" s="14"/>
      <c r="D2442" s="92"/>
      <c r="E2442" s="14"/>
      <c r="F2442" s="14"/>
      <c r="G2442" s="14"/>
      <c r="H2442" s="14"/>
      <c r="I2442" s="67"/>
      <c r="J2442" s="14"/>
      <c r="K2442" s="14"/>
      <c r="L2442" s="14"/>
      <c r="M2442" s="14"/>
    </row>
    <row r="2443" spans="1:13" x14ac:dyDescent="0.25">
      <c r="A2443" s="14"/>
      <c r="B2443" s="14"/>
      <c r="C2443" s="14"/>
      <c r="D2443" s="92"/>
      <c r="E2443" s="14"/>
      <c r="F2443" s="14"/>
      <c r="G2443" s="14"/>
      <c r="H2443" s="14"/>
      <c r="I2443" s="67"/>
      <c r="J2443" s="14"/>
      <c r="K2443" s="14"/>
      <c r="L2443" s="14"/>
      <c r="M2443" s="14"/>
    </row>
    <row r="2444" spans="1:13" x14ac:dyDescent="0.25">
      <c r="A2444" s="14"/>
      <c r="B2444" s="14"/>
      <c r="C2444" s="14"/>
      <c r="D2444" s="92"/>
      <c r="E2444" s="14"/>
      <c r="F2444" s="14"/>
      <c r="G2444" s="14"/>
      <c r="H2444" s="14"/>
      <c r="I2444" s="67"/>
      <c r="J2444" s="14"/>
      <c r="K2444" s="14"/>
      <c r="L2444" s="14"/>
      <c r="M2444" s="14"/>
    </row>
    <row r="2445" spans="1:13" x14ac:dyDescent="0.25">
      <c r="A2445" s="14"/>
      <c r="B2445" s="14"/>
      <c r="C2445" s="14"/>
      <c r="D2445" s="92"/>
      <c r="E2445" s="14"/>
      <c r="F2445" s="14"/>
      <c r="G2445" s="14"/>
      <c r="H2445" s="14"/>
      <c r="I2445" s="67"/>
      <c r="J2445" s="14"/>
      <c r="K2445" s="14"/>
      <c r="L2445" s="14"/>
      <c r="M2445" s="14"/>
    </row>
    <row r="2446" spans="1:13" x14ac:dyDescent="0.25">
      <c r="A2446" s="14"/>
      <c r="B2446" s="14"/>
      <c r="C2446" s="14"/>
      <c r="D2446" s="92"/>
      <c r="E2446" s="14"/>
      <c r="F2446" s="14"/>
      <c r="G2446" s="14"/>
      <c r="H2446" s="14"/>
      <c r="I2446" s="67"/>
      <c r="J2446" s="14"/>
      <c r="K2446" s="14"/>
      <c r="L2446" s="14"/>
      <c r="M2446" s="14"/>
    </row>
    <row r="2447" spans="1:13" x14ac:dyDescent="0.25">
      <c r="A2447" s="14"/>
      <c r="B2447" s="14"/>
      <c r="C2447" s="14"/>
      <c r="D2447" s="92"/>
      <c r="E2447" s="14"/>
      <c r="F2447" s="14"/>
      <c r="G2447" s="14"/>
      <c r="H2447" s="14"/>
      <c r="I2447" s="67"/>
      <c r="J2447" s="14"/>
      <c r="K2447" s="14"/>
      <c r="L2447" s="14"/>
      <c r="M2447" s="14"/>
    </row>
    <row r="2448" spans="1:13" x14ac:dyDescent="0.25">
      <c r="A2448" s="14"/>
      <c r="B2448" s="14"/>
      <c r="C2448" s="14"/>
      <c r="D2448" s="92"/>
      <c r="E2448" s="14"/>
      <c r="F2448" s="14"/>
      <c r="G2448" s="14"/>
      <c r="H2448" s="14"/>
      <c r="I2448" s="67"/>
      <c r="J2448" s="14"/>
      <c r="K2448" s="14"/>
      <c r="L2448" s="14"/>
      <c r="M2448" s="14"/>
    </row>
    <row r="2449" spans="1:13" x14ac:dyDescent="0.25">
      <c r="A2449" s="14"/>
      <c r="B2449" s="14"/>
      <c r="C2449" s="14"/>
      <c r="D2449" s="92"/>
      <c r="E2449" s="14"/>
      <c r="F2449" s="14"/>
      <c r="G2449" s="14"/>
      <c r="H2449" s="14"/>
      <c r="I2449" s="67"/>
      <c r="J2449" s="14"/>
      <c r="K2449" s="14"/>
      <c r="L2449" s="14"/>
      <c r="M2449" s="14"/>
    </row>
    <row r="2450" spans="1:13" x14ac:dyDescent="0.25">
      <c r="A2450" s="14"/>
      <c r="B2450" s="14"/>
      <c r="C2450" s="14"/>
      <c r="D2450" s="92"/>
      <c r="E2450" s="14"/>
      <c r="F2450" s="14"/>
      <c r="G2450" s="14"/>
      <c r="H2450" s="14"/>
      <c r="I2450" s="67"/>
      <c r="J2450" s="14"/>
      <c r="K2450" s="14"/>
      <c r="L2450" s="14"/>
      <c r="M2450" s="14"/>
    </row>
    <row r="2451" spans="1:13" x14ac:dyDescent="0.25">
      <c r="A2451" s="14"/>
      <c r="B2451" s="14"/>
      <c r="C2451" s="14"/>
      <c r="D2451" s="92"/>
      <c r="E2451" s="14"/>
      <c r="F2451" s="14"/>
      <c r="G2451" s="14"/>
      <c r="H2451" s="14"/>
      <c r="I2451" s="67"/>
      <c r="J2451" s="14"/>
      <c r="K2451" s="14"/>
      <c r="L2451" s="14"/>
      <c r="M2451" s="14"/>
    </row>
    <row r="2452" spans="1:13" x14ac:dyDescent="0.25">
      <c r="A2452" s="14"/>
      <c r="B2452" s="14"/>
      <c r="C2452" s="14"/>
      <c r="D2452" s="92"/>
      <c r="E2452" s="14"/>
      <c r="F2452" s="14"/>
      <c r="G2452" s="14"/>
      <c r="H2452" s="14"/>
      <c r="I2452" s="67"/>
      <c r="J2452" s="14"/>
      <c r="K2452" s="14"/>
      <c r="L2452" s="14"/>
      <c r="M2452" s="14"/>
    </row>
    <row r="2453" spans="1:13" x14ac:dyDescent="0.25">
      <c r="A2453" s="14"/>
      <c r="B2453" s="14"/>
      <c r="C2453" s="14"/>
      <c r="D2453" s="92"/>
      <c r="E2453" s="14"/>
      <c r="F2453" s="14"/>
      <c r="G2453" s="14"/>
      <c r="H2453" s="14"/>
      <c r="I2453" s="67"/>
      <c r="J2453" s="14"/>
      <c r="K2453" s="14"/>
      <c r="L2453" s="14"/>
      <c r="M2453" s="14"/>
    </row>
    <row r="2454" spans="1:13" x14ac:dyDescent="0.25">
      <c r="A2454" s="14"/>
      <c r="B2454" s="14"/>
      <c r="C2454" s="14"/>
      <c r="D2454" s="92"/>
      <c r="E2454" s="14"/>
      <c r="F2454" s="14"/>
      <c r="G2454" s="14"/>
      <c r="H2454" s="14"/>
      <c r="I2454" s="67"/>
      <c r="J2454" s="14"/>
      <c r="K2454" s="14"/>
      <c r="L2454" s="14"/>
      <c r="M2454" s="14"/>
    </row>
    <row r="2455" spans="1:13" x14ac:dyDescent="0.25">
      <c r="A2455" s="14"/>
      <c r="B2455" s="14"/>
      <c r="C2455" s="14"/>
      <c r="D2455" s="92"/>
      <c r="E2455" s="14"/>
      <c r="F2455" s="14"/>
      <c r="G2455" s="14"/>
      <c r="H2455" s="14"/>
      <c r="I2455" s="67"/>
      <c r="J2455" s="14"/>
      <c r="K2455" s="14"/>
      <c r="L2455" s="14"/>
      <c r="M2455" s="14"/>
    </row>
    <row r="2456" spans="1:13" x14ac:dyDescent="0.25">
      <c r="A2456" s="14"/>
      <c r="B2456" s="14"/>
      <c r="C2456" s="14"/>
      <c r="D2456" s="92"/>
      <c r="E2456" s="14"/>
      <c r="F2456" s="14"/>
      <c r="G2456" s="14"/>
      <c r="H2456" s="14"/>
      <c r="I2456" s="67"/>
      <c r="J2456" s="14"/>
      <c r="K2456" s="14"/>
      <c r="L2456" s="14"/>
      <c r="M2456" s="14"/>
    </row>
    <row r="2457" spans="1:13" x14ac:dyDescent="0.25">
      <c r="A2457" s="14"/>
      <c r="B2457" s="14"/>
      <c r="C2457" s="14"/>
      <c r="D2457" s="92"/>
      <c r="E2457" s="14"/>
      <c r="F2457" s="14"/>
      <c r="G2457" s="14"/>
      <c r="H2457" s="14"/>
      <c r="I2457" s="67"/>
      <c r="J2457" s="14"/>
      <c r="K2457" s="14"/>
      <c r="L2457" s="14"/>
      <c r="M2457" s="14"/>
    </row>
    <row r="2458" spans="1:13" x14ac:dyDescent="0.25">
      <c r="A2458" s="14"/>
      <c r="B2458" s="14"/>
      <c r="C2458" s="14"/>
      <c r="D2458" s="92"/>
      <c r="E2458" s="14"/>
      <c r="F2458" s="14"/>
      <c r="G2458" s="14"/>
      <c r="H2458" s="14"/>
      <c r="I2458" s="67"/>
      <c r="J2458" s="14"/>
      <c r="K2458" s="14"/>
      <c r="L2458" s="14"/>
      <c r="M2458" s="14"/>
    </row>
    <row r="2459" spans="1:13" x14ac:dyDescent="0.25">
      <c r="A2459" s="14"/>
      <c r="B2459" s="14"/>
      <c r="C2459" s="14"/>
      <c r="D2459" s="92"/>
      <c r="E2459" s="14"/>
      <c r="F2459" s="14"/>
      <c r="G2459" s="14"/>
      <c r="H2459" s="14"/>
      <c r="I2459" s="67"/>
      <c r="J2459" s="14"/>
      <c r="K2459" s="14"/>
      <c r="L2459" s="14"/>
      <c r="M2459" s="14"/>
    </row>
    <row r="2460" spans="1:13" x14ac:dyDescent="0.25">
      <c r="A2460" s="14"/>
      <c r="B2460" s="14"/>
      <c r="C2460" s="14"/>
      <c r="D2460" s="92"/>
      <c r="E2460" s="14"/>
      <c r="F2460" s="14"/>
      <c r="G2460" s="14"/>
      <c r="H2460" s="14"/>
      <c r="I2460" s="67"/>
      <c r="J2460" s="14"/>
      <c r="K2460" s="14"/>
      <c r="L2460" s="14"/>
      <c r="M2460" s="14"/>
    </row>
    <row r="2461" spans="1:13" x14ac:dyDescent="0.25">
      <c r="A2461" s="14"/>
      <c r="B2461" s="14"/>
      <c r="C2461" s="14"/>
      <c r="D2461" s="92"/>
      <c r="E2461" s="14"/>
      <c r="F2461" s="14"/>
      <c r="G2461" s="14"/>
      <c r="H2461" s="14"/>
      <c r="I2461" s="67"/>
      <c r="J2461" s="14"/>
      <c r="K2461" s="14"/>
      <c r="L2461" s="14"/>
      <c r="M2461" s="14"/>
    </row>
    <row r="2462" spans="1:13" x14ac:dyDescent="0.25">
      <c r="A2462" s="14"/>
      <c r="B2462" s="14"/>
      <c r="C2462" s="14"/>
      <c r="D2462" s="92"/>
      <c r="E2462" s="14"/>
      <c r="F2462" s="14"/>
      <c r="G2462" s="14"/>
      <c r="H2462" s="14"/>
      <c r="I2462" s="67"/>
      <c r="J2462" s="14"/>
      <c r="K2462" s="14"/>
      <c r="L2462" s="14"/>
      <c r="M2462" s="14"/>
    </row>
    <row r="2463" spans="1:13" x14ac:dyDescent="0.25">
      <c r="A2463" s="14"/>
      <c r="B2463" s="14"/>
      <c r="C2463" s="14"/>
      <c r="D2463" s="92"/>
      <c r="E2463" s="14"/>
      <c r="F2463" s="14"/>
      <c r="G2463" s="14"/>
      <c r="H2463" s="14"/>
      <c r="I2463" s="67"/>
      <c r="J2463" s="14"/>
      <c r="K2463" s="14"/>
      <c r="L2463" s="14"/>
      <c r="M2463" s="14"/>
    </row>
    <row r="2464" spans="1:13" x14ac:dyDescent="0.25">
      <c r="A2464" s="14"/>
      <c r="B2464" s="14"/>
      <c r="C2464" s="14"/>
      <c r="D2464" s="92"/>
      <c r="E2464" s="14"/>
      <c r="F2464" s="14"/>
      <c r="G2464" s="14"/>
      <c r="H2464" s="14"/>
      <c r="I2464" s="67"/>
      <c r="J2464" s="14"/>
      <c r="K2464" s="14"/>
      <c r="L2464" s="14"/>
      <c r="M2464" s="14"/>
    </row>
    <row r="2465" spans="1:13" x14ac:dyDescent="0.25">
      <c r="A2465" s="14"/>
      <c r="B2465" s="14"/>
      <c r="C2465" s="14"/>
      <c r="D2465" s="92"/>
      <c r="E2465" s="14"/>
      <c r="F2465" s="14"/>
      <c r="G2465" s="14"/>
      <c r="H2465" s="14"/>
      <c r="I2465" s="67"/>
      <c r="J2465" s="14"/>
      <c r="K2465" s="14"/>
      <c r="L2465" s="14"/>
      <c r="M2465" s="14"/>
    </row>
    <row r="2466" spans="1:13" x14ac:dyDescent="0.25">
      <c r="A2466" s="14"/>
      <c r="B2466" s="14"/>
      <c r="C2466" s="14"/>
      <c r="D2466" s="92"/>
      <c r="E2466" s="14"/>
      <c r="F2466" s="14"/>
      <c r="G2466" s="14"/>
      <c r="H2466" s="14"/>
      <c r="I2466" s="67"/>
      <c r="J2466" s="14"/>
      <c r="K2466" s="14"/>
      <c r="L2466" s="14"/>
      <c r="M2466" s="14"/>
    </row>
    <row r="2467" spans="1:13" x14ac:dyDescent="0.25">
      <c r="A2467" s="14"/>
      <c r="B2467" s="14"/>
      <c r="C2467" s="14"/>
      <c r="D2467" s="92"/>
      <c r="E2467" s="14"/>
      <c r="F2467" s="14"/>
      <c r="G2467" s="14"/>
      <c r="H2467" s="14"/>
      <c r="I2467" s="67"/>
      <c r="J2467" s="14"/>
      <c r="K2467" s="14"/>
      <c r="L2467" s="14"/>
      <c r="M2467" s="14"/>
    </row>
    <row r="2468" spans="1:13" x14ac:dyDescent="0.25">
      <c r="A2468" s="14"/>
      <c r="B2468" s="14"/>
      <c r="C2468" s="14"/>
      <c r="D2468" s="92"/>
      <c r="E2468" s="14"/>
      <c r="F2468" s="14"/>
      <c r="G2468" s="14"/>
      <c r="H2468" s="14"/>
      <c r="I2468" s="67"/>
      <c r="J2468" s="14"/>
      <c r="K2468" s="14"/>
      <c r="L2468" s="14"/>
      <c r="M2468" s="14"/>
    </row>
    <row r="2469" spans="1:13" x14ac:dyDescent="0.25">
      <c r="A2469" s="14"/>
      <c r="B2469" s="14"/>
      <c r="C2469" s="14"/>
      <c r="D2469" s="92"/>
      <c r="E2469" s="14"/>
      <c r="F2469" s="14"/>
      <c r="G2469" s="14"/>
      <c r="H2469" s="14"/>
      <c r="I2469" s="67"/>
      <c r="J2469" s="14"/>
      <c r="K2469" s="14"/>
      <c r="L2469" s="14"/>
      <c r="M2469" s="14"/>
    </row>
    <row r="2470" spans="1:13" x14ac:dyDescent="0.25">
      <c r="A2470" s="14"/>
      <c r="B2470" s="14"/>
      <c r="C2470" s="14"/>
      <c r="D2470" s="92"/>
      <c r="E2470" s="14"/>
      <c r="F2470" s="14"/>
      <c r="G2470" s="14"/>
      <c r="H2470" s="14"/>
      <c r="I2470" s="67"/>
      <c r="J2470" s="14"/>
      <c r="K2470" s="14"/>
      <c r="L2470" s="14"/>
      <c r="M2470" s="14"/>
    </row>
    <row r="2471" spans="1:13" x14ac:dyDescent="0.25">
      <c r="A2471" s="14"/>
      <c r="B2471" s="14"/>
      <c r="C2471" s="14"/>
      <c r="D2471" s="92"/>
      <c r="E2471" s="14"/>
      <c r="F2471" s="14"/>
      <c r="G2471" s="14"/>
      <c r="H2471" s="14"/>
      <c r="I2471" s="67"/>
      <c r="J2471" s="14"/>
      <c r="K2471" s="14"/>
      <c r="L2471" s="14"/>
      <c r="M2471" s="14"/>
    </row>
    <row r="2472" spans="1:13" x14ac:dyDescent="0.25">
      <c r="A2472" s="14"/>
      <c r="B2472" s="14"/>
      <c r="C2472" s="14"/>
      <c r="D2472" s="92"/>
      <c r="E2472" s="14"/>
      <c r="F2472" s="14"/>
      <c r="G2472" s="14"/>
      <c r="H2472" s="14"/>
      <c r="I2472" s="67"/>
      <c r="J2472" s="14"/>
      <c r="K2472" s="14"/>
      <c r="L2472" s="14"/>
      <c r="M2472" s="14"/>
    </row>
    <row r="2473" spans="1:13" x14ac:dyDescent="0.25">
      <c r="A2473" s="14"/>
      <c r="B2473" s="14"/>
      <c r="C2473" s="14"/>
      <c r="D2473" s="92"/>
      <c r="E2473" s="14"/>
      <c r="F2473" s="14"/>
      <c r="G2473" s="14"/>
      <c r="H2473" s="14"/>
      <c r="I2473" s="67"/>
      <c r="J2473" s="14"/>
      <c r="K2473" s="14"/>
      <c r="L2473" s="14"/>
      <c r="M2473" s="14"/>
    </row>
    <row r="2474" spans="1:13" x14ac:dyDescent="0.25">
      <c r="A2474" s="14"/>
      <c r="B2474" s="14"/>
      <c r="C2474" s="14"/>
      <c r="D2474" s="92"/>
      <c r="E2474" s="14"/>
      <c r="F2474" s="14"/>
      <c r="G2474" s="14"/>
      <c r="H2474" s="14"/>
      <c r="I2474" s="67"/>
      <c r="J2474" s="14"/>
      <c r="K2474" s="14"/>
      <c r="L2474" s="14"/>
      <c r="M2474" s="14"/>
    </row>
    <row r="2475" spans="1:13" x14ac:dyDescent="0.25">
      <c r="A2475" s="14"/>
      <c r="B2475" s="14"/>
      <c r="C2475" s="14"/>
      <c r="D2475" s="92"/>
      <c r="E2475" s="14"/>
      <c r="F2475" s="14"/>
      <c r="G2475" s="14"/>
      <c r="H2475" s="14"/>
      <c r="I2475" s="67"/>
      <c r="J2475" s="14"/>
      <c r="K2475" s="14"/>
      <c r="L2475" s="14"/>
      <c r="M2475" s="14"/>
    </row>
    <row r="2476" spans="1:13" x14ac:dyDescent="0.25">
      <c r="A2476" s="14"/>
      <c r="B2476" s="14"/>
      <c r="C2476" s="14"/>
      <c r="D2476" s="92"/>
      <c r="E2476" s="14"/>
      <c r="F2476" s="14"/>
      <c r="G2476" s="14"/>
      <c r="H2476" s="14"/>
      <c r="I2476" s="67"/>
      <c r="J2476" s="14"/>
      <c r="K2476" s="14"/>
      <c r="L2476" s="14"/>
      <c r="M2476" s="14"/>
    </row>
    <row r="2477" spans="1:13" x14ac:dyDescent="0.25">
      <c r="A2477" s="14"/>
      <c r="B2477" s="14"/>
      <c r="C2477" s="14"/>
      <c r="D2477" s="92"/>
      <c r="E2477" s="14"/>
      <c r="F2477" s="14"/>
      <c r="G2477" s="14"/>
      <c r="H2477" s="14"/>
      <c r="I2477" s="67"/>
      <c r="J2477" s="14"/>
      <c r="K2477" s="14"/>
      <c r="L2477" s="14"/>
      <c r="M2477" s="14"/>
    </row>
    <row r="2478" spans="1:13" x14ac:dyDescent="0.25">
      <c r="A2478" s="14"/>
      <c r="B2478" s="14"/>
      <c r="C2478" s="14"/>
      <c r="D2478" s="92"/>
      <c r="E2478" s="14"/>
      <c r="F2478" s="14"/>
      <c r="G2478" s="14"/>
      <c r="H2478" s="14"/>
      <c r="I2478" s="67"/>
      <c r="J2478" s="14"/>
      <c r="K2478" s="14"/>
      <c r="L2478" s="14"/>
      <c r="M2478" s="14"/>
    </row>
    <row r="2479" spans="1:13" x14ac:dyDescent="0.25">
      <c r="A2479" s="14"/>
      <c r="B2479" s="14"/>
      <c r="C2479" s="14"/>
      <c r="D2479" s="92"/>
      <c r="E2479" s="14"/>
      <c r="F2479" s="14"/>
      <c r="G2479" s="14"/>
      <c r="H2479" s="14"/>
      <c r="I2479" s="67"/>
      <c r="J2479" s="14"/>
      <c r="K2479" s="14"/>
      <c r="L2479" s="14"/>
      <c r="M2479" s="14"/>
    </row>
    <row r="2480" spans="1:13" x14ac:dyDescent="0.25">
      <c r="A2480" s="14"/>
      <c r="B2480" s="14"/>
      <c r="C2480" s="14"/>
      <c r="D2480" s="92"/>
      <c r="E2480" s="14"/>
      <c r="F2480" s="14"/>
      <c r="G2480" s="14"/>
      <c r="H2480" s="14"/>
      <c r="I2480" s="67"/>
      <c r="J2480" s="14"/>
      <c r="K2480" s="14"/>
      <c r="L2480" s="14"/>
      <c r="M2480" s="14"/>
    </row>
    <row r="2481" spans="1:13" x14ac:dyDescent="0.25">
      <c r="A2481" s="14"/>
      <c r="B2481" s="14"/>
      <c r="C2481" s="14"/>
      <c r="D2481" s="92"/>
      <c r="E2481" s="14"/>
      <c r="F2481" s="14"/>
      <c r="G2481" s="14"/>
      <c r="H2481" s="14"/>
      <c r="I2481" s="67"/>
      <c r="J2481" s="14"/>
      <c r="K2481" s="14"/>
      <c r="L2481" s="14"/>
      <c r="M2481" s="14"/>
    </row>
    <row r="2482" spans="1:13" x14ac:dyDescent="0.25">
      <c r="A2482" s="14"/>
      <c r="B2482" s="14"/>
      <c r="C2482" s="14"/>
      <c r="D2482" s="92"/>
      <c r="E2482" s="14"/>
      <c r="F2482" s="14"/>
      <c r="G2482" s="14"/>
      <c r="H2482" s="14"/>
      <c r="I2482" s="67"/>
      <c r="J2482" s="14"/>
      <c r="K2482" s="14"/>
      <c r="L2482" s="14"/>
      <c r="M2482" s="14"/>
    </row>
    <row r="2483" spans="1:13" x14ac:dyDescent="0.25">
      <c r="A2483" s="14"/>
      <c r="B2483" s="14"/>
      <c r="C2483" s="14"/>
      <c r="D2483" s="92"/>
      <c r="E2483" s="14"/>
      <c r="F2483" s="14"/>
      <c r="G2483" s="14"/>
      <c r="H2483" s="14"/>
      <c r="I2483" s="67"/>
      <c r="J2483" s="14"/>
      <c r="K2483" s="14"/>
      <c r="L2483" s="14"/>
      <c r="M2483" s="14"/>
    </row>
    <row r="2484" spans="1:13" x14ac:dyDescent="0.25">
      <c r="A2484" s="14"/>
      <c r="B2484" s="14"/>
      <c r="C2484" s="14"/>
      <c r="D2484" s="92"/>
      <c r="E2484" s="14"/>
      <c r="F2484" s="14"/>
      <c r="G2484" s="14"/>
      <c r="H2484" s="14"/>
      <c r="I2484" s="67"/>
      <c r="J2484" s="14"/>
      <c r="K2484" s="14"/>
      <c r="L2484" s="14"/>
      <c r="M2484" s="14"/>
    </row>
    <row r="2485" spans="1:13" x14ac:dyDescent="0.25">
      <c r="A2485" s="14"/>
      <c r="B2485" s="14"/>
      <c r="C2485" s="14"/>
      <c r="D2485" s="92"/>
      <c r="E2485" s="14"/>
      <c r="F2485" s="14"/>
      <c r="G2485" s="14"/>
      <c r="H2485" s="14"/>
      <c r="I2485" s="67"/>
      <c r="J2485" s="14"/>
      <c r="K2485" s="14"/>
      <c r="L2485" s="14"/>
      <c r="M2485" s="14"/>
    </row>
    <row r="2486" spans="1:13" x14ac:dyDescent="0.25">
      <c r="A2486" s="14"/>
      <c r="B2486" s="14"/>
      <c r="C2486" s="14"/>
      <c r="D2486" s="92"/>
      <c r="E2486" s="14"/>
      <c r="F2486" s="14"/>
      <c r="G2486" s="14"/>
      <c r="H2486" s="14"/>
      <c r="I2486" s="67"/>
      <c r="J2486" s="14"/>
      <c r="K2486" s="14"/>
      <c r="L2486" s="14"/>
      <c r="M2486" s="14"/>
    </row>
    <row r="2487" spans="1:13" x14ac:dyDescent="0.25">
      <c r="A2487" s="14"/>
      <c r="B2487" s="14"/>
      <c r="C2487" s="14"/>
      <c r="D2487" s="92"/>
      <c r="E2487" s="14"/>
      <c r="F2487" s="14"/>
      <c r="G2487" s="14"/>
      <c r="H2487" s="14"/>
      <c r="I2487" s="67"/>
      <c r="J2487" s="14"/>
      <c r="K2487" s="14"/>
      <c r="L2487" s="14"/>
      <c r="M2487" s="14"/>
    </row>
    <row r="2488" spans="1:13" x14ac:dyDescent="0.25">
      <c r="A2488" s="14"/>
      <c r="B2488" s="14"/>
      <c r="C2488" s="14"/>
      <c r="D2488" s="92"/>
      <c r="E2488" s="14"/>
      <c r="F2488" s="14"/>
      <c r="G2488" s="14"/>
      <c r="H2488" s="14"/>
      <c r="I2488" s="67"/>
      <c r="J2488" s="14"/>
      <c r="K2488" s="14"/>
      <c r="L2488" s="14"/>
      <c r="M2488" s="14"/>
    </row>
    <row r="2489" spans="1:13" x14ac:dyDescent="0.25">
      <c r="A2489" s="14"/>
      <c r="B2489" s="14"/>
      <c r="C2489" s="14"/>
      <c r="D2489" s="92"/>
      <c r="E2489" s="14"/>
      <c r="F2489" s="14"/>
      <c r="G2489" s="14"/>
      <c r="H2489" s="14"/>
      <c r="I2489" s="67"/>
      <c r="J2489" s="14"/>
      <c r="K2489" s="14"/>
      <c r="L2489" s="14"/>
      <c r="M2489" s="14"/>
    </row>
    <row r="2490" spans="1:13" x14ac:dyDescent="0.25">
      <c r="A2490" s="14"/>
      <c r="B2490" s="14"/>
      <c r="C2490" s="14"/>
      <c r="D2490" s="92"/>
      <c r="E2490" s="14"/>
      <c r="F2490" s="14"/>
      <c r="G2490" s="14"/>
      <c r="H2490" s="14"/>
      <c r="I2490" s="67"/>
      <c r="J2490" s="14"/>
      <c r="K2490" s="14"/>
      <c r="L2490" s="14"/>
      <c r="M2490" s="14"/>
    </row>
    <row r="2491" spans="1:13" x14ac:dyDescent="0.25">
      <c r="A2491" s="14"/>
      <c r="B2491" s="14"/>
      <c r="C2491" s="14"/>
      <c r="D2491" s="92"/>
      <c r="E2491" s="14"/>
      <c r="F2491" s="14"/>
      <c r="G2491" s="14"/>
      <c r="H2491" s="14"/>
      <c r="I2491" s="67"/>
      <c r="J2491" s="14"/>
      <c r="K2491" s="14"/>
      <c r="L2491" s="14"/>
      <c r="M2491" s="14"/>
    </row>
    <row r="2492" spans="1:13" x14ac:dyDescent="0.25">
      <c r="A2492" s="14"/>
      <c r="B2492" s="14"/>
      <c r="C2492" s="14"/>
      <c r="D2492" s="92"/>
      <c r="E2492" s="14"/>
      <c r="F2492" s="14"/>
      <c r="G2492" s="14"/>
      <c r="H2492" s="14"/>
      <c r="I2492" s="67"/>
      <c r="J2492" s="14"/>
      <c r="K2492" s="14"/>
      <c r="L2492" s="14"/>
      <c r="M2492" s="14"/>
    </row>
    <row r="2493" spans="1:13" x14ac:dyDescent="0.25">
      <c r="A2493" s="14"/>
      <c r="B2493" s="14"/>
      <c r="C2493" s="14"/>
      <c r="D2493" s="92"/>
      <c r="E2493" s="14"/>
      <c r="F2493" s="14"/>
      <c r="G2493" s="14"/>
      <c r="H2493" s="14"/>
      <c r="I2493" s="67"/>
      <c r="J2493" s="14"/>
      <c r="K2493" s="14"/>
      <c r="L2493" s="14"/>
      <c r="M2493" s="14"/>
    </row>
    <row r="2494" spans="1:13" x14ac:dyDescent="0.25">
      <c r="A2494" s="14"/>
      <c r="B2494" s="14"/>
      <c r="C2494" s="14"/>
      <c r="D2494" s="92"/>
      <c r="E2494" s="14"/>
      <c r="F2494" s="14"/>
      <c r="G2494" s="14"/>
      <c r="H2494" s="14"/>
      <c r="I2494" s="67"/>
      <c r="J2494" s="14"/>
      <c r="K2494" s="14"/>
      <c r="L2494" s="14"/>
      <c r="M2494" s="14"/>
    </row>
    <row r="2495" spans="1:13" x14ac:dyDescent="0.25">
      <c r="A2495" s="14"/>
      <c r="B2495" s="14"/>
      <c r="C2495" s="14"/>
      <c r="D2495" s="92"/>
      <c r="E2495" s="14"/>
      <c r="F2495" s="14"/>
      <c r="G2495" s="14"/>
      <c r="H2495" s="14"/>
      <c r="I2495" s="67"/>
      <c r="J2495" s="14"/>
      <c r="K2495" s="14"/>
      <c r="L2495" s="14"/>
      <c r="M2495" s="14"/>
    </row>
    <row r="2496" spans="1:13" x14ac:dyDescent="0.25">
      <c r="A2496" s="14"/>
      <c r="B2496" s="14"/>
      <c r="C2496" s="14"/>
      <c r="D2496" s="92"/>
      <c r="E2496" s="14"/>
      <c r="F2496" s="14"/>
      <c r="G2496" s="14"/>
      <c r="H2496" s="14"/>
      <c r="I2496" s="67"/>
      <c r="J2496" s="14"/>
      <c r="K2496" s="14"/>
      <c r="L2496" s="14"/>
      <c r="M2496" s="14"/>
    </row>
    <row r="2497" spans="1:13" x14ac:dyDescent="0.25">
      <c r="A2497" s="14"/>
      <c r="B2497" s="14"/>
      <c r="C2497" s="14"/>
      <c r="D2497" s="92"/>
      <c r="E2497" s="14"/>
      <c r="F2497" s="14"/>
      <c r="G2497" s="14"/>
      <c r="H2497" s="14"/>
      <c r="I2497" s="67"/>
      <c r="J2497" s="14"/>
      <c r="K2497" s="14"/>
      <c r="L2497" s="14"/>
      <c r="M2497" s="14"/>
    </row>
    <row r="2498" spans="1:13" x14ac:dyDescent="0.25">
      <c r="A2498" s="14"/>
      <c r="B2498" s="14"/>
      <c r="C2498" s="14"/>
      <c r="D2498" s="92"/>
      <c r="E2498" s="14"/>
      <c r="F2498" s="14"/>
      <c r="G2498" s="14"/>
      <c r="H2498" s="14"/>
      <c r="I2498" s="67"/>
      <c r="J2498" s="14"/>
      <c r="K2498" s="14"/>
      <c r="L2498" s="14"/>
      <c r="M2498" s="14"/>
    </row>
    <row r="2499" spans="1:13" x14ac:dyDescent="0.25">
      <c r="A2499" s="14"/>
      <c r="B2499" s="14"/>
      <c r="C2499" s="14"/>
      <c r="D2499" s="92"/>
      <c r="E2499" s="14"/>
      <c r="F2499" s="14"/>
      <c r="G2499" s="14"/>
      <c r="H2499" s="14"/>
      <c r="I2499" s="67"/>
      <c r="J2499" s="14"/>
      <c r="K2499" s="14"/>
      <c r="L2499" s="14"/>
      <c r="M2499" s="14"/>
    </row>
    <row r="2500" spans="1:13" x14ac:dyDescent="0.25">
      <c r="A2500" s="14"/>
      <c r="B2500" s="14"/>
      <c r="C2500" s="14"/>
      <c r="D2500" s="92"/>
      <c r="E2500" s="14"/>
      <c r="F2500" s="14"/>
      <c r="G2500" s="14"/>
      <c r="H2500" s="14"/>
      <c r="I2500" s="67"/>
      <c r="J2500" s="14"/>
      <c r="K2500" s="14"/>
      <c r="L2500" s="14"/>
      <c r="M2500" s="14"/>
    </row>
    <row r="2501" spans="1:13" x14ac:dyDescent="0.25">
      <c r="A2501" s="14"/>
      <c r="B2501" s="14"/>
      <c r="C2501" s="14"/>
      <c r="D2501" s="92"/>
      <c r="E2501" s="14"/>
      <c r="F2501" s="14"/>
      <c r="G2501" s="14"/>
      <c r="H2501" s="14"/>
      <c r="I2501" s="67"/>
      <c r="J2501" s="14"/>
      <c r="K2501" s="14"/>
      <c r="L2501" s="14"/>
      <c r="M2501" s="14"/>
    </row>
    <row r="2502" spans="1:13" x14ac:dyDescent="0.25">
      <c r="A2502" s="14"/>
      <c r="B2502" s="14"/>
      <c r="C2502" s="14"/>
      <c r="D2502" s="92"/>
      <c r="E2502" s="14"/>
      <c r="F2502" s="14"/>
      <c r="G2502" s="14"/>
      <c r="H2502" s="14"/>
      <c r="I2502" s="67"/>
      <c r="J2502" s="14"/>
      <c r="K2502" s="14"/>
      <c r="L2502" s="14"/>
      <c r="M2502" s="14"/>
    </row>
    <row r="2503" spans="1:13" x14ac:dyDescent="0.25">
      <c r="A2503" s="14"/>
      <c r="B2503" s="14"/>
      <c r="C2503" s="14"/>
      <c r="D2503" s="92"/>
      <c r="E2503" s="14"/>
      <c r="F2503" s="14"/>
      <c r="G2503" s="14"/>
      <c r="H2503" s="14"/>
      <c r="I2503" s="67"/>
      <c r="J2503" s="14"/>
      <c r="K2503" s="14"/>
      <c r="L2503" s="14"/>
      <c r="M2503" s="14"/>
    </row>
    <row r="2504" spans="1:13" x14ac:dyDescent="0.25">
      <c r="A2504" s="14"/>
      <c r="B2504" s="14"/>
      <c r="C2504" s="14"/>
      <c r="D2504" s="92"/>
      <c r="E2504" s="14"/>
      <c r="F2504" s="14"/>
      <c r="G2504" s="14"/>
      <c r="H2504" s="14"/>
      <c r="I2504" s="67"/>
      <c r="J2504" s="14"/>
      <c r="K2504" s="14"/>
      <c r="L2504" s="14"/>
      <c r="M2504" s="14"/>
    </row>
    <row r="2505" spans="1:13" x14ac:dyDescent="0.25">
      <c r="A2505" s="14"/>
      <c r="B2505" s="14"/>
      <c r="C2505" s="14"/>
      <c r="D2505" s="92"/>
      <c r="E2505" s="14"/>
      <c r="F2505" s="14"/>
      <c r="G2505" s="14"/>
      <c r="H2505" s="14"/>
      <c r="I2505" s="67"/>
      <c r="J2505" s="14"/>
      <c r="K2505" s="14"/>
      <c r="L2505" s="14"/>
      <c r="M2505" s="14"/>
    </row>
    <row r="2506" spans="1:13" x14ac:dyDescent="0.25">
      <c r="A2506" s="14"/>
      <c r="B2506" s="14"/>
      <c r="C2506" s="14"/>
      <c r="D2506" s="92"/>
      <c r="E2506" s="14"/>
      <c r="F2506" s="14"/>
      <c r="G2506" s="14"/>
      <c r="H2506" s="14"/>
      <c r="I2506" s="67"/>
      <c r="J2506" s="14"/>
      <c r="K2506" s="14"/>
      <c r="L2506" s="14"/>
      <c r="M2506" s="14"/>
    </row>
    <row r="2507" spans="1:13" x14ac:dyDescent="0.25">
      <c r="A2507" s="14"/>
      <c r="B2507" s="14"/>
      <c r="C2507" s="14"/>
      <c r="D2507" s="92"/>
      <c r="E2507" s="14"/>
      <c r="F2507" s="14"/>
      <c r="G2507" s="14"/>
      <c r="H2507" s="14"/>
      <c r="I2507" s="67"/>
      <c r="J2507" s="14"/>
      <c r="K2507" s="14"/>
      <c r="L2507" s="14"/>
      <c r="M2507" s="14"/>
    </row>
    <row r="2508" spans="1:13" x14ac:dyDescent="0.25">
      <c r="A2508" s="14"/>
      <c r="B2508" s="14"/>
      <c r="C2508" s="14"/>
      <c r="D2508" s="92"/>
      <c r="E2508" s="14"/>
      <c r="F2508" s="14"/>
      <c r="G2508" s="14"/>
      <c r="H2508" s="14"/>
      <c r="I2508" s="67"/>
      <c r="J2508" s="14"/>
      <c r="K2508" s="14"/>
      <c r="L2508" s="14"/>
      <c r="M2508" s="14"/>
    </row>
    <row r="2509" spans="1:13" x14ac:dyDescent="0.25">
      <c r="A2509" s="14"/>
      <c r="B2509" s="14"/>
      <c r="C2509" s="14"/>
      <c r="D2509" s="92"/>
      <c r="E2509" s="14"/>
      <c r="F2509" s="14"/>
      <c r="G2509" s="14"/>
      <c r="H2509" s="14"/>
      <c r="I2509" s="67"/>
      <c r="J2509" s="14"/>
      <c r="K2509" s="14"/>
      <c r="L2509" s="14"/>
      <c r="M2509" s="14"/>
    </row>
    <row r="2510" spans="1:13" x14ac:dyDescent="0.25">
      <c r="A2510" s="14"/>
      <c r="B2510" s="14"/>
      <c r="C2510" s="14"/>
      <c r="D2510" s="92"/>
      <c r="E2510" s="14"/>
      <c r="F2510" s="14"/>
      <c r="G2510" s="14"/>
      <c r="H2510" s="14"/>
      <c r="I2510" s="67"/>
      <c r="J2510" s="14"/>
      <c r="K2510" s="14"/>
      <c r="L2510" s="14"/>
      <c r="M2510" s="14"/>
    </row>
    <row r="2511" spans="1:13" x14ac:dyDescent="0.25">
      <c r="A2511" s="14"/>
      <c r="B2511" s="14"/>
      <c r="C2511" s="14"/>
      <c r="D2511" s="92"/>
      <c r="E2511" s="14"/>
      <c r="F2511" s="14"/>
      <c r="G2511" s="14"/>
      <c r="H2511" s="14"/>
      <c r="I2511" s="67"/>
      <c r="J2511" s="14"/>
      <c r="K2511" s="14"/>
      <c r="L2511" s="14"/>
      <c r="M2511" s="14"/>
    </row>
    <row r="2512" spans="1:13" x14ac:dyDescent="0.25">
      <c r="A2512" s="14"/>
      <c r="B2512" s="14"/>
      <c r="C2512" s="14"/>
      <c r="D2512" s="92"/>
      <c r="E2512" s="14"/>
      <c r="F2512" s="14"/>
      <c r="G2512" s="14"/>
      <c r="H2512" s="14"/>
      <c r="I2512" s="67"/>
      <c r="J2512" s="14"/>
      <c r="K2512" s="14"/>
      <c r="L2512" s="14"/>
      <c r="M2512" s="14"/>
    </row>
    <row r="2513" spans="1:13" x14ac:dyDescent="0.25">
      <c r="A2513" s="14"/>
      <c r="B2513" s="14"/>
      <c r="C2513" s="14"/>
      <c r="D2513" s="92"/>
      <c r="E2513" s="14"/>
      <c r="F2513" s="14"/>
      <c r="G2513" s="14"/>
      <c r="H2513" s="14"/>
      <c r="I2513" s="67"/>
      <c r="J2513" s="14"/>
      <c r="K2513" s="14"/>
      <c r="L2513" s="14"/>
      <c r="M2513" s="14"/>
    </row>
    <row r="2514" spans="1:13" x14ac:dyDescent="0.25">
      <c r="A2514" s="14"/>
      <c r="B2514" s="14"/>
      <c r="C2514" s="14"/>
      <c r="D2514" s="92"/>
      <c r="E2514" s="14"/>
      <c r="F2514" s="14"/>
      <c r="G2514" s="14"/>
      <c r="H2514" s="14"/>
      <c r="I2514" s="67"/>
      <c r="J2514" s="14"/>
      <c r="K2514" s="14"/>
      <c r="L2514" s="14"/>
      <c r="M2514" s="14"/>
    </row>
    <row r="2515" spans="1:13" x14ac:dyDescent="0.25">
      <c r="A2515" s="14"/>
      <c r="B2515" s="14"/>
      <c r="C2515" s="14"/>
      <c r="D2515" s="92"/>
      <c r="E2515" s="14"/>
      <c r="F2515" s="14"/>
      <c r="G2515" s="14"/>
      <c r="H2515" s="14"/>
      <c r="I2515" s="67"/>
      <c r="J2515" s="14"/>
      <c r="K2515" s="14"/>
      <c r="L2515" s="14"/>
      <c r="M2515" s="14"/>
    </row>
    <row r="2516" spans="1:13" x14ac:dyDescent="0.25">
      <c r="A2516" s="14"/>
      <c r="B2516" s="14"/>
      <c r="C2516" s="14"/>
      <c r="D2516" s="92"/>
      <c r="E2516" s="14"/>
      <c r="F2516" s="14"/>
      <c r="G2516" s="14"/>
      <c r="H2516" s="14"/>
      <c r="I2516" s="67"/>
      <c r="J2516" s="14"/>
      <c r="K2516" s="14"/>
      <c r="L2516" s="14"/>
      <c r="M2516" s="14"/>
    </row>
    <row r="2517" spans="1:13" x14ac:dyDescent="0.25">
      <c r="A2517" s="14"/>
      <c r="B2517" s="14"/>
      <c r="C2517" s="14"/>
      <c r="D2517" s="92"/>
      <c r="E2517" s="14"/>
      <c r="F2517" s="14"/>
      <c r="G2517" s="14"/>
      <c r="H2517" s="14"/>
      <c r="I2517" s="67"/>
      <c r="J2517" s="14"/>
      <c r="K2517" s="14"/>
      <c r="L2517" s="14"/>
      <c r="M2517" s="14"/>
    </row>
    <row r="2518" spans="1:13" x14ac:dyDescent="0.25">
      <c r="A2518" s="14"/>
      <c r="B2518" s="14"/>
      <c r="C2518" s="14"/>
      <c r="D2518" s="92"/>
      <c r="E2518" s="14"/>
      <c r="F2518" s="14"/>
      <c r="G2518" s="14"/>
      <c r="H2518" s="14"/>
      <c r="I2518" s="67"/>
      <c r="J2518" s="14"/>
      <c r="K2518" s="14"/>
      <c r="L2518" s="14"/>
      <c r="M2518" s="14"/>
    </row>
    <row r="2519" spans="1:13" x14ac:dyDescent="0.25">
      <c r="A2519" s="14"/>
      <c r="B2519" s="14"/>
      <c r="C2519" s="14"/>
      <c r="D2519" s="92"/>
      <c r="E2519" s="14"/>
      <c r="F2519" s="14"/>
      <c r="G2519" s="14"/>
      <c r="H2519" s="14"/>
      <c r="I2519" s="67"/>
      <c r="J2519" s="14"/>
      <c r="K2519" s="14"/>
      <c r="L2519" s="14"/>
      <c r="M2519" s="14"/>
    </row>
    <row r="2520" spans="1:13" x14ac:dyDescent="0.25">
      <c r="A2520" s="14"/>
      <c r="B2520" s="14"/>
      <c r="C2520" s="14"/>
      <c r="D2520" s="92"/>
      <c r="E2520" s="14"/>
      <c r="F2520" s="14"/>
      <c r="G2520" s="14"/>
      <c r="H2520" s="14"/>
      <c r="I2520" s="67"/>
      <c r="J2520" s="14"/>
      <c r="K2520" s="14"/>
      <c r="L2520" s="14"/>
      <c r="M2520" s="14"/>
    </row>
    <row r="2521" spans="1:13" x14ac:dyDescent="0.25">
      <c r="A2521" s="14"/>
      <c r="B2521" s="14"/>
      <c r="C2521" s="14"/>
      <c r="D2521" s="92"/>
      <c r="E2521" s="14"/>
      <c r="F2521" s="14"/>
      <c r="G2521" s="14"/>
      <c r="H2521" s="14"/>
      <c r="I2521" s="67"/>
      <c r="J2521" s="14"/>
      <c r="K2521" s="14"/>
      <c r="L2521" s="14"/>
      <c r="M2521" s="14"/>
    </row>
    <row r="2522" spans="1:13" x14ac:dyDescent="0.25">
      <c r="A2522" s="14"/>
      <c r="B2522" s="14"/>
      <c r="C2522" s="14"/>
      <c r="D2522" s="92"/>
      <c r="E2522" s="14"/>
      <c r="F2522" s="14"/>
      <c r="G2522" s="14"/>
      <c r="H2522" s="14"/>
      <c r="I2522" s="67"/>
      <c r="J2522" s="14"/>
      <c r="K2522" s="14"/>
      <c r="L2522" s="14"/>
      <c r="M2522" s="14"/>
    </row>
    <row r="2523" spans="1:13" x14ac:dyDescent="0.25">
      <c r="A2523" s="14"/>
      <c r="B2523" s="14"/>
      <c r="C2523" s="14"/>
      <c r="D2523" s="92"/>
      <c r="E2523" s="14"/>
      <c r="F2523" s="14"/>
      <c r="G2523" s="14"/>
      <c r="H2523" s="14"/>
      <c r="I2523" s="67"/>
      <c r="J2523" s="14"/>
      <c r="K2523" s="14"/>
      <c r="L2523" s="14"/>
      <c r="M2523" s="14"/>
    </row>
    <row r="2524" spans="1:13" x14ac:dyDescent="0.25">
      <c r="A2524" s="14"/>
      <c r="B2524" s="14"/>
      <c r="C2524" s="14"/>
      <c r="D2524" s="92"/>
      <c r="E2524" s="14"/>
      <c r="F2524" s="14"/>
      <c r="G2524" s="14"/>
      <c r="H2524" s="14"/>
      <c r="I2524" s="67"/>
      <c r="J2524" s="14"/>
      <c r="K2524" s="14"/>
      <c r="L2524" s="14"/>
      <c r="M2524" s="14"/>
    </row>
    <row r="2525" spans="1:13" x14ac:dyDescent="0.25">
      <c r="A2525" s="14"/>
      <c r="B2525" s="14"/>
      <c r="C2525" s="14"/>
      <c r="D2525" s="92"/>
      <c r="E2525" s="14"/>
      <c r="F2525" s="14"/>
      <c r="G2525" s="14"/>
      <c r="H2525" s="14"/>
      <c r="I2525" s="67"/>
      <c r="J2525" s="14"/>
      <c r="K2525" s="14"/>
      <c r="L2525" s="14"/>
      <c r="M2525" s="14"/>
    </row>
    <row r="2526" spans="1:13" x14ac:dyDescent="0.25">
      <c r="A2526" s="14"/>
      <c r="B2526" s="14"/>
      <c r="C2526" s="14"/>
      <c r="D2526" s="92"/>
      <c r="E2526" s="14"/>
      <c r="F2526" s="14"/>
      <c r="G2526" s="14"/>
      <c r="H2526" s="14"/>
      <c r="I2526" s="67"/>
      <c r="J2526" s="14"/>
      <c r="K2526" s="14"/>
      <c r="L2526" s="14"/>
      <c r="M2526" s="14"/>
    </row>
    <row r="2527" spans="1:13" x14ac:dyDescent="0.25">
      <c r="A2527" s="14"/>
      <c r="B2527" s="14"/>
      <c r="C2527" s="14"/>
      <c r="D2527" s="92"/>
      <c r="E2527" s="14"/>
      <c r="F2527" s="14"/>
      <c r="G2527" s="14"/>
      <c r="H2527" s="14"/>
      <c r="I2527" s="67"/>
      <c r="J2527" s="14"/>
      <c r="K2527" s="14"/>
      <c r="L2527" s="14"/>
      <c r="M2527" s="14"/>
    </row>
    <row r="2528" spans="1:13" x14ac:dyDescent="0.25">
      <c r="A2528" s="14"/>
      <c r="B2528" s="14"/>
      <c r="C2528" s="14"/>
      <c r="D2528" s="92"/>
      <c r="E2528" s="14"/>
      <c r="F2528" s="14"/>
      <c r="G2528" s="14"/>
      <c r="H2528" s="14"/>
      <c r="I2528" s="67"/>
      <c r="J2528" s="14"/>
      <c r="K2528" s="14"/>
      <c r="L2528" s="14"/>
      <c r="M2528" s="14"/>
    </row>
    <row r="2529" spans="1:13" x14ac:dyDescent="0.25">
      <c r="A2529" s="14"/>
      <c r="B2529" s="14"/>
      <c r="C2529" s="14"/>
      <c r="D2529" s="92"/>
      <c r="E2529" s="14"/>
      <c r="F2529" s="14"/>
      <c r="G2529" s="14"/>
      <c r="H2529" s="14"/>
      <c r="I2529" s="67"/>
      <c r="J2529" s="14"/>
      <c r="K2529" s="14"/>
      <c r="L2529" s="14"/>
      <c r="M2529" s="14"/>
    </row>
    <row r="2530" spans="1:13" x14ac:dyDescent="0.25">
      <c r="A2530" s="14"/>
      <c r="B2530" s="14"/>
      <c r="C2530" s="14"/>
      <c r="D2530" s="92"/>
      <c r="E2530" s="14"/>
      <c r="F2530" s="14"/>
      <c r="G2530" s="14"/>
      <c r="H2530" s="14"/>
      <c r="I2530" s="67"/>
      <c r="J2530" s="14"/>
      <c r="K2530" s="14"/>
      <c r="L2530" s="14"/>
      <c r="M2530" s="14"/>
    </row>
    <row r="2531" spans="1:13" x14ac:dyDescent="0.25">
      <c r="A2531" s="14"/>
      <c r="B2531" s="14"/>
      <c r="C2531" s="14"/>
      <c r="D2531" s="92"/>
      <c r="E2531" s="14"/>
      <c r="F2531" s="14"/>
      <c r="G2531" s="14"/>
      <c r="H2531" s="14"/>
      <c r="I2531" s="67"/>
      <c r="J2531" s="14"/>
      <c r="K2531" s="14"/>
      <c r="L2531" s="14"/>
      <c r="M2531" s="14"/>
    </row>
    <row r="2532" spans="1:13" x14ac:dyDescent="0.25">
      <c r="A2532" s="14"/>
      <c r="B2532" s="14"/>
      <c r="C2532" s="14"/>
      <c r="D2532" s="92"/>
      <c r="E2532" s="14"/>
      <c r="F2532" s="14"/>
      <c r="G2532" s="14"/>
      <c r="H2532" s="14"/>
      <c r="I2532" s="67"/>
      <c r="J2532" s="14"/>
      <c r="K2532" s="14"/>
      <c r="L2532" s="14"/>
      <c r="M2532" s="14"/>
    </row>
    <row r="2533" spans="1:13" x14ac:dyDescent="0.25">
      <c r="A2533" s="14"/>
      <c r="B2533" s="14"/>
      <c r="C2533" s="14"/>
      <c r="D2533" s="92"/>
      <c r="E2533" s="14"/>
      <c r="F2533" s="14"/>
      <c r="G2533" s="14"/>
      <c r="H2533" s="14"/>
      <c r="I2533" s="67"/>
      <c r="J2533" s="14"/>
      <c r="K2533" s="14"/>
      <c r="L2533" s="14"/>
      <c r="M2533" s="14"/>
    </row>
    <row r="2534" spans="1:13" x14ac:dyDescent="0.25">
      <c r="A2534" s="14"/>
      <c r="B2534" s="14"/>
      <c r="C2534" s="14"/>
      <c r="D2534" s="92"/>
      <c r="E2534" s="14"/>
      <c r="F2534" s="14"/>
      <c r="G2534" s="14"/>
      <c r="H2534" s="14"/>
      <c r="I2534" s="67"/>
      <c r="J2534" s="14"/>
      <c r="K2534" s="14"/>
      <c r="L2534" s="14"/>
      <c r="M2534" s="14"/>
    </row>
    <row r="2535" spans="1:13" x14ac:dyDescent="0.25">
      <c r="A2535" s="14"/>
      <c r="B2535" s="14"/>
      <c r="C2535" s="14"/>
      <c r="D2535" s="92"/>
      <c r="E2535" s="14"/>
      <c r="F2535" s="14"/>
      <c r="G2535" s="14"/>
      <c r="H2535" s="14"/>
      <c r="I2535" s="67"/>
      <c r="J2535" s="14"/>
      <c r="K2535" s="14"/>
      <c r="L2535" s="14"/>
      <c r="M2535" s="14"/>
    </row>
    <row r="2536" spans="1:13" x14ac:dyDescent="0.25">
      <c r="A2536" s="14"/>
      <c r="B2536" s="14"/>
      <c r="C2536" s="14"/>
      <c r="D2536" s="92"/>
      <c r="E2536" s="14"/>
      <c r="F2536" s="14"/>
      <c r="G2536" s="14"/>
      <c r="H2536" s="14"/>
      <c r="I2536" s="67"/>
      <c r="J2536" s="14"/>
      <c r="K2536" s="14"/>
      <c r="L2536" s="14"/>
      <c r="M2536" s="14"/>
    </row>
    <row r="2537" spans="1:13" x14ac:dyDescent="0.25">
      <c r="A2537" s="14"/>
      <c r="B2537" s="14"/>
      <c r="C2537" s="14"/>
      <c r="D2537" s="92"/>
      <c r="E2537" s="14"/>
      <c r="F2537" s="14"/>
      <c r="G2537" s="14"/>
      <c r="H2537" s="14"/>
      <c r="I2537" s="67"/>
      <c r="J2537" s="14"/>
      <c r="K2537" s="14"/>
      <c r="L2537" s="14"/>
      <c r="M2537" s="14"/>
    </row>
    <row r="2538" spans="1:13" x14ac:dyDescent="0.25">
      <c r="A2538" s="14"/>
      <c r="B2538" s="14"/>
      <c r="C2538" s="14"/>
      <c r="D2538" s="92"/>
      <c r="E2538" s="14"/>
      <c r="F2538" s="14"/>
      <c r="G2538" s="14"/>
      <c r="H2538" s="14"/>
      <c r="I2538" s="67"/>
      <c r="J2538" s="14"/>
      <c r="K2538" s="14"/>
      <c r="L2538" s="14"/>
      <c r="M2538" s="14"/>
    </row>
    <row r="2539" spans="1:13" x14ac:dyDescent="0.25">
      <c r="A2539" s="14"/>
      <c r="B2539" s="14"/>
      <c r="C2539" s="14"/>
      <c r="D2539" s="92"/>
      <c r="E2539" s="14"/>
      <c r="F2539" s="14"/>
      <c r="G2539" s="14"/>
      <c r="H2539" s="14"/>
      <c r="I2539" s="67"/>
      <c r="J2539" s="14"/>
      <c r="K2539" s="14"/>
      <c r="L2539" s="14"/>
      <c r="M2539" s="14"/>
    </row>
    <row r="2540" spans="1:13" x14ac:dyDescent="0.25">
      <c r="A2540" s="14"/>
      <c r="B2540" s="14"/>
      <c r="C2540" s="14"/>
      <c r="D2540" s="92"/>
      <c r="E2540" s="14"/>
      <c r="F2540" s="14"/>
      <c r="G2540" s="14"/>
      <c r="H2540" s="14"/>
      <c r="I2540" s="67"/>
      <c r="J2540" s="14"/>
      <c r="K2540" s="14"/>
      <c r="L2540" s="14"/>
      <c r="M2540" s="14"/>
    </row>
    <row r="2541" spans="1:13" x14ac:dyDescent="0.25">
      <c r="A2541" s="14"/>
      <c r="B2541" s="14"/>
      <c r="C2541" s="14"/>
      <c r="D2541" s="92"/>
      <c r="E2541" s="14"/>
      <c r="F2541" s="14"/>
      <c r="G2541" s="14"/>
      <c r="H2541" s="14"/>
      <c r="I2541" s="67"/>
      <c r="J2541" s="14"/>
      <c r="K2541" s="14"/>
      <c r="L2541" s="14"/>
      <c r="M2541" s="14"/>
    </row>
    <row r="2542" spans="1:13" x14ac:dyDescent="0.25">
      <c r="A2542" s="14"/>
      <c r="B2542" s="14"/>
      <c r="C2542" s="14"/>
      <c r="D2542" s="92"/>
      <c r="E2542" s="14"/>
      <c r="F2542" s="14"/>
      <c r="G2542" s="14"/>
      <c r="H2542" s="14"/>
      <c r="I2542" s="67"/>
      <c r="J2542" s="14"/>
      <c r="K2542" s="14"/>
      <c r="L2542" s="14"/>
      <c r="M2542" s="14"/>
    </row>
    <row r="2543" spans="1:13" x14ac:dyDescent="0.25">
      <c r="A2543" s="14"/>
      <c r="B2543" s="14"/>
      <c r="C2543" s="14"/>
      <c r="D2543" s="92"/>
      <c r="E2543" s="14"/>
      <c r="F2543" s="14"/>
      <c r="G2543" s="14"/>
      <c r="H2543" s="14"/>
      <c r="I2543" s="67"/>
      <c r="J2543" s="14"/>
      <c r="K2543" s="14"/>
      <c r="L2543" s="14"/>
      <c r="M2543" s="14"/>
    </row>
    <row r="2544" spans="1:13" x14ac:dyDescent="0.25">
      <c r="A2544" s="14"/>
      <c r="B2544" s="14"/>
      <c r="C2544" s="14"/>
      <c r="D2544" s="92"/>
      <c r="E2544" s="14"/>
      <c r="F2544" s="14"/>
      <c r="G2544" s="14"/>
      <c r="H2544" s="14"/>
      <c r="I2544" s="67"/>
      <c r="J2544" s="14"/>
      <c r="K2544" s="14"/>
      <c r="L2544" s="14"/>
      <c r="M2544" s="14"/>
    </row>
    <row r="2545" spans="1:13" x14ac:dyDescent="0.25">
      <c r="A2545" s="14"/>
      <c r="B2545" s="14"/>
      <c r="C2545" s="14"/>
      <c r="D2545" s="92"/>
      <c r="E2545" s="14"/>
      <c r="F2545" s="14"/>
      <c r="G2545" s="14"/>
      <c r="H2545" s="14"/>
      <c r="I2545" s="67"/>
      <c r="J2545" s="14"/>
      <c r="K2545" s="14"/>
      <c r="L2545" s="14"/>
      <c r="M2545" s="14"/>
    </row>
    <row r="2546" spans="1:13" x14ac:dyDescent="0.25">
      <c r="A2546" s="14"/>
      <c r="B2546" s="14"/>
      <c r="C2546" s="14"/>
      <c r="D2546" s="92"/>
      <c r="E2546" s="14"/>
      <c r="F2546" s="14"/>
      <c r="G2546" s="14"/>
      <c r="H2546" s="14"/>
      <c r="I2546" s="67"/>
      <c r="J2546" s="14"/>
      <c r="K2546" s="14"/>
      <c r="L2546" s="14"/>
      <c r="M2546" s="14"/>
    </row>
    <row r="2547" spans="1:13" x14ac:dyDescent="0.25">
      <c r="A2547" s="14"/>
      <c r="B2547" s="14"/>
      <c r="C2547" s="14"/>
      <c r="D2547" s="92"/>
      <c r="E2547" s="14"/>
      <c r="F2547" s="14"/>
      <c r="G2547" s="14"/>
      <c r="H2547" s="14"/>
      <c r="I2547" s="67"/>
      <c r="J2547" s="14"/>
      <c r="K2547" s="14"/>
      <c r="L2547" s="14"/>
      <c r="M2547" s="14"/>
    </row>
    <row r="2548" spans="1:13" x14ac:dyDescent="0.25">
      <c r="A2548" s="14"/>
      <c r="B2548" s="14"/>
      <c r="C2548" s="14"/>
      <c r="D2548" s="92"/>
      <c r="E2548" s="14"/>
      <c r="F2548" s="14"/>
      <c r="G2548" s="14"/>
      <c r="H2548" s="14"/>
      <c r="I2548" s="67"/>
      <c r="J2548" s="14"/>
      <c r="K2548" s="14"/>
      <c r="L2548" s="14"/>
      <c r="M2548" s="14"/>
    </row>
    <row r="2549" spans="1:13" x14ac:dyDescent="0.25">
      <c r="A2549" s="14"/>
      <c r="B2549" s="14"/>
      <c r="C2549" s="14"/>
      <c r="D2549" s="92"/>
      <c r="E2549" s="14"/>
      <c r="F2549" s="14"/>
      <c r="G2549" s="14"/>
      <c r="H2549" s="14"/>
      <c r="I2549" s="67"/>
      <c r="J2549" s="14"/>
      <c r="K2549" s="14"/>
      <c r="L2549" s="14"/>
      <c r="M2549" s="14"/>
    </row>
    <row r="2550" spans="1:13" x14ac:dyDescent="0.25">
      <c r="A2550" s="14"/>
      <c r="B2550" s="14"/>
      <c r="C2550" s="14"/>
      <c r="D2550" s="92"/>
      <c r="E2550" s="14"/>
      <c r="F2550" s="14"/>
      <c r="G2550" s="14"/>
      <c r="H2550" s="14"/>
      <c r="I2550" s="67"/>
      <c r="J2550" s="14"/>
      <c r="K2550" s="14"/>
      <c r="L2550" s="14"/>
      <c r="M2550" s="14"/>
    </row>
    <row r="2551" spans="1:13" x14ac:dyDescent="0.25">
      <c r="A2551" s="14"/>
      <c r="B2551" s="14"/>
      <c r="C2551" s="14"/>
      <c r="D2551" s="92"/>
      <c r="E2551" s="14"/>
      <c r="F2551" s="14"/>
      <c r="G2551" s="14"/>
      <c r="H2551" s="14"/>
      <c r="I2551" s="67"/>
      <c r="J2551" s="14"/>
      <c r="K2551" s="14"/>
      <c r="L2551" s="14"/>
      <c r="M2551" s="14"/>
    </row>
    <row r="2552" spans="1:13" x14ac:dyDescent="0.25">
      <c r="A2552" s="14"/>
      <c r="B2552" s="14"/>
      <c r="C2552" s="14"/>
      <c r="D2552" s="92"/>
      <c r="E2552" s="14"/>
      <c r="F2552" s="14"/>
      <c r="G2552" s="14"/>
      <c r="H2552" s="14"/>
      <c r="I2552" s="67"/>
      <c r="J2552" s="14"/>
      <c r="K2552" s="14"/>
      <c r="L2552" s="14"/>
      <c r="M2552" s="14"/>
    </row>
    <row r="2553" spans="1:13" x14ac:dyDescent="0.25">
      <c r="A2553" s="14"/>
      <c r="B2553" s="14"/>
      <c r="C2553" s="14"/>
      <c r="D2553" s="92"/>
      <c r="E2553" s="14"/>
      <c r="F2553" s="14"/>
      <c r="G2553" s="14"/>
      <c r="H2553" s="14"/>
      <c r="I2553" s="67"/>
      <c r="J2553" s="14"/>
      <c r="K2553" s="14"/>
      <c r="L2553" s="14"/>
      <c r="M2553" s="14"/>
    </row>
    <row r="2554" spans="1:13" x14ac:dyDescent="0.25">
      <c r="A2554" s="14"/>
      <c r="B2554" s="14"/>
      <c r="C2554" s="14"/>
      <c r="D2554" s="92"/>
      <c r="E2554" s="14"/>
      <c r="F2554" s="14"/>
      <c r="G2554" s="14"/>
      <c r="H2554" s="14"/>
      <c r="I2554" s="67"/>
      <c r="J2554" s="14"/>
      <c r="K2554" s="14"/>
      <c r="L2554" s="14"/>
      <c r="M2554" s="14"/>
    </row>
    <row r="2555" spans="1:13" x14ac:dyDescent="0.25">
      <c r="A2555" s="14"/>
      <c r="B2555" s="14"/>
      <c r="C2555" s="14"/>
      <c r="D2555" s="92"/>
      <c r="E2555" s="14"/>
      <c r="F2555" s="14"/>
      <c r="G2555" s="14"/>
      <c r="H2555" s="14"/>
      <c r="I2555" s="67"/>
      <c r="J2555" s="14"/>
      <c r="K2555" s="14"/>
      <c r="L2555" s="14"/>
      <c r="M2555" s="14"/>
    </row>
    <row r="2556" spans="1:13" x14ac:dyDescent="0.25">
      <c r="A2556" s="14"/>
      <c r="B2556" s="14"/>
      <c r="C2556" s="14"/>
      <c r="D2556" s="92"/>
      <c r="E2556" s="14"/>
      <c r="F2556" s="14"/>
      <c r="G2556" s="14"/>
      <c r="H2556" s="14"/>
      <c r="I2556" s="67"/>
      <c r="J2556" s="14"/>
      <c r="K2556" s="14"/>
      <c r="L2556" s="14"/>
      <c r="M2556" s="14"/>
    </row>
    <row r="2557" spans="1:13" x14ac:dyDescent="0.25">
      <c r="A2557" s="14"/>
      <c r="B2557" s="14"/>
      <c r="C2557" s="14"/>
      <c r="D2557" s="92"/>
      <c r="E2557" s="14"/>
      <c r="F2557" s="14"/>
      <c r="G2557" s="14"/>
      <c r="H2557" s="14"/>
      <c r="I2557" s="67"/>
      <c r="J2557" s="14"/>
      <c r="K2557" s="14"/>
      <c r="L2557" s="14"/>
      <c r="M2557" s="14"/>
    </row>
    <row r="2558" spans="1:13" x14ac:dyDescent="0.25">
      <c r="A2558" s="14"/>
      <c r="B2558" s="14"/>
      <c r="C2558" s="14"/>
      <c r="D2558" s="92"/>
      <c r="E2558" s="14"/>
      <c r="F2558" s="14"/>
      <c r="G2558" s="14"/>
      <c r="H2558" s="14"/>
      <c r="I2558" s="67"/>
      <c r="J2558" s="14"/>
      <c r="K2558" s="14"/>
      <c r="L2558" s="14"/>
      <c r="M2558" s="14"/>
    </row>
    <row r="2559" spans="1:13" x14ac:dyDescent="0.25">
      <c r="A2559" s="14"/>
      <c r="B2559" s="14"/>
      <c r="C2559" s="14"/>
      <c r="D2559" s="92"/>
      <c r="E2559" s="14"/>
      <c r="F2559" s="14"/>
      <c r="G2559" s="14"/>
      <c r="H2559" s="14"/>
      <c r="I2559" s="67"/>
      <c r="J2559" s="14"/>
      <c r="K2559" s="14"/>
      <c r="L2559" s="14"/>
      <c r="M2559" s="14"/>
    </row>
    <row r="2560" spans="1:13" x14ac:dyDescent="0.25">
      <c r="A2560" s="14"/>
      <c r="B2560" s="14"/>
      <c r="C2560" s="14"/>
      <c r="D2560" s="92"/>
      <c r="E2560" s="14"/>
      <c r="F2560" s="14"/>
      <c r="G2560" s="14"/>
      <c r="H2560" s="14"/>
      <c r="I2560" s="67"/>
      <c r="J2560" s="14"/>
      <c r="K2560" s="14"/>
      <c r="L2560" s="14"/>
      <c r="M2560" s="14"/>
    </row>
    <row r="2561" spans="1:13" x14ac:dyDescent="0.25">
      <c r="A2561" s="14"/>
      <c r="B2561" s="14"/>
      <c r="C2561" s="14"/>
      <c r="D2561" s="92"/>
      <c r="E2561" s="14"/>
      <c r="F2561" s="14"/>
      <c r="G2561" s="14"/>
      <c r="H2561" s="14"/>
      <c r="I2561" s="67"/>
      <c r="J2561" s="14"/>
      <c r="K2561" s="14"/>
      <c r="L2561" s="14"/>
      <c r="M2561" s="14"/>
    </row>
    <row r="2562" spans="1:13" x14ac:dyDescent="0.25">
      <c r="A2562" s="14"/>
      <c r="B2562" s="14"/>
      <c r="C2562" s="14"/>
      <c r="D2562" s="92"/>
      <c r="E2562" s="14"/>
      <c r="F2562" s="14"/>
      <c r="G2562" s="14"/>
      <c r="H2562" s="14"/>
      <c r="I2562" s="67"/>
      <c r="J2562" s="14"/>
      <c r="K2562" s="14"/>
      <c r="L2562" s="14"/>
      <c r="M2562" s="14"/>
    </row>
    <row r="2563" spans="1:13" x14ac:dyDescent="0.25">
      <c r="A2563" s="14"/>
      <c r="B2563" s="14"/>
      <c r="C2563" s="14"/>
      <c r="D2563" s="92"/>
      <c r="E2563" s="14"/>
      <c r="F2563" s="14"/>
      <c r="G2563" s="14"/>
      <c r="H2563" s="14"/>
      <c r="I2563" s="67"/>
      <c r="J2563" s="14"/>
      <c r="K2563" s="14"/>
      <c r="L2563" s="14"/>
      <c r="M2563" s="14"/>
    </row>
    <row r="2564" spans="1:13" x14ac:dyDescent="0.25">
      <c r="A2564" s="14"/>
      <c r="B2564" s="14"/>
      <c r="C2564" s="14"/>
      <c r="D2564" s="92"/>
      <c r="E2564" s="14"/>
      <c r="F2564" s="14"/>
      <c r="G2564" s="14"/>
      <c r="H2564" s="14"/>
      <c r="I2564" s="67"/>
      <c r="J2564" s="14"/>
      <c r="K2564" s="14"/>
      <c r="L2564" s="14"/>
      <c r="M2564" s="14"/>
    </row>
    <row r="2565" spans="1:13" x14ac:dyDescent="0.25">
      <c r="A2565" s="14"/>
      <c r="B2565" s="14"/>
      <c r="C2565" s="14"/>
      <c r="D2565" s="92"/>
      <c r="E2565" s="14"/>
      <c r="F2565" s="14"/>
      <c r="G2565" s="14"/>
      <c r="H2565" s="14"/>
      <c r="I2565" s="67"/>
      <c r="J2565" s="14"/>
      <c r="K2565" s="14"/>
      <c r="L2565" s="14"/>
      <c r="M2565" s="14"/>
    </row>
    <row r="2566" spans="1:13" x14ac:dyDescent="0.25">
      <c r="A2566" s="14"/>
      <c r="B2566" s="14"/>
      <c r="C2566" s="14"/>
      <c r="D2566" s="92"/>
      <c r="E2566" s="14"/>
      <c r="F2566" s="14"/>
      <c r="G2566" s="14"/>
      <c r="H2566" s="14"/>
      <c r="I2566" s="67"/>
      <c r="J2566" s="14"/>
      <c r="K2566" s="14"/>
      <c r="L2566" s="14"/>
      <c r="M2566" s="14"/>
    </row>
    <row r="2567" spans="1:13" x14ac:dyDescent="0.25">
      <c r="A2567" s="14"/>
      <c r="B2567" s="14"/>
      <c r="C2567" s="14"/>
      <c r="D2567" s="92"/>
      <c r="E2567" s="14"/>
      <c r="F2567" s="14"/>
      <c r="G2567" s="14"/>
      <c r="H2567" s="14"/>
      <c r="I2567" s="67"/>
      <c r="J2567" s="14"/>
      <c r="K2567" s="14"/>
      <c r="L2567" s="14"/>
      <c r="M2567" s="14"/>
    </row>
    <row r="2568" spans="1:13" x14ac:dyDescent="0.25">
      <c r="A2568" s="14"/>
      <c r="B2568" s="14"/>
      <c r="C2568" s="14"/>
      <c r="D2568" s="92"/>
      <c r="E2568" s="14"/>
      <c r="F2568" s="14"/>
      <c r="G2568" s="14"/>
      <c r="H2568" s="14"/>
      <c r="I2568" s="67"/>
      <c r="J2568" s="14"/>
      <c r="K2568" s="14"/>
      <c r="L2568" s="14"/>
      <c r="M2568" s="14"/>
    </row>
    <row r="2569" spans="1:13" x14ac:dyDescent="0.25">
      <c r="A2569" s="14"/>
      <c r="B2569" s="14"/>
      <c r="C2569" s="14"/>
      <c r="D2569" s="92"/>
      <c r="E2569" s="14"/>
      <c r="F2569" s="14"/>
      <c r="G2569" s="14"/>
      <c r="H2569" s="14"/>
      <c r="I2569" s="67"/>
      <c r="J2569" s="14"/>
      <c r="K2569" s="14"/>
      <c r="L2569" s="14"/>
      <c r="M2569" s="14"/>
    </row>
    <row r="2570" spans="1:13" x14ac:dyDescent="0.25">
      <c r="A2570" s="14"/>
      <c r="B2570" s="14"/>
      <c r="C2570" s="14"/>
      <c r="D2570" s="92"/>
      <c r="E2570" s="14"/>
      <c r="F2570" s="14"/>
      <c r="G2570" s="14"/>
      <c r="H2570" s="14"/>
      <c r="I2570" s="67"/>
      <c r="J2570" s="14"/>
      <c r="K2570" s="14"/>
      <c r="L2570" s="14"/>
      <c r="M2570" s="14"/>
    </row>
    <row r="2571" spans="1:13" x14ac:dyDescent="0.25">
      <c r="A2571" s="14"/>
      <c r="B2571" s="14"/>
      <c r="C2571" s="14"/>
      <c r="D2571" s="92"/>
      <c r="E2571" s="14"/>
      <c r="F2571" s="14"/>
      <c r="G2571" s="14"/>
      <c r="H2571" s="14"/>
      <c r="I2571" s="67"/>
      <c r="J2571" s="14"/>
      <c r="K2571" s="14"/>
      <c r="L2571" s="14"/>
      <c r="M2571" s="14"/>
    </row>
    <row r="2572" spans="1:13" x14ac:dyDescent="0.25">
      <c r="A2572" s="14"/>
      <c r="B2572" s="14"/>
      <c r="C2572" s="14"/>
      <c r="D2572" s="92"/>
      <c r="E2572" s="14"/>
      <c r="F2572" s="14"/>
      <c r="G2572" s="14"/>
      <c r="H2572" s="14"/>
      <c r="I2572" s="67"/>
      <c r="J2572" s="14"/>
      <c r="K2572" s="14"/>
      <c r="L2572" s="14"/>
      <c r="M2572" s="14"/>
    </row>
    <row r="2573" spans="1:13" x14ac:dyDescent="0.25">
      <c r="A2573" s="14"/>
      <c r="B2573" s="14"/>
      <c r="C2573" s="14"/>
      <c r="D2573" s="92"/>
      <c r="E2573" s="14"/>
      <c r="F2573" s="14"/>
      <c r="G2573" s="14"/>
      <c r="H2573" s="14"/>
      <c r="I2573" s="67"/>
      <c r="J2573" s="14"/>
      <c r="K2573" s="14"/>
      <c r="L2573" s="14"/>
      <c r="M2573" s="14"/>
    </row>
    <row r="2574" spans="1:13" x14ac:dyDescent="0.25">
      <c r="A2574" s="14"/>
      <c r="B2574" s="14"/>
      <c r="C2574" s="14"/>
      <c r="D2574" s="92"/>
      <c r="E2574" s="14"/>
      <c r="F2574" s="14"/>
      <c r="G2574" s="14"/>
      <c r="H2574" s="14"/>
      <c r="I2574" s="67"/>
      <c r="J2574" s="14"/>
      <c r="K2574" s="14"/>
      <c r="L2574" s="14"/>
      <c r="M2574" s="14"/>
    </row>
    <row r="2575" spans="1:13" x14ac:dyDescent="0.25">
      <c r="A2575" s="14"/>
      <c r="B2575" s="14"/>
      <c r="C2575" s="14"/>
      <c r="D2575" s="92"/>
      <c r="E2575" s="14"/>
      <c r="F2575" s="14"/>
      <c r="G2575" s="14"/>
      <c r="H2575" s="14"/>
      <c r="I2575" s="67"/>
      <c r="J2575" s="14"/>
      <c r="K2575" s="14"/>
      <c r="L2575" s="14"/>
      <c r="M2575" s="14"/>
    </row>
    <row r="2576" spans="1:13" x14ac:dyDescent="0.25">
      <c r="A2576" s="14"/>
      <c r="B2576" s="14"/>
      <c r="C2576" s="14"/>
      <c r="D2576" s="92"/>
      <c r="E2576" s="14"/>
      <c r="F2576" s="14"/>
      <c r="G2576" s="14"/>
      <c r="H2576" s="14"/>
      <c r="I2576" s="67"/>
      <c r="J2576" s="14"/>
      <c r="K2576" s="14"/>
      <c r="L2576" s="14"/>
      <c r="M2576" s="14"/>
    </row>
    <row r="2577" spans="1:13" x14ac:dyDescent="0.25">
      <c r="A2577" s="14"/>
      <c r="B2577" s="14"/>
      <c r="C2577" s="14"/>
      <c r="D2577" s="92"/>
      <c r="E2577" s="14"/>
      <c r="F2577" s="14"/>
      <c r="G2577" s="14"/>
      <c r="H2577" s="14"/>
      <c r="I2577" s="67"/>
      <c r="J2577" s="14"/>
      <c r="K2577" s="14"/>
      <c r="L2577" s="14"/>
      <c r="M2577" s="14"/>
    </row>
    <row r="2578" spans="1:13" x14ac:dyDescent="0.25">
      <c r="A2578" s="14"/>
      <c r="B2578" s="14"/>
      <c r="C2578" s="14"/>
      <c r="D2578" s="92"/>
      <c r="E2578" s="14"/>
      <c r="F2578" s="14"/>
      <c r="G2578" s="14"/>
      <c r="H2578" s="14"/>
      <c r="I2578" s="67"/>
      <c r="J2578" s="14"/>
      <c r="K2578" s="14"/>
      <c r="L2578" s="14"/>
      <c r="M2578" s="14"/>
    </row>
    <row r="2579" spans="1:13" x14ac:dyDescent="0.25">
      <c r="A2579" s="14"/>
      <c r="B2579" s="14"/>
      <c r="C2579" s="14"/>
      <c r="D2579" s="92"/>
      <c r="E2579" s="14"/>
      <c r="F2579" s="14"/>
      <c r="G2579" s="14"/>
      <c r="H2579" s="14"/>
      <c r="I2579" s="67"/>
      <c r="J2579" s="14"/>
      <c r="K2579" s="14"/>
      <c r="L2579" s="14"/>
      <c r="M2579" s="14"/>
    </row>
    <row r="2580" spans="1:13" x14ac:dyDescent="0.25">
      <c r="A2580" s="14"/>
      <c r="B2580" s="14"/>
      <c r="C2580" s="14"/>
      <c r="D2580" s="92"/>
      <c r="E2580" s="14"/>
      <c r="F2580" s="14"/>
      <c r="G2580" s="14"/>
      <c r="H2580" s="14"/>
      <c r="I2580" s="67"/>
      <c r="J2580" s="14"/>
      <c r="K2580" s="14"/>
      <c r="L2580" s="14"/>
      <c r="M2580" s="14"/>
    </row>
    <row r="2581" spans="1:13" x14ac:dyDescent="0.25">
      <c r="A2581" s="14"/>
      <c r="B2581" s="14"/>
      <c r="C2581" s="14"/>
      <c r="D2581" s="92"/>
      <c r="E2581" s="14"/>
      <c r="F2581" s="14"/>
      <c r="G2581" s="14"/>
      <c r="H2581" s="14"/>
      <c r="I2581" s="67"/>
      <c r="J2581" s="14"/>
      <c r="K2581" s="14"/>
      <c r="L2581" s="14"/>
      <c r="M2581" s="14"/>
    </row>
    <row r="2582" spans="1:13" x14ac:dyDescent="0.25">
      <c r="A2582" s="14"/>
      <c r="B2582" s="14"/>
      <c r="C2582" s="14"/>
      <c r="D2582" s="92"/>
      <c r="E2582" s="14"/>
      <c r="F2582" s="14"/>
      <c r="G2582" s="14"/>
      <c r="H2582" s="14"/>
      <c r="I2582" s="67"/>
      <c r="J2582" s="14"/>
      <c r="K2582" s="14"/>
      <c r="L2582" s="14"/>
      <c r="M2582" s="14"/>
    </row>
    <row r="2583" spans="1:13" x14ac:dyDescent="0.25">
      <c r="A2583" s="14"/>
      <c r="B2583" s="14"/>
      <c r="C2583" s="14"/>
      <c r="D2583" s="92"/>
      <c r="E2583" s="14"/>
      <c r="F2583" s="14"/>
      <c r="G2583" s="14"/>
      <c r="H2583" s="14"/>
      <c r="I2583" s="67"/>
      <c r="J2583" s="14"/>
      <c r="K2583" s="14"/>
      <c r="L2583" s="14"/>
      <c r="M2583" s="14"/>
    </row>
    <row r="2584" spans="1:13" x14ac:dyDescent="0.25">
      <c r="A2584" s="14"/>
      <c r="B2584" s="14"/>
      <c r="C2584" s="14"/>
      <c r="D2584" s="92"/>
      <c r="E2584" s="14"/>
      <c r="F2584" s="14"/>
      <c r="G2584" s="14"/>
      <c r="H2584" s="14"/>
      <c r="I2584" s="67"/>
      <c r="J2584" s="14"/>
      <c r="K2584" s="14"/>
      <c r="L2584" s="14"/>
      <c r="M2584" s="14"/>
    </row>
    <row r="2585" spans="1:13" x14ac:dyDescent="0.25">
      <c r="A2585" s="14"/>
      <c r="B2585" s="14"/>
      <c r="C2585" s="14"/>
      <c r="D2585" s="92"/>
      <c r="E2585" s="14"/>
      <c r="F2585" s="14"/>
      <c r="G2585" s="14"/>
      <c r="H2585" s="14"/>
      <c r="I2585" s="67"/>
      <c r="J2585" s="14"/>
      <c r="K2585" s="14"/>
      <c r="L2585" s="14"/>
      <c r="M2585" s="14"/>
    </row>
    <row r="2586" spans="1:13" x14ac:dyDescent="0.25">
      <c r="A2586" s="14"/>
      <c r="B2586" s="14"/>
      <c r="C2586" s="14"/>
      <c r="D2586" s="92"/>
      <c r="E2586" s="14"/>
      <c r="F2586" s="14"/>
      <c r="G2586" s="14"/>
      <c r="H2586" s="14"/>
      <c r="I2586" s="67"/>
      <c r="J2586" s="14"/>
      <c r="K2586" s="14"/>
      <c r="L2586" s="14"/>
      <c r="M2586" s="14"/>
    </row>
    <row r="2587" spans="1:13" x14ac:dyDescent="0.25">
      <c r="A2587" s="14"/>
      <c r="B2587" s="14"/>
      <c r="C2587" s="14"/>
      <c r="D2587" s="92"/>
      <c r="E2587" s="14"/>
      <c r="F2587" s="14"/>
      <c r="G2587" s="14"/>
      <c r="H2587" s="14"/>
      <c r="I2587" s="67"/>
      <c r="J2587" s="14"/>
      <c r="K2587" s="14"/>
      <c r="L2587" s="14"/>
      <c r="M2587" s="14"/>
    </row>
    <row r="2588" spans="1:13" x14ac:dyDescent="0.25">
      <c r="A2588" s="14"/>
      <c r="B2588" s="14"/>
      <c r="C2588" s="14"/>
      <c r="D2588" s="92"/>
      <c r="E2588" s="14"/>
      <c r="F2588" s="14"/>
      <c r="G2588" s="14"/>
      <c r="H2588" s="14"/>
      <c r="I2588" s="67"/>
      <c r="J2588" s="14"/>
      <c r="K2588" s="14"/>
      <c r="L2588" s="14"/>
      <c r="M2588" s="14"/>
    </row>
    <row r="2589" spans="1:13" x14ac:dyDescent="0.25">
      <c r="A2589" s="14"/>
      <c r="B2589" s="14"/>
      <c r="C2589" s="14"/>
      <c r="D2589" s="92"/>
      <c r="E2589" s="14"/>
      <c r="F2589" s="14"/>
      <c r="G2589" s="14"/>
      <c r="H2589" s="14"/>
      <c r="I2589" s="67"/>
      <c r="J2589" s="14"/>
      <c r="K2589" s="14"/>
      <c r="L2589" s="14"/>
      <c r="M2589" s="14"/>
    </row>
    <row r="2590" spans="1:13" x14ac:dyDescent="0.25">
      <c r="A2590" s="14"/>
      <c r="B2590" s="14"/>
      <c r="C2590" s="14"/>
      <c r="D2590" s="92"/>
      <c r="E2590" s="14"/>
      <c r="F2590" s="14"/>
      <c r="G2590" s="14"/>
      <c r="H2590" s="14"/>
      <c r="I2590" s="67"/>
      <c r="J2590" s="14"/>
      <c r="K2590" s="14"/>
      <c r="L2590" s="14"/>
      <c r="M2590" s="14"/>
    </row>
    <row r="2591" spans="1:13" x14ac:dyDescent="0.25">
      <c r="A2591" s="14"/>
      <c r="B2591" s="14"/>
      <c r="C2591" s="14"/>
      <c r="D2591" s="92"/>
      <c r="E2591" s="14"/>
      <c r="F2591" s="14"/>
      <c r="G2591" s="14"/>
      <c r="H2591" s="14"/>
      <c r="I2591" s="67"/>
      <c r="J2591" s="14"/>
      <c r="K2591" s="14"/>
      <c r="L2591" s="14"/>
      <c r="M2591" s="14"/>
    </row>
    <row r="2592" spans="1:13" x14ac:dyDescent="0.25">
      <c r="A2592" s="14"/>
      <c r="B2592" s="14"/>
      <c r="C2592" s="14"/>
      <c r="D2592" s="92"/>
      <c r="E2592" s="14"/>
      <c r="F2592" s="14"/>
      <c r="G2592" s="14"/>
      <c r="H2592" s="14"/>
      <c r="I2592" s="67"/>
      <c r="J2592" s="14"/>
      <c r="K2592" s="14"/>
      <c r="L2592" s="14"/>
      <c r="M2592" s="14"/>
    </row>
    <row r="2593" spans="1:13" x14ac:dyDescent="0.25">
      <c r="A2593" s="14"/>
      <c r="B2593" s="14"/>
      <c r="C2593" s="14"/>
      <c r="D2593" s="92"/>
      <c r="E2593" s="14"/>
      <c r="F2593" s="14"/>
      <c r="G2593" s="14"/>
      <c r="H2593" s="14"/>
      <c r="I2593" s="67"/>
      <c r="J2593" s="14"/>
      <c r="K2593" s="14"/>
      <c r="L2593" s="14"/>
      <c r="M2593" s="14"/>
    </row>
    <row r="2594" spans="1:13" x14ac:dyDescent="0.25">
      <c r="A2594" s="14"/>
      <c r="B2594" s="14"/>
      <c r="C2594" s="14"/>
      <c r="D2594" s="92"/>
      <c r="E2594" s="14"/>
      <c r="F2594" s="14"/>
      <c r="G2594" s="14"/>
      <c r="H2594" s="14"/>
      <c r="I2594" s="67"/>
      <c r="J2594" s="14"/>
      <c r="K2594" s="14"/>
      <c r="L2594" s="14"/>
      <c r="M2594" s="14"/>
    </row>
    <row r="2595" spans="1:13" x14ac:dyDescent="0.25">
      <c r="A2595" s="14"/>
      <c r="B2595" s="14"/>
      <c r="C2595" s="14"/>
      <c r="D2595" s="92"/>
      <c r="E2595" s="14"/>
      <c r="F2595" s="14"/>
      <c r="G2595" s="14"/>
      <c r="H2595" s="14"/>
      <c r="I2595" s="67"/>
      <c r="J2595" s="14"/>
      <c r="K2595" s="14"/>
      <c r="L2595" s="14"/>
      <c r="M2595" s="14"/>
    </row>
    <row r="2596" spans="1:13" x14ac:dyDescent="0.25">
      <c r="A2596" s="14"/>
      <c r="B2596" s="14"/>
      <c r="C2596" s="14"/>
      <c r="D2596" s="92"/>
      <c r="E2596" s="14"/>
      <c r="F2596" s="14"/>
      <c r="G2596" s="14"/>
      <c r="H2596" s="14"/>
      <c r="I2596" s="67"/>
      <c r="J2596" s="14"/>
      <c r="K2596" s="14"/>
      <c r="L2596" s="14"/>
      <c r="M2596" s="14"/>
    </row>
    <row r="2597" spans="1:13" x14ac:dyDescent="0.25">
      <c r="A2597" s="14"/>
      <c r="B2597" s="14"/>
      <c r="C2597" s="14"/>
      <c r="D2597" s="92"/>
      <c r="E2597" s="14"/>
      <c r="F2597" s="14"/>
      <c r="G2597" s="14"/>
      <c r="H2597" s="14"/>
      <c r="I2597" s="67"/>
      <c r="J2597" s="14"/>
      <c r="K2597" s="14"/>
      <c r="L2597" s="14"/>
      <c r="M2597" s="14"/>
    </row>
    <row r="2598" spans="1:13" x14ac:dyDescent="0.25">
      <c r="A2598" s="14"/>
      <c r="B2598" s="14"/>
      <c r="C2598" s="14"/>
      <c r="D2598" s="92"/>
      <c r="E2598" s="14"/>
      <c r="F2598" s="14"/>
      <c r="G2598" s="14"/>
      <c r="H2598" s="14"/>
      <c r="I2598" s="67"/>
      <c r="J2598" s="14"/>
      <c r="K2598" s="14"/>
      <c r="L2598" s="14"/>
      <c r="M2598" s="14"/>
    </row>
    <row r="2599" spans="1:13" x14ac:dyDescent="0.25">
      <c r="A2599" s="14"/>
      <c r="B2599" s="14"/>
      <c r="C2599" s="14"/>
      <c r="D2599" s="92"/>
      <c r="E2599" s="14"/>
      <c r="F2599" s="14"/>
      <c r="G2599" s="14"/>
      <c r="H2599" s="14"/>
      <c r="I2599" s="67"/>
      <c r="J2599" s="14"/>
      <c r="K2599" s="14"/>
      <c r="L2599" s="14"/>
      <c r="M2599" s="14"/>
    </row>
    <row r="2600" spans="1:13" x14ac:dyDescent="0.25">
      <c r="A2600" s="14"/>
      <c r="B2600" s="14"/>
      <c r="C2600" s="14"/>
      <c r="D2600" s="92"/>
      <c r="E2600" s="14"/>
      <c r="F2600" s="14"/>
      <c r="G2600" s="14"/>
      <c r="H2600" s="14"/>
      <c r="I2600" s="67"/>
      <c r="J2600" s="14"/>
      <c r="K2600" s="14"/>
      <c r="L2600" s="14"/>
      <c r="M2600" s="14"/>
    </row>
    <row r="2601" spans="1:13" x14ac:dyDescent="0.25">
      <c r="A2601" s="14"/>
      <c r="B2601" s="14"/>
      <c r="C2601" s="14"/>
      <c r="D2601" s="92"/>
      <c r="E2601" s="14"/>
      <c r="F2601" s="14"/>
      <c r="G2601" s="14"/>
      <c r="H2601" s="14"/>
      <c r="I2601" s="67"/>
      <c r="J2601" s="14"/>
      <c r="K2601" s="14"/>
      <c r="L2601" s="14"/>
      <c r="M2601" s="14"/>
    </row>
    <row r="2602" spans="1:13" x14ac:dyDescent="0.25">
      <c r="A2602" s="14"/>
      <c r="B2602" s="14"/>
      <c r="C2602" s="14"/>
      <c r="D2602" s="92"/>
      <c r="E2602" s="14"/>
      <c r="F2602" s="14"/>
      <c r="G2602" s="14"/>
      <c r="H2602" s="14"/>
      <c r="I2602" s="67"/>
      <c r="J2602" s="14"/>
      <c r="K2602" s="14"/>
      <c r="L2602" s="14"/>
      <c r="M2602" s="14"/>
    </row>
    <row r="2603" spans="1:13" x14ac:dyDescent="0.25">
      <c r="A2603" s="14"/>
      <c r="B2603" s="14"/>
      <c r="C2603" s="14"/>
      <c r="D2603" s="92"/>
      <c r="E2603" s="14"/>
      <c r="F2603" s="14"/>
      <c r="G2603" s="14"/>
      <c r="H2603" s="14"/>
      <c r="I2603" s="67"/>
      <c r="J2603" s="14"/>
      <c r="K2603" s="14"/>
      <c r="L2603" s="14"/>
      <c r="M2603" s="14"/>
    </row>
    <row r="2604" spans="1:13" x14ac:dyDescent="0.25">
      <c r="A2604" s="14"/>
      <c r="B2604" s="14"/>
      <c r="C2604" s="14"/>
      <c r="D2604" s="92"/>
      <c r="E2604" s="14"/>
      <c r="F2604" s="14"/>
      <c r="G2604" s="14"/>
      <c r="H2604" s="14"/>
      <c r="I2604" s="67"/>
      <c r="J2604" s="14"/>
      <c r="K2604" s="14"/>
      <c r="L2604" s="14"/>
      <c r="M2604" s="14"/>
    </row>
    <row r="2605" spans="1:13" x14ac:dyDescent="0.25">
      <c r="A2605" s="14"/>
      <c r="B2605" s="14"/>
      <c r="C2605" s="14"/>
      <c r="D2605" s="92"/>
      <c r="E2605" s="14"/>
      <c r="F2605" s="14"/>
      <c r="G2605" s="14"/>
      <c r="H2605" s="14"/>
      <c r="I2605" s="67"/>
      <c r="J2605" s="14"/>
      <c r="K2605" s="14"/>
      <c r="L2605" s="14"/>
      <c r="M2605" s="14"/>
    </row>
    <row r="2606" spans="1:13" x14ac:dyDescent="0.25">
      <c r="A2606" s="14"/>
      <c r="B2606" s="14"/>
      <c r="C2606" s="14"/>
      <c r="D2606" s="92"/>
      <c r="E2606" s="14"/>
      <c r="F2606" s="14"/>
      <c r="G2606" s="14"/>
      <c r="H2606" s="14"/>
      <c r="I2606" s="67"/>
      <c r="J2606" s="14"/>
      <c r="K2606" s="14"/>
      <c r="L2606" s="14"/>
      <c r="M2606" s="14"/>
    </row>
    <row r="2607" spans="1:13" x14ac:dyDescent="0.25">
      <c r="A2607" s="14"/>
      <c r="B2607" s="14"/>
      <c r="C2607" s="14"/>
      <c r="D2607" s="92"/>
      <c r="E2607" s="14"/>
      <c r="F2607" s="14"/>
      <c r="G2607" s="14"/>
      <c r="H2607" s="14"/>
      <c r="I2607" s="67"/>
      <c r="J2607" s="14"/>
      <c r="K2607" s="14"/>
      <c r="L2607" s="14"/>
      <c r="M2607" s="14"/>
    </row>
    <row r="2608" spans="1:13" x14ac:dyDescent="0.25">
      <c r="A2608" s="14"/>
      <c r="B2608" s="14"/>
      <c r="C2608" s="14"/>
      <c r="D2608" s="92"/>
      <c r="E2608" s="14"/>
      <c r="F2608" s="14"/>
      <c r="G2608" s="14"/>
      <c r="H2608" s="14"/>
      <c r="I2608" s="67"/>
      <c r="J2608" s="14"/>
      <c r="K2608" s="14"/>
      <c r="L2608" s="14"/>
      <c r="M2608" s="14"/>
    </row>
    <row r="2609" spans="1:13" x14ac:dyDescent="0.25">
      <c r="A2609" s="14"/>
      <c r="B2609" s="14"/>
      <c r="C2609" s="14"/>
      <c r="D2609" s="92"/>
      <c r="E2609" s="14"/>
      <c r="F2609" s="14"/>
      <c r="G2609" s="14"/>
      <c r="H2609" s="14"/>
      <c r="I2609" s="67"/>
      <c r="J2609" s="14"/>
      <c r="K2609" s="14"/>
      <c r="L2609" s="14"/>
      <c r="M2609" s="14"/>
    </row>
    <row r="2610" spans="1:13" x14ac:dyDescent="0.25">
      <c r="A2610" s="14"/>
      <c r="B2610" s="14"/>
      <c r="C2610" s="14"/>
      <c r="D2610" s="92"/>
      <c r="E2610" s="14"/>
      <c r="F2610" s="14"/>
      <c r="G2610" s="14"/>
      <c r="H2610" s="14"/>
      <c r="I2610" s="67"/>
      <c r="J2610" s="14"/>
      <c r="K2610" s="14"/>
      <c r="L2610" s="14"/>
      <c r="M2610" s="14"/>
    </row>
    <row r="2611" spans="1:13" x14ac:dyDescent="0.25">
      <c r="A2611" s="14"/>
      <c r="B2611" s="14"/>
      <c r="C2611" s="14"/>
      <c r="D2611" s="92"/>
      <c r="E2611" s="14"/>
      <c r="F2611" s="14"/>
      <c r="G2611" s="14"/>
      <c r="H2611" s="14"/>
      <c r="I2611" s="67"/>
      <c r="J2611" s="14"/>
      <c r="K2611" s="14"/>
      <c r="L2611" s="14"/>
      <c r="M2611" s="14"/>
    </row>
    <row r="2612" spans="1:13" x14ac:dyDescent="0.25">
      <c r="A2612" s="14"/>
      <c r="B2612" s="14"/>
      <c r="C2612" s="14"/>
      <c r="D2612" s="92"/>
      <c r="E2612" s="14"/>
      <c r="F2612" s="14"/>
      <c r="G2612" s="14"/>
      <c r="H2612" s="14"/>
      <c r="I2612" s="67"/>
      <c r="J2612" s="14"/>
      <c r="K2612" s="14"/>
      <c r="L2612" s="14"/>
      <c r="M2612" s="14"/>
    </row>
    <row r="2613" spans="1:13" x14ac:dyDescent="0.25">
      <c r="A2613" s="14"/>
      <c r="B2613" s="14"/>
      <c r="C2613" s="14"/>
      <c r="D2613" s="92"/>
      <c r="E2613" s="14"/>
      <c r="F2613" s="14"/>
      <c r="G2613" s="14"/>
      <c r="H2613" s="14"/>
      <c r="I2613" s="67"/>
      <c r="J2613" s="14"/>
      <c r="K2613" s="14"/>
      <c r="L2613" s="14"/>
      <c r="M2613" s="14"/>
    </row>
    <row r="2614" spans="1:13" x14ac:dyDescent="0.25">
      <c r="A2614" s="14"/>
      <c r="B2614" s="14"/>
      <c r="C2614" s="14"/>
      <c r="D2614" s="92"/>
      <c r="E2614" s="14"/>
      <c r="F2614" s="14"/>
      <c r="G2614" s="14"/>
      <c r="H2614" s="14"/>
      <c r="I2614" s="67"/>
      <c r="J2614" s="14"/>
      <c r="K2614" s="14"/>
      <c r="L2614" s="14"/>
      <c r="M2614" s="14"/>
    </row>
    <row r="2615" spans="1:13" x14ac:dyDescent="0.25">
      <c r="A2615" s="14"/>
      <c r="B2615" s="14"/>
      <c r="C2615" s="14"/>
      <c r="D2615" s="92"/>
      <c r="E2615" s="14"/>
      <c r="F2615" s="14"/>
      <c r="G2615" s="14"/>
      <c r="H2615" s="14"/>
      <c r="I2615" s="67"/>
      <c r="J2615" s="14"/>
      <c r="K2615" s="14"/>
      <c r="L2615" s="14"/>
      <c r="M2615" s="14"/>
    </row>
    <row r="2616" spans="1:13" x14ac:dyDescent="0.25">
      <c r="A2616" s="14"/>
      <c r="B2616" s="14"/>
      <c r="C2616" s="14"/>
      <c r="D2616" s="92"/>
      <c r="E2616" s="14"/>
      <c r="F2616" s="14"/>
      <c r="G2616" s="14"/>
      <c r="H2616" s="14"/>
      <c r="I2616" s="67"/>
      <c r="J2616" s="14"/>
      <c r="K2616" s="14"/>
      <c r="L2616" s="14"/>
      <c r="M2616" s="14"/>
    </row>
    <row r="2617" spans="1:13" x14ac:dyDescent="0.25">
      <c r="A2617" s="14"/>
      <c r="B2617" s="14"/>
      <c r="C2617" s="14"/>
      <c r="D2617" s="92"/>
      <c r="E2617" s="14"/>
      <c r="F2617" s="14"/>
      <c r="G2617" s="14"/>
      <c r="H2617" s="14"/>
      <c r="I2617" s="67"/>
      <c r="J2617" s="14"/>
      <c r="K2617" s="14"/>
      <c r="L2617" s="14"/>
      <c r="M2617" s="14"/>
    </row>
    <row r="2618" spans="1:13" x14ac:dyDescent="0.25">
      <c r="A2618" s="14"/>
      <c r="B2618" s="14"/>
      <c r="C2618" s="14"/>
      <c r="D2618" s="92"/>
      <c r="E2618" s="14"/>
      <c r="F2618" s="14"/>
      <c r="G2618" s="14"/>
      <c r="H2618" s="14"/>
      <c r="I2618" s="67"/>
      <c r="J2618" s="14"/>
      <c r="K2618" s="14"/>
      <c r="L2618" s="14"/>
      <c r="M2618" s="14"/>
    </row>
    <row r="2619" spans="1:13" x14ac:dyDescent="0.25">
      <c r="A2619" s="14"/>
      <c r="B2619" s="14"/>
      <c r="C2619" s="14"/>
      <c r="D2619" s="92"/>
      <c r="E2619" s="14"/>
      <c r="F2619" s="14"/>
      <c r="G2619" s="14"/>
      <c r="H2619" s="14"/>
      <c r="I2619" s="67"/>
      <c r="J2619" s="14"/>
      <c r="K2619" s="14"/>
      <c r="L2619" s="14"/>
      <c r="M2619" s="14"/>
    </row>
    <row r="2620" spans="1:13" x14ac:dyDescent="0.25">
      <c r="A2620" s="14"/>
      <c r="B2620" s="14"/>
      <c r="C2620" s="14"/>
      <c r="D2620" s="92"/>
      <c r="E2620" s="14"/>
      <c r="F2620" s="14"/>
      <c r="G2620" s="14"/>
      <c r="H2620" s="14"/>
      <c r="I2620" s="67"/>
      <c r="J2620" s="14"/>
      <c r="K2620" s="14"/>
      <c r="L2620" s="14"/>
      <c r="M2620" s="14"/>
    </row>
    <row r="2621" spans="1:13" x14ac:dyDescent="0.25">
      <c r="A2621" s="14"/>
      <c r="B2621" s="14"/>
      <c r="C2621" s="14"/>
      <c r="D2621" s="92"/>
      <c r="E2621" s="14"/>
      <c r="F2621" s="14"/>
      <c r="G2621" s="14"/>
      <c r="H2621" s="14"/>
      <c r="I2621" s="67"/>
      <c r="J2621" s="14"/>
      <c r="K2621" s="14"/>
      <c r="L2621" s="14"/>
      <c r="M2621" s="14"/>
    </row>
    <row r="2622" spans="1:13" x14ac:dyDescent="0.25">
      <c r="A2622" s="14"/>
      <c r="B2622" s="14"/>
      <c r="C2622" s="14"/>
      <c r="D2622" s="92"/>
      <c r="E2622" s="14"/>
      <c r="F2622" s="14"/>
      <c r="G2622" s="14"/>
      <c r="H2622" s="14"/>
      <c r="I2622" s="67"/>
      <c r="J2622" s="14"/>
      <c r="K2622" s="14"/>
      <c r="L2622" s="14"/>
      <c r="M2622" s="14"/>
    </row>
    <row r="2623" spans="1:13" x14ac:dyDescent="0.25">
      <c r="A2623" s="14"/>
      <c r="B2623" s="14"/>
      <c r="C2623" s="14"/>
      <c r="D2623" s="92"/>
      <c r="E2623" s="14"/>
      <c r="F2623" s="14"/>
      <c r="G2623" s="14"/>
      <c r="H2623" s="14"/>
      <c r="I2623" s="67"/>
      <c r="J2623" s="14"/>
      <c r="K2623" s="14"/>
      <c r="L2623" s="14"/>
      <c r="M2623" s="14"/>
    </row>
    <row r="2624" spans="1:13" x14ac:dyDescent="0.25">
      <c r="A2624" s="14"/>
      <c r="B2624" s="14"/>
      <c r="C2624" s="14"/>
      <c r="D2624" s="92"/>
      <c r="E2624" s="14"/>
      <c r="F2624" s="14"/>
      <c r="G2624" s="14"/>
      <c r="H2624" s="14"/>
      <c r="I2624" s="67"/>
      <c r="J2624" s="14"/>
      <c r="K2624" s="14"/>
      <c r="L2624" s="14"/>
      <c r="M2624" s="14"/>
    </row>
    <row r="2625" spans="1:13" x14ac:dyDescent="0.25">
      <c r="A2625" s="14"/>
      <c r="B2625" s="14"/>
      <c r="C2625" s="14"/>
      <c r="D2625" s="92"/>
      <c r="E2625" s="14"/>
      <c r="F2625" s="14"/>
      <c r="G2625" s="14"/>
      <c r="H2625" s="14"/>
      <c r="I2625" s="67"/>
      <c r="J2625" s="14"/>
      <c r="K2625" s="14"/>
      <c r="L2625" s="14"/>
      <c r="M2625" s="14"/>
    </row>
    <row r="2626" spans="1:13" x14ac:dyDescent="0.25">
      <c r="A2626" s="14"/>
      <c r="B2626" s="14"/>
      <c r="C2626" s="14"/>
      <c r="D2626" s="92"/>
      <c r="E2626" s="14"/>
      <c r="F2626" s="14"/>
      <c r="G2626" s="14"/>
      <c r="H2626" s="14"/>
      <c r="I2626" s="67"/>
      <c r="J2626" s="14"/>
      <c r="K2626" s="14"/>
      <c r="L2626" s="14"/>
      <c r="M2626" s="14"/>
    </row>
    <row r="2627" spans="1:13" x14ac:dyDescent="0.25">
      <c r="A2627" s="14"/>
      <c r="B2627" s="14"/>
      <c r="C2627" s="14"/>
      <c r="D2627" s="92"/>
      <c r="E2627" s="14"/>
      <c r="F2627" s="14"/>
      <c r="G2627" s="14"/>
      <c r="H2627" s="14"/>
      <c r="I2627" s="67"/>
      <c r="J2627" s="14"/>
      <c r="K2627" s="14"/>
      <c r="L2627" s="14"/>
      <c r="M2627" s="14"/>
    </row>
    <row r="2628" spans="1:13" x14ac:dyDescent="0.25">
      <c r="A2628" s="14"/>
      <c r="B2628" s="14"/>
      <c r="C2628" s="14"/>
      <c r="D2628" s="92"/>
      <c r="E2628" s="14"/>
      <c r="F2628" s="14"/>
      <c r="G2628" s="14"/>
      <c r="H2628" s="14"/>
      <c r="I2628" s="67"/>
      <c r="J2628" s="14"/>
      <c r="K2628" s="14"/>
      <c r="L2628" s="14"/>
      <c r="M2628" s="14"/>
    </row>
    <row r="2629" spans="1:13" x14ac:dyDescent="0.25">
      <c r="A2629" s="14"/>
      <c r="B2629" s="14"/>
      <c r="C2629" s="14"/>
      <c r="D2629" s="92"/>
      <c r="E2629" s="14"/>
      <c r="F2629" s="14"/>
      <c r="G2629" s="14"/>
      <c r="H2629" s="14"/>
      <c r="I2629" s="67"/>
      <c r="J2629" s="14"/>
      <c r="K2629" s="14"/>
      <c r="L2629" s="14"/>
      <c r="M2629" s="14"/>
    </row>
    <row r="2630" spans="1:13" x14ac:dyDescent="0.25">
      <c r="A2630" s="14"/>
      <c r="B2630" s="14"/>
      <c r="C2630" s="14"/>
      <c r="D2630" s="92"/>
      <c r="E2630" s="14"/>
      <c r="F2630" s="14"/>
      <c r="G2630" s="14"/>
      <c r="H2630" s="14"/>
      <c r="I2630" s="67"/>
      <c r="J2630" s="14"/>
      <c r="K2630" s="14"/>
      <c r="L2630" s="14"/>
      <c r="M2630" s="14"/>
    </row>
    <row r="2631" spans="1:13" x14ac:dyDescent="0.25">
      <c r="A2631" s="14"/>
      <c r="B2631" s="14"/>
      <c r="C2631" s="14"/>
      <c r="D2631" s="92"/>
      <c r="E2631" s="14"/>
      <c r="F2631" s="14"/>
      <c r="G2631" s="14"/>
      <c r="H2631" s="14"/>
      <c r="I2631" s="67"/>
      <c r="J2631" s="14"/>
      <c r="K2631" s="14"/>
      <c r="L2631" s="14"/>
      <c r="M2631" s="14"/>
    </row>
    <row r="2632" spans="1:13" x14ac:dyDescent="0.25">
      <c r="A2632" s="14"/>
      <c r="B2632" s="14"/>
      <c r="C2632" s="14"/>
      <c r="D2632" s="92"/>
      <c r="E2632" s="14"/>
      <c r="F2632" s="14"/>
      <c r="G2632" s="14"/>
      <c r="H2632" s="14"/>
      <c r="I2632" s="67"/>
      <c r="J2632" s="14"/>
      <c r="K2632" s="14"/>
      <c r="L2632" s="14"/>
      <c r="M2632" s="14"/>
    </row>
    <row r="2633" spans="1:13" x14ac:dyDescent="0.25">
      <c r="A2633" s="14"/>
      <c r="B2633" s="14"/>
      <c r="C2633" s="14"/>
      <c r="D2633" s="92"/>
      <c r="E2633" s="14"/>
      <c r="F2633" s="14"/>
      <c r="G2633" s="14"/>
      <c r="H2633" s="14"/>
      <c r="I2633" s="67"/>
      <c r="J2633" s="14"/>
      <c r="K2633" s="14"/>
      <c r="L2633" s="14"/>
      <c r="M2633" s="14"/>
    </row>
    <row r="2634" spans="1:13" x14ac:dyDescent="0.25">
      <c r="A2634" s="14"/>
      <c r="B2634" s="14"/>
      <c r="C2634" s="14"/>
      <c r="D2634" s="92"/>
      <c r="E2634" s="14"/>
      <c r="F2634" s="14"/>
      <c r="G2634" s="14"/>
      <c r="H2634" s="14"/>
      <c r="I2634" s="67"/>
      <c r="J2634" s="14"/>
      <c r="K2634" s="14"/>
      <c r="L2634" s="14"/>
      <c r="M2634" s="14"/>
    </row>
    <row r="2635" spans="1:13" x14ac:dyDescent="0.25">
      <c r="A2635" s="14"/>
      <c r="B2635" s="14"/>
      <c r="C2635" s="14"/>
      <c r="D2635" s="92"/>
      <c r="E2635" s="14"/>
      <c r="F2635" s="14"/>
      <c r="G2635" s="14"/>
      <c r="H2635" s="14"/>
      <c r="I2635" s="67"/>
      <c r="J2635" s="14"/>
      <c r="K2635" s="14"/>
      <c r="L2635" s="14"/>
      <c r="M2635" s="14"/>
    </row>
    <row r="2636" spans="1:13" x14ac:dyDescent="0.25">
      <c r="A2636" s="14"/>
      <c r="B2636" s="14"/>
      <c r="C2636" s="14"/>
      <c r="D2636" s="92"/>
      <c r="E2636" s="14"/>
      <c r="F2636" s="14"/>
      <c r="G2636" s="14"/>
      <c r="H2636" s="14"/>
      <c r="I2636" s="67"/>
      <c r="J2636" s="14"/>
      <c r="K2636" s="14"/>
      <c r="L2636" s="14"/>
      <c r="M2636" s="14"/>
    </row>
    <row r="2637" spans="1:13" x14ac:dyDescent="0.25">
      <c r="A2637" s="14"/>
      <c r="B2637" s="14"/>
      <c r="C2637" s="14"/>
      <c r="D2637" s="92"/>
      <c r="E2637" s="14"/>
      <c r="F2637" s="14"/>
      <c r="G2637" s="14"/>
      <c r="H2637" s="14"/>
      <c r="I2637" s="67"/>
      <c r="J2637" s="14"/>
      <c r="K2637" s="14"/>
      <c r="L2637" s="14"/>
      <c r="M2637" s="14"/>
    </row>
    <row r="2638" spans="1:13" x14ac:dyDescent="0.25">
      <c r="A2638" s="14"/>
      <c r="B2638" s="14"/>
      <c r="C2638" s="14"/>
      <c r="D2638" s="92"/>
      <c r="E2638" s="14"/>
      <c r="F2638" s="14"/>
      <c r="G2638" s="14"/>
      <c r="H2638" s="14"/>
      <c r="I2638" s="67"/>
      <c r="J2638" s="14"/>
      <c r="K2638" s="14"/>
      <c r="L2638" s="14"/>
      <c r="M2638" s="14"/>
    </row>
    <row r="2639" spans="1:13" x14ac:dyDescent="0.25">
      <c r="A2639" s="14"/>
      <c r="B2639" s="14"/>
      <c r="C2639" s="14"/>
      <c r="D2639" s="92"/>
      <c r="E2639" s="14"/>
      <c r="F2639" s="14"/>
      <c r="G2639" s="14"/>
      <c r="H2639" s="14"/>
      <c r="I2639" s="67"/>
      <c r="J2639" s="14"/>
      <c r="K2639" s="14"/>
      <c r="L2639" s="14"/>
      <c r="M2639" s="14"/>
    </row>
    <row r="2640" spans="1:13" x14ac:dyDescent="0.25">
      <c r="A2640" s="14"/>
      <c r="B2640" s="14"/>
      <c r="C2640" s="14"/>
      <c r="D2640" s="92"/>
      <c r="E2640" s="14"/>
      <c r="F2640" s="14"/>
      <c r="G2640" s="14"/>
      <c r="H2640" s="14"/>
      <c r="I2640" s="67"/>
      <c r="J2640" s="14"/>
      <c r="K2640" s="14"/>
      <c r="L2640" s="14"/>
      <c r="M2640" s="14"/>
    </row>
    <row r="2641" spans="1:13" x14ac:dyDescent="0.25">
      <c r="A2641" s="14"/>
      <c r="B2641" s="14"/>
      <c r="C2641" s="14"/>
      <c r="D2641" s="92"/>
      <c r="E2641" s="14"/>
      <c r="F2641" s="14"/>
      <c r="G2641" s="14"/>
      <c r="H2641" s="14"/>
      <c r="I2641" s="67"/>
      <c r="J2641" s="14"/>
      <c r="K2641" s="14"/>
      <c r="L2641" s="14"/>
      <c r="M2641" s="14"/>
    </row>
    <row r="2642" spans="1:13" x14ac:dyDescent="0.25">
      <c r="A2642" s="14"/>
      <c r="B2642" s="14"/>
      <c r="C2642" s="14"/>
      <c r="D2642" s="92"/>
      <c r="E2642" s="14"/>
      <c r="F2642" s="14"/>
      <c r="G2642" s="14"/>
      <c r="H2642" s="14"/>
      <c r="I2642" s="67"/>
      <c r="J2642" s="14"/>
      <c r="K2642" s="14"/>
      <c r="L2642" s="14"/>
      <c r="M2642" s="14"/>
    </row>
    <row r="2643" spans="1:13" x14ac:dyDescent="0.25">
      <c r="A2643" s="14"/>
      <c r="B2643" s="14"/>
      <c r="C2643" s="14"/>
      <c r="D2643" s="92"/>
      <c r="E2643" s="14"/>
      <c r="F2643" s="14"/>
      <c r="G2643" s="14"/>
      <c r="H2643" s="14"/>
      <c r="I2643" s="67"/>
      <c r="J2643" s="14"/>
      <c r="K2643" s="14"/>
      <c r="L2643" s="14"/>
      <c r="M2643" s="14"/>
    </row>
    <row r="2644" spans="1:13" x14ac:dyDescent="0.25">
      <c r="A2644" s="14"/>
      <c r="B2644" s="14"/>
      <c r="C2644" s="14"/>
      <c r="D2644" s="92"/>
      <c r="E2644" s="14"/>
      <c r="F2644" s="14"/>
      <c r="G2644" s="14"/>
      <c r="H2644" s="14"/>
      <c r="I2644" s="67"/>
      <c r="J2644" s="14"/>
      <c r="K2644" s="14"/>
      <c r="L2644" s="14"/>
      <c r="M2644" s="14"/>
    </row>
    <row r="2645" spans="1:13" x14ac:dyDescent="0.25">
      <c r="A2645" s="14"/>
      <c r="B2645" s="14"/>
      <c r="C2645" s="14"/>
      <c r="D2645" s="92"/>
      <c r="E2645" s="14"/>
      <c r="F2645" s="14"/>
      <c r="G2645" s="14"/>
      <c r="H2645" s="14"/>
      <c r="I2645" s="67"/>
      <c r="J2645" s="14"/>
      <c r="K2645" s="14"/>
      <c r="L2645" s="14"/>
      <c r="M2645" s="14"/>
    </row>
    <row r="2646" spans="1:13" x14ac:dyDescent="0.25">
      <c r="A2646" s="14"/>
      <c r="B2646" s="14"/>
      <c r="C2646" s="14"/>
      <c r="D2646" s="92"/>
      <c r="E2646" s="14"/>
      <c r="F2646" s="14"/>
      <c r="G2646" s="14"/>
      <c r="H2646" s="14"/>
      <c r="I2646" s="67"/>
      <c r="J2646" s="14"/>
      <c r="K2646" s="14"/>
      <c r="L2646" s="14"/>
      <c r="M2646" s="14"/>
    </row>
    <row r="2647" spans="1:13" x14ac:dyDescent="0.25">
      <c r="A2647" s="14"/>
      <c r="B2647" s="14"/>
      <c r="C2647" s="14"/>
      <c r="D2647" s="92"/>
      <c r="E2647" s="14"/>
      <c r="F2647" s="14"/>
      <c r="G2647" s="14"/>
      <c r="H2647" s="14"/>
      <c r="I2647" s="67"/>
      <c r="J2647" s="14"/>
      <c r="K2647" s="14"/>
      <c r="L2647" s="14"/>
      <c r="M2647" s="14"/>
    </row>
    <row r="2648" spans="1:13" x14ac:dyDescent="0.25">
      <c r="A2648" s="14"/>
      <c r="B2648" s="14"/>
      <c r="C2648" s="14"/>
      <c r="D2648" s="92"/>
      <c r="E2648" s="14"/>
      <c r="F2648" s="14"/>
      <c r="G2648" s="14"/>
      <c r="H2648" s="14"/>
      <c r="I2648" s="67"/>
      <c r="J2648" s="14"/>
      <c r="K2648" s="14"/>
      <c r="L2648" s="14"/>
      <c r="M2648" s="14"/>
    </row>
    <row r="2649" spans="1:13" x14ac:dyDescent="0.25">
      <c r="A2649" s="14"/>
      <c r="B2649" s="14"/>
      <c r="C2649" s="14"/>
      <c r="D2649" s="92"/>
      <c r="E2649" s="14"/>
      <c r="F2649" s="14"/>
      <c r="G2649" s="14"/>
      <c r="H2649" s="14"/>
      <c r="I2649" s="67"/>
      <c r="J2649" s="14"/>
      <c r="K2649" s="14"/>
      <c r="L2649" s="14"/>
      <c r="M2649" s="14"/>
    </row>
    <row r="2650" spans="1:13" x14ac:dyDescent="0.25">
      <c r="A2650" s="14"/>
      <c r="B2650" s="14"/>
      <c r="C2650" s="14"/>
      <c r="D2650" s="92"/>
      <c r="E2650" s="14"/>
      <c r="F2650" s="14"/>
      <c r="G2650" s="14"/>
      <c r="H2650" s="14"/>
      <c r="I2650" s="67"/>
      <c r="J2650" s="14"/>
      <c r="K2650" s="14"/>
      <c r="L2650" s="14"/>
      <c r="M2650" s="14"/>
    </row>
    <row r="2651" spans="1:13" x14ac:dyDescent="0.25">
      <c r="A2651" s="14"/>
      <c r="B2651" s="14"/>
      <c r="C2651" s="14"/>
      <c r="D2651" s="92"/>
      <c r="E2651" s="14"/>
      <c r="F2651" s="14"/>
      <c r="G2651" s="14"/>
      <c r="H2651" s="14"/>
      <c r="I2651" s="67"/>
      <c r="J2651" s="14"/>
      <c r="K2651" s="14"/>
      <c r="L2651" s="14"/>
      <c r="M2651" s="14"/>
    </row>
    <row r="2652" spans="1:13" x14ac:dyDescent="0.25">
      <c r="A2652" s="14"/>
      <c r="B2652" s="14"/>
      <c r="C2652" s="14"/>
      <c r="D2652" s="92"/>
      <c r="E2652" s="14"/>
      <c r="F2652" s="14"/>
      <c r="G2652" s="14"/>
      <c r="H2652" s="14"/>
      <c r="I2652" s="67"/>
      <c r="J2652" s="14"/>
      <c r="K2652" s="14"/>
      <c r="L2652" s="14"/>
      <c r="M2652" s="14"/>
    </row>
    <row r="2653" spans="1:13" x14ac:dyDescent="0.25">
      <c r="A2653" s="14"/>
      <c r="B2653" s="14"/>
      <c r="C2653" s="14"/>
      <c r="D2653" s="92"/>
      <c r="E2653" s="14"/>
      <c r="F2653" s="14"/>
      <c r="G2653" s="14"/>
      <c r="H2653" s="14"/>
      <c r="I2653" s="67"/>
      <c r="J2653" s="14"/>
      <c r="K2653" s="14"/>
      <c r="L2653" s="14"/>
      <c r="M2653" s="14"/>
    </row>
    <row r="2654" spans="1:13" x14ac:dyDescent="0.25">
      <c r="A2654" s="14"/>
      <c r="B2654" s="14"/>
      <c r="C2654" s="14"/>
      <c r="D2654" s="92"/>
      <c r="E2654" s="14"/>
      <c r="F2654" s="14"/>
      <c r="G2654" s="14"/>
      <c r="H2654" s="14"/>
      <c r="I2654" s="67"/>
      <c r="J2654" s="14"/>
      <c r="K2654" s="14"/>
      <c r="L2654" s="14"/>
      <c r="M2654" s="14"/>
    </row>
    <row r="2655" spans="1:13" x14ac:dyDescent="0.25">
      <c r="A2655" s="14"/>
      <c r="B2655" s="14"/>
      <c r="C2655" s="14"/>
      <c r="D2655" s="92"/>
      <c r="E2655" s="14"/>
      <c r="F2655" s="14"/>
      <c r="G2655" s="14"/>
      <c r="H2655" s="14"/>
      <c r="I2655" s="67"/>
      <c r="J2655" s="14"/>
      <c r="K2655" s="14"/>
      <c r="L2655" s="14"/>
      <c r="M2655" s="14"/>
    </row>
    <row r="2656" spans="1:13" x14ac:dyDescent="0.25">
      <c r="A2656" s="14"/>
      <c r="B2656" s="14"/>
      <c r="C2656" s="14"/>
      <c r="D2656" s="92"/>
      <c r="E2656" s="14"/>
      <c r="F2656" s="14"/>
      <c r="G2656" s="14"/>
      <c r="H2656" s="14"/>
      <c r="I2656" s="67"/>
      <c r="J2656" s="14"/>
      <c r="K2656" s="14"/>
      <c r="L2656" s="14"/>
      <c r="M2656" s="14"/>
    </row>
    <row r="2657" spans="1:13" x14ac:dyDescent="0.25">
      <c r="A2657" s="14"/>
      <c r="B2657" s="14"/>
      <c r="C2657" s="14"/>
      <c r="D2657" s="92"/>
      <c r="E2657" s="14"/>
      <c r="F2657" s="14"/>
      <c r="G2657" s="14"/>
      <c r="H2657" s="14"/>
      <c r="I2657" s="67"/>
      <c r="J2657" s="14"/>
      <c r="K2657" s="14"/>
      <c r="L2657" s="14"/>
      <c r="M2657" s="14"/>
    </row>
    <row r="2658" spans="1:13" x14ac:dyDescent="0.25">
      <c r="A2658" s="14"/>
      <c r="B2658" s="14"/>
      <c r="C2658" s="14"/>
      <c r="D2658" s="92"/>
      <c r="E2658" s="14"/>
      <c r="F2658" s="14"/>
      <c r="G2658" s="14"/>
      <c r="H2658" s="14"/>
      <c r="I2658" s="67"/>
      <c r="J2658" s="14"/>
      <c r="K2658" s="14"/>
      <c r="L2658" s="14"/>
      <c r="M2658" s="14"/>
    </row>
    <row r="2659" spans="1:13" x14ac:dyDescent="0.25">
      <c r="A2659" s="14"/>
      <c r="B2659" s="14"/>
      <c r="C2659" s="14"/>
      <c r="D2659" s="92"/>
      <c r="E2659" s="14"/>
      <c r="F2659" s="14"/>
      <c r="G2659" s="14"/>
      <c r="H2659" s="14"/>
      <c r="I2659" s="67"/>
      <c r="J2659" s="14"/>
      <c r="K2659" s="14"/>
      <c r="L2659" s="14"/>
      <c r="M2659" s="14"/>
    </row>
    <row r="2660" spans="1:13" x14ac:dyDescent="0.25">
      <c r="A2660" s="14"/>
      <c r="B2660" s="14"/>
      <c r="C2660" s="14"/>
      <c r="D2660" s="92"/>
      <c r="E2660" s="14"/>
      <c r="F2660" s="14"/>
      <c r="G2660" s="14"/>
      <c r="H2660" s="14"/>
      <c r="I2660" s="67"/>
      <c r="J2660" s="14"/>
      <c r="K2660" s="14"/>
      <c r="L2660" s="14"/>
      <c r="M2660" s="14"/>
    </row>
    <row r="2661" spans="1:13" x14ac:dyDescent="0.25">
      <c r="A2661" s="14"/>
      <c r="B2661" s="14"/>
      <c r="C2661" s="14"/>
      <c r="D2661" s="92"/>
      <c r="E2661" s="14"/>
      <c r="F2661" s="14"/>
      <c r="G2661" s="14"/>
      <c r="H2661" s="14"/>
      <c r="I2661" s="67"/>
      <c r="J2661" s="14"/>
      <c r="K2661" s="14"/>
      <c r="L2661" s="14"/>
      <c r="M2661" s="14"/>
    </row>
    <row r="2662" spans="1:13" x14ac:dyDescent="0.25">
      <c r="A2662" s="14"/>
      <c r="B2662" s="14"/>
      <c r="C2662" s="14"/>
      <c r="D2662" s="92"/>
      <c r="E2662" s="14"/>
      <c r="F2662" s="14"/>
      <c r="G2662" s="14"/>
      <c r="H2662" s="14"/>
      <c r="I2662" s="67"/>
      <c r="J2662" s="14"/>
      <c r="K2662" s="14"/>
      <c r="L2662" s="14"/>
      <c r="M2662" s="14"/>
    </row>
    <row r="2663" spans="1:13" x14ac:dyDescent="0.25">
      <c r="A2663" s="14"/>
      <c r="B2663" s="14"/>
      <c r="C2663" s="14"/>
      <c r="D2663" s="92"/>
      <c r="E2663" s="14"/>
      <c r="F2663" s="14"/>
      <c r="G2663" s="14"/>
      <c r="H2663" s="14"/>
      <c r="I2663" s="67"/>
      <c r="J2663" s="14"/>
      <c r="K2663" s="14"/>
      <c r="L2663" s="14"/>
      <c r="M2663" s="14"/>
    </row>
    <row r="2664" spans="1:13" x14ac:dyDescent="0.25">
      <c r="A2664" s="14"/>
      <c r="B2664" s="14"/>
      <c r="C2664" s="14"/>
      <c r="D2664" s="92"/>
      <c r="E2664" s="14"/>
      <c r="F2664" s="14"/>
      <c r="G2664" s="14"/>
      <c r="H2664" s="14"/>
      <c r="I2664" s="67"/>
      <c r="J2664" s="14"/>
      <c r="K2664" s="14"/>
      <c r="L2664" s="14"/>
      <c r="M2664" s="14"/>
    </row>
    <row r="2665" spans="1:13" x14ac:dyDescent="0.25">
      <c r="A2665" s="14"/>
      <c r="B2665" s="14"/>
      <c r="C2665" s="14"/>
      <c r="D2665" s="92"/>
      <c r="E2665" s="14"/>
      <c r="F2665" s="14"/>
      <c r="G2665" s="14"/>
      <c r="H2665" s="14"/>
      <c r="I2665" s="67"/>
      <c r="J2665" s="14"/>
      <c r="K2665" s="14"/>
      <c r="L2665" s="14"/>
      <c r="M2665" s="14"/>
    </row>
    <row r="2666" spans="1:13" x14ac:dyDescent="0.25">
      <c r="A2666" s="14"/>
      <c r="B2666" s="14"/>
      <c r="C2666" s="14"/>
      <c r="D2666" s="92"/>
      <c r="E2666" s="14"/>
      <c r="F2666" s="14"/>
      <c r="G2666" s="14"/>
      <c r="H2666" s="14"/>
      <c r="I2666" s="67"/>
      <c r="J2666" s="14"/>
      <c r="K2666" s="14"/>
      <c r="L2666" s="14"/>
      <c r="M2666" s="14"/>
    </row>
    <row r="2667" spans="1:13" x14ac:dyDescent="0.25">
      <c r="A2667" s="14"/>
      <c r="B2667" s="14"/>
      <c r="C2667" s="14"/>
      <c r="D2667" s="92"/>
      <c r="E2667" s="14"/>
      <c r="F2667" s="14"/>
      <c r="G2667" s="14"/>
      <c r="H2667" s="14"/>
      <c r="I2667" s="67"/>
      <c r="J2667" s="14"/>
      <c r="K2667" s="14"/>
      <c r="L2667" s="14"/>
      <c r="M2667" s="14"/>
    </row>
    <row r="2668" spans="1:13" x14ac:dyDescent="0.25">
      <c r="A2668" s="14"/>
      <c r="B2668" s="14"/>
      <c r="C2668" s="14"/>
      <c r="D2668" s="92"/>
      <c r="E2668" s="14"/>
      <c r="F2668" s="14"/>
      <c r="G2668" s="14"/>
      <c r="H2668" s="14"/>
      <c r="I2668" s="67"/>
      <c r="J2668" s="14"/>
      <c r="K2668" s="14"/>
      <c r="L2668" s="14"/>
      <c r="M2668" s="14"/>
    </row>
    <row r="2669" spans="1:13" x14ac:dyDescent="0.25">
      <c r="A2669" s="14"/>
      <c r="B2669" s="14"/>
      <c r="C2669" s="14"/>
      <c r="D2669" s="92"/>
      <c r="E2669" s="14"/>
      <c r="F2669" s="14"/>
      <c r="G2669" s="14"/>
      <c r="H2669" s="14"/>
      <c r="I2669" s="67"/>
      <c r="J2669" s="14"/>
      <c r="K2669" s="14"/>
      <c r="L2669" s="14"/>
      <c r="M2669" s="14"/>
    </row>
    <row r="2670" spans="1:13" x14ac:dyDescent="0.25">
      <c r="A2670" s="14"/>
      <c r="B2670" s="14"/>
      <c r="C2670" s="14"/>
      <c r="D2670" s="92"/>
      <c r="E2670" s="14"/>
      <c r="F2670" s="14"/>
      <c r="G2670" s="14"/>
      <c r="H2670" s="14"/>
      <c r="I2670" s="67"/>
      <c r="J2670" s="14"/>
      <c r="K2670" s="14"/>
      <c r="L2670" s="14"/>
      <c r="M2670" s="14"/>
    </row>
    <row r="2671" spans="1:13" x14ac:dyDescent="0.25">
      <c r="A2671" s="14"/>
      <c r="B2671" s="14"/>
      <c r="C2671" s="14"/>
      <c r="D2671" s="92"/>
      <c r="E2671" s="14"/>
      <c r="F2671" s="14"/>
      <c r="G2671" s="14"/>
      <c r="H2671" s="14"/>
      <c r="I2671" s="67"/>
      <c r="J2671" s="14"/>
      <c r="K2671" s="14"/>
      <c r="L2671" s="14"/>
      <c r="M2671" s="14"/>
    </row>
    <row r="2672" spans="1:13" x14ac:dyDescent="0.25">
      <c r="A2672" s="14"/>
      <c r="B2672" s="14"/>
      <c r="C2672" s="14"/>
      <c r="D2672" s="92"/>
      <c r="E2672" s="14"/>
      <c r="F2672" s="14"/>
      <c r="G2672" s="14"/>
      <c r="H2672" s="14"/>
      <c r="I2672" s="67"/>
      <c r="J2672" s="14"/>
      <c r="K2672" s="14"/>
      <c r="L2672" s="14"/>
      <c r="M2672" s="14"/>
    </row>
    <row r="2673" spans="1:13" x14ac:dyDescent="0.25">
      <c r="A2673" s="14"/>
      <c r="B2673" s="14"/>
      <c r="C2673" s="14"/>
      <c r="D2673" s="92"/>
      <c r="E2673" s="14"/>
      <c r="F2673" s="14"/>
      <c r="G2673" s="14"/>
      <c r="H2673" s="14"/>
      <c r="I2673" s="67"/>
      <c r="J2673" s="14"/>
      <c r="K2673" s="14"/>
      <c r="L2673" s="14"/>
      <c r="M2673" s="14"/>
    </row>
    <row r="2674" spans="1:13" x14ac:dyDescent="0.25">
      <c r="A2674" s="14"/>
      <c r="B2674" s="14"/>
      <c r="C2674" s="14"/>
      <c r="D2674" s="92"/>
      <c r="E2674" s="14"/>
      <c r="F2674" s="14"/>
      <c r="G2674" s="14"/>
      <c r="H2674" s="14"/>
      <c r="I2674" s="67"/>
      <c r="J2674" s="14"/>
      <c r="K2674" s="14"/>
      <c r="L2674" s="14"/>
      <c r="M2674" s="14"/>
    </row>
    <row r="2675" spans="1:13" x14ac:dyDescent="0.25">
      <c r="A2675" s="14"/>
      <c r="B2675" s="14"/>
      <c r="C2675" s="14"/>
      <c r="D2675" s="92"/>
      <c r="E2675" s="14"/>
      <c r="F2675" s="14"/>
      <c r="G2675" s="14"/>
      <c r="H2675" s="14"/>
      <c r="I2675" s="67"/>
      <c r="J2675" s="14"/>
      <c r="K2675" s="14"/>
      <c r="L2675" s="14"/>
      <c r="M2675" s="14"/>
    </row>
    <row r="2676" spans="1:13" x14ac:dyDescent="0.25">
      <c r="A2676" s="14"/>
      <c r="B2676" s="14"/>
      <c r="C2676" s="14"/>
      <c r="D2676" s="92"/>
      <c r="E2676" s="14"/>
      <c r="F2676" s="14"/>
      <c r="G2676" s="14"/>
      <c r="H2676" s="14"/>
      <c r="I2676" s="67"/>
      <c r="J2676" s="14"/>
      <c r="K2676" s="14"/>
      <c r="L2676" s="14"/>
      <c r="M2676" s="14"/>
    </row>
    <row r="2677" spans="1:13" x14ac:dyDescent="0.25">
      <c r="A2677" s="14"/>
      <c r="B2677" s="14"/>
      <c r="C2677" s="14"/>
      <c r="D2677" s="92"/>
      <c r="E2677" s="14"/>
      <c r="F2677" s="14"/>
      <c r="G2677" s="14"/>
      <c r="H2677" s="14"/>
      <c r="I2677" s="67"/>
      <c r="J2677" s="14"/>
      <c r="K2677" s="14"/>
      <c r="L2677" s="14"/>
      <c r="M2677" s="14"/>
    </row>
    <row r="2678" spans="1:13" x14ac:dyDescent="0.25">
      <c r="A2678" s="14"/>
      <c r="B2678" s="14"/>
      <c r="C2678" s="14"/>
      <c r="D2678" s="92"/>
      <c r="E2678" s="14"/>
      <c r="F2678" s="14"/>
      <c r="G2678" s="14"/>
      <c r="H2678" s="14"/>
      <c r="I2678" s="67"/>
      <c r="J2678" s="14"/>
      <c r="K2678" s="14"/>
      <c r="L2678" s="14"/>
      <c r="M2678" s="14"/>
    </row>
    <row r="2679" spans="1:13" x14ac:dyDescent="0.25">
      <c r="A2679" s="14"/>
      <c r="B2679" s="14"/>
      <c r="C2679" s="14"/>
      <c r="D2679" s="92"/>
      <c r="E2679" s="14"/>
      <c r="F2679" s="14"/>
      <c r="G2679" s="14"/>
      <c r="H2679" s="14"/>
      <c r="I2679" s="67"/>
      <c r="J2679" s="14"/>
      <c r="K2679" s="14"/>
      <c r="L2679" s="14"/>
      <c r="M2679" s="14"/>
    </row>
    <row r="2680" spans="1:13" x14ac:dyDescent="0.25">
      <c r="A2680" s="14"/>
      <c r="B2680" s="14"/>
      <c r="C2680" s="14"/>
      <c r="D2680" s="92"/>
      <c r="E2680" s="14"/>
      <c r="F2680" s="14"/>
      <c r="G2680" s="14"/>
      <c r="H2680" s="14"/>
      <c r="I2680" s="67"/>
      <c r="J2680" s="14"/>
      <c r="K2680" s="14"/>
      <c r="L2680" s="14"/>
      <c r="M2680" s="14"/>
    </row>
    <row r="2681" spans="1:13" x14ac:dyDescent="0.25">
      <c r="A2681" s="14"/>
      <c r="B2681" s="14"/>
      <c r="C2681" s="14"/>
      <c r="D2681" s="92"/>
      <c r="E2681" s="14"/>
      <c r="F2681" s="14"/>
      <c r="G2681" s="14"/>
      <c r="H2681" s="14"/>
      <c r="I2681" s="67"/>
      <c r="J2681" s="14"/>
      <c r="K2681" s="14"/>
      <c r="L2681" s="14"/>
      <c r="M2681" s="14"/>
    </row>
    <row r="2682" spans="1:13" x14ac:dyDescent="0.25">
      <c r="A2682" s="14"/>
      <c r="B2682" s="14"/>
      <c r="C2682" s="14"/>
      <c r="D2682" s="92"/>
      <c r="E2682" s="14"/>
      <c r="F2682" s="14"/>
      <c r="G2682" s="14"/>
      <c r="H2682" s="14"/>
      <c r="I2682" s="67"/>
      <c r="J2682" s="14"/>
      <c r="K2682" s="14"/>
      <c r="L2682" s="14"/>
      <c r="M2682" s="14"/>
    </row>
    <row r="2683" spans="1:13" x14ac:dyDescent="0.25">
      <c r="A2683" s="14"/>
      <c r="B2683" s="14"/>
      <c r="C2683" s="14"/>
      <c r="D2683" s="92"/>
      <c r="E2683" s="14"/>
      <c r="F2683" s="14"/>
      <c r="G2683" s="14"/>
      <c r="H2683" s="14"/>
      <c r="I2683" s="67"/>
      <c r="J2683" s="14"/>
      <c r="K2683" s="14"/>
      <c r="L2683" s="14"/>
      <c r="M2683" s="14"/>
    </row>
    <row r="2684" spans="1:13" x14ac:dyDescent="0.25">
      <c r="A2684" s="14"/>
      <c r="B2684" s="14"/>
      <c r="C2684" s="14"/>
      <c r="D2684" s="92"/>
      <c r="E2684" s="14"/>
      <c r="F2684" s="14"/>
      <c r="G2684" s="14"/>
      <c r="H2684" s="14"/>
      <c r="I2684" s="67"/>
      <c r="J2684" s="14"/>
      <c r="K2684" s="14"/>
      <c r="L2684" s="14"/>
      <c r="M2684" s="14"/>
    </row>
    <row r="2685" spans="1:13" x14ac:dyDescent="0.25">
      <c r="A2685" s="14"/>
      <c r="B2685" s="14"/>
      <c r="C2685" s="14"/>
      <c r="D2685" s="92"/>
      <c r="E2685" s="14"/>
      <c r="F2685" s="14"/>
      <c r="G2685" s="14"/>
      <c r="H2685" s="14"/>
      <c r="I2685" s="67"/>
      <c r="J2685" s="14"/>
      <c r="K2685" s="14"/>
      <c r="L2685" s="14"/>
      <c r="M2685" s="14"/>
    </row>
    <row r="2686" spans="1:13" x14ac:dyDescent="0.25">
      <c r="A2686" s="14"/>
      <c r="B2686" s="14"/>
      <c r="C2686" s="14"/>
      <c r="D2686" s="92"/>
      <c r="E2686" s="14"/>
      <c r="F2686" s="14"/>
      <c r="G2686" s="14"/>
      <c r="H2686" s="14"/>
      <c r="I2686" s="67"/>
      <c r="J2686" s="14"/>
      <c r="K2686" s="14"/>
      <c r="L2686" s="14"/>
      <c r="M2686" s="14"/>
    </row>
    <row r="2687" spans="1:13" x14ac:dyDescent="0.25">
      <c r="A2687" s="14"/>
      <c r="B2687" s="14"/>
      <c r="C2687" s="14"/>
      <c r="D2687" s="92"/>
      <c r="E2687" s="14"/>
      <c r="F2687" s="14"/>
      <c r="G2687" s="14"/>
      <c r="H2687" s="14"/>
      <c r="I2687" s="67"/>
      <c r="J2687" s="14"/>
      <c r="K2687" s="14"/>
      <c r="L2687" s="14"/>
      <c r="M2687" s="14"/>
    </row>
    <row r="2688" spans="1:13" x14ac:dyDescent="0.25">
      <c r="A2688" s="14"/>
      <c r="B2688" s="14"/>
      <c r="C2688" s="14"/>
      <c r="D2688" s="92"/>
      <c r="E2688" s="14"/>
      <c r="F2688" s="14"/>
      <c r="G2688" s="14"/>
      <c r="H2688" s="14"/>
      <c r="I2688" s="67"/>
      <c r="J2688" s="14"/>
      <c r="K2688" s="14"/>
      <c r="L2688" s="14"/>
      <c r="M2688" s="14"/>
    </row>
    <row r="2689" spans="1:13" x14ac:dyDescent="0.25">
      <c r="A2689" s="14"/>
      <c r="B2689" s="14"/>
      <c r="C2689" s="14"/>
      <c r="D2689" s="92"/>
      <c r="E2689" s="14"/>
      <c r="F2689" s="14"/>
      <c r="G2689" s="14"/>
      <c r="H2689" s="14"/>
      <c r="I2689" s="67"/>
      <c r="J2689" s="14"/>
      <c r="K2689" s="14"/>
      <c r="L2689" s="14"/>
      <c r="M2689" s="14"/>
    </row>
    <row r="2690" spans="1:13" x14ac:dyDescent="0.25">
      <c r="A2690" s="14"/>
      <c r="B2690" s="14"/>
      <c r="C2690" s="14"/>
      <c r="D2690" s="92"/>
      <c r="E2690" s="14"/>
      <c r="F2690" s="14"/>
      <c r="G2690" s="14"/>
      <c r="H2690" s="14"/>
      <c r="I2690" s="67"/>
      <c r="J2690" s="14"/>
      <c r="K2690" s="14"/>
      <c r="L2690" s="14"/>
      <c r="M2690" s="14"/>
    </row>
    <row r="2691" spans="1:13" x14ac:dyDescent="0.25">
      <c r="A2691" s="14"/>
      <c r="B2691" s="14"/>
      <c r="C2691" s="14"/>
      <c r="D2691" s="92"/>
      <c r="E2691" s="14"/>
      <c r="F2691" s="14"/>
      <c r="G2691" s="14"/>
      <c r="H2691" s="14"/>
      <c r="I2691" s="67"/>
      <c r="J2691" s="14"/>
      <c r="K2691" s="14"/>
      <c r="L2691" s="14"/>
      <c r="M2691" s="14"/>
    </row>
    <row r="2692" spans="1:13" x14ac:dyDescent="0.25">
      <c r="A2692" s="14"/>
      <c r="B2692" s="14"/>
      <c r="C2692" s="14"/>
      <c r="D2692" s="92"/>
      <c r="E2692" s="14"/>
      <c r="F2692" s="14"/>
      <c r="G2692" s="14"/>
      <c r="H2692" s="14"/>
      <c r="I2692" s="67"/>
      <c r="J2692" s="14"/>
      <c r="K2692" s="14"/>
      <c r="L2692" s="14"/>
      <c r="M2692" s="14"/>
    </row>
    <row r="2693" spans="1:13" x14ac:dyDescent="0.25">
      <c r="A2693" s="14"/>
      <c r="B2693" s="14"/>
      <c r="C2693" s="14"/>
      <c r="D2693" s="92"/>
      <c r="E2693" s="14"/>
      <c r="F2693" s="14"/>
      <c r="G2693" s="14"/>
      <c r="H2693" s="14"/>
      <c r="I2693" s="67"/>
      <c r="J2693" s="14"/>
      <c r="K2693" s="14"/>
      <c r="L2693" s="14"/>
      <c r="M2693" s="14"/>
    </row>
    <row r="2694" spans="1:13" x14ac:dyDescent="0.25">
      <c r="A2694" s="14"/>
      <c r="B2694" s="14"/>
      <c r="C2694" s="14"/>
      <c r="D2694" s="92"/>
      <c r="E2694" s="14"/>
      <c r="F2694" s="14"/>
      <c r="G2694" s="14"/>
      <c r="H2694" s="14"/>
      <c r="I2694" s="67"/>
      <c r="J2694" s="14"/>
      <c r="K2694" s="14"/>
      <c r="L2694" s="14"/>
      <c r="M2694" s="14"/>
    </row>
    <row r="2695" spans="1:13" x14ac:dyDescent="0.25">
      <c r="A2695" s="14"/>
      <c r="B2695" s="14"/>
      <c r="C2695" s="14"/>
      <c r="D2695" s="92"/>
      <c r="E2695" s="14"/>
      <c r="F2695" s="14"/>
      <c r="G2695" s="14"/>
      <c r="H2695" s="14"/>
      <c r="I2695" s="67"/>
      <c r="J2695" s="14"/>
      <c r="K2695" s="14"/>
      <c r="L2695" s="14"/>
      <c r="M2695" s="14"/>
    </row>
    <row r="2696" spans="1:13" x14ac:dyDescent="0.25">
      <c r="A2696" s="14"/>
      <c r="B2696" s="14"/>
      <c r="C2696" s="14"/>
      <c r="D2696" s="92"/>
      <c r="E2696" s="14"/>
      <c r="F2696" s="14"/>
      <c r="G2696" s="14"/>
      <c r="H2696" s="14"/>
      <c r="I2696" s="67"/>
      <c r="J2696" s="14"/>
      <c r="K2696" s="14"/>
      <c r="L2696" s="14"/>
      <c r="M2696" s="14"/>
    </row>
    <row r="2697" spans="1:13" x14ac:dyDescent="0.25">
      <c r="A2697" s="14"/>
      <c r="B2697" s="14"/>
      <c r="C2697" s="14"/>
      <c r="D2697" s="92"/>
      <c r="E2697" s="14"/>
      <c r="F2697" s="14"/>
      <c r="G2697" s="14"/>
      <c r="H2697" s="14"/>
      <c r="I2697" s="67"/>
      <c r="J2697" s="14"/>
      <c r="K2697" s="14"/>
      <c r="L2697" s="14"/>
      <c r="M2697" s="14"/>
    </row>
    <row r="2698" spans="1:13" x14ac:dyDescent="0.25">
      <c r="A2698" s="14"/>
      <c r="B2698" s="14"/>
      <c r="C2698" s="14"/>
      <c r="D2698" s="92"/>
      <c r="E2698" s="14"/>
      <c r="F2698" s="14"/>
      <c r="G2698" s="14"/>
      <c r="H2698" s="14"/>
      <c r="I2698" s="67"/>
      <c r="J2698" s="14"/>
      <c r="K2698" s="14"/>
      <c r="L2698" s="14"/>
      <c r="M2698" s="14"/>
    </row>
    <row r="2699" spans="1:13" x14ac:dyDescent="0.25">
      <c r="A2699" s="14"/>
      <c r="B2699" s="14"/>
      <c r="C2699" s="14"/>
      <c r="D2699" s="92"/>
      <c r="E2699" s="14"/>
      <c r="F2699" s="14"/>
      <c r="G2699" s="14"/>
      <c r="H2699" s="14"/>
      <c r="I2699" s="67"/>
      <c r="J2699" s="14"/>
      <c r="K2699" s="14"/>
      <c r="L2699" s="14"/>
      <c r="M2699" s="14"/>
    </row>
    <row r="2700" spans="1:13" x14ac:dyDescent="0.25">
      <c r="A2700" s="14"/>
      <c r="B2700" s="14"/>
      <c r="C2700" s="14"/>
      <c r="D2700" s="92"/>
      <c r="E2700" s="14"/>
      <c r="F2700" s="14"/>
      <c r="G2700" s="14"/>
      <c r="H2700" s="14"/>
      <c r="I2700" s="67"/>
      <c r="J2700" s="14"/>
      <c r="K2700" s="14"/>
      <c r="L2700" s="14"/>
      <c r="M2700" s="14"/>
    </row>
    <row r="2701" spans="1:13" x14ac:dyDescent="0.25">
      <c r="A2701" s="14"/>
      <c r="B2701" s="14"/>
      <c r="C2701" s="14"/>
      <c r="D2701" s="92"/>
      <c r="E2701" s="14"/>
      <c r="F2701" s="14"/>
      <c r="G2701" s="14"/>
      <c r="H2701" s="14"/>
      <c r="I2701" s="67"/>
      <c r="J2701" s="14"/>
      <c r="K2701" s="14"/>
      <c r="L2701" s="14"/>
      <c r="M2701" s="14"/>
    </row>
    <row r="2702" spans="1:13" x14ac:dyDescent="0.25">
      <c r="A2702" s="14"/>
      <c r="B2702" s="14"/>
      <c r="C2702" s="14"/>
      <c r="D2702" s="92"/>
      <c r="E2702" s="14"/>
      <c r="F2702" s="14"/>
      <c r="G2702" s="14"/>
      <c r="H2702" s="14"/>
      <c r="I2702" s="67"/>
      <c r="J2702" s="14"/>
      <c r="K2702" s="14"/>
      <c r="L2702" s="14"/>
      <c r="M2702" s="14"/>
    </row>
    <row r="2703" spans="1:13" x14ac:dyDescent="0.25">
      <c r="A2703" s="14"/>
      <c r="B2703" s="14"/>
      <c r="C2703" s="14"/>
      <c r="D2703" s="92"/>
      <c r="E2703" s="14"/>
      <c r="F2703" s="14"/>
      <c r="G2703" s="14"/>
      <c r="H2703" s="14"/>
      <c r="I2703" s="67"/>
      <c r="J2703" s="14"/>
      <c r="K2703" s="14"/>
      <c r="L2703" s="14"/>
      <c r="M2703" s="14"/>
    </row>
    <row r="2704" spans="1:13" x14ac:dyDescent="0.25">
      <c r="A2704" s="14"/>
      <c r="B2704" s="14"/>
      <c r="C2704" s="14"/>
      <c r="D2704" s="92"/>
      <c r="E2704" s="14"/>
      <c r="F2704" s="14"/>
      <c r="G2704" s="14"/>
      <c r="H2704" s="14"/>
      <c r="I2704" s="67"/>
      <c r="J2704" s="14"/>
      <c r="K2704" s="14"/>
      <c r="L2704" s="14"/>
      <c r="M2704" s="14"/>
    </row>
    <row r="2705" spans="1:13" x14ac:dyDescent="0.25">
      <c r="A2705" s="14"/>
      <c r="B2705" s="14"/>
      <c r="C2705" s="14"/>
      <c r="D2705" s="92"/>
      <c r="E2705" s="14"/>
      <c r="F2705" s="14"/>
      <c r="G2705" s="14"/>
      <c r="H2705" s="14"/>
      <c r="I2705" s="67"/>
      <c r="J2705" s="14"/>
      <c r="K2705" s="14"/>
      <c r="L2705" s="14"/>
      <c r="M2705" s="14"/>
    </row>
    <row r="2706" spans="1:13" x14ac:dyDescent="0.25">
      <c r="A2706" s="14"/>
      <c r="B2706" s="14"/>
      <c r="C2706" s="14"/>
      <c r="D2706" s="92"/>
      <c r="E2706" s="14"/>
      <c r="F2706" s="14"/>
      <c r="G2706" s="14"/>
      <c r="H2706" s="14"/>
      <c r="I2706" s="67"/>
      <c r="J2706" s="14"/>
      <c r="K2706" s="14"/>
      <c r="L2706" s="14"/>
      <c r="M2706" s="14"/>
    </row>
    <row r="2707" spans="1:13" x14ac:dyDescent="0.25">
      <c r="A2707" s="14"/>
      <c r="B2707" s="14"/>
      <c r="C2707" s="14"/>
      <c r="D2707" s="92"/>
      <c r="E2707" s="14"/>
      <c r="F2707" s="14"/>
      <c r="G2707" s="14"/>
      <c r="H2707" s="14"/>
      <c r="I2707" s="67"/>
      <c r="J2707" s="14"/>
      <c r="K2707" s="14"/>
      <c r="L2707" s="14"/>
      <c r="M2707" s="14"/>
    </row>
    <row r="2708" spans="1:13" x14ac:dyDescent="0.25">
      <c r="A2708" s="14"/>
      <c r="B2708" s="14"/>
      <c r="C2708" s="14"/>
      <c r="D2708" s="92"/>
      <c r="E2708" s="14"/>
      <c r="F2708" s="14"/>
      <c r="G2708" s="14"/>
      <c r="H2708" s="14"/>
      <c r="I2708" s="67"/>
      <c r="J2708" s="14"/>
      <c r="K2708" s="14"/>
      <c r="L2708" s="14"/>
      <c r="M2708" s="14"/>
    </row>
    <row r="2709" spans="1:13" x14ac:dyDescent="0.25">
      <c r="A2709" s="14"/>
      <c r="B2709" s="14"/>
      <c r="C2709" s="14"/>
      <c r="D2709" s="92"/>
      <c r="E2709" s="14"/>
      <c r="F2709" s="14"/>
      <c r="G2709" s="14"/>
      <c r="H2709" s="14"/>
      <c r="I2709" s="67"/>
      <c r="J2709" s="14"/>
      <c r="K2709" s="14"/>
      <c r="L2709" s="14"/>
      <c r="M2709" s="14"/>
    </row>
    <row r="2710" spans="1:13" x14ac:dyDescent="0.25">
      <c r="A2710" s="14"/>
      <c r="B2710" s="14"/>
      <c r="C2710" s="14"/>
      <c r="D2710" s="92"/>
      <c r="E2710" s="14"/>
      <c r="F2710" s="14"/>
      <c r="G2710" s="14"/>
      <c r="H2710" s="14"/>
      <c r="I2710" s="67"/>
      <c r="J2710" s="14"/>
      <c r="K2710" s="14"/>
      <c r="L2710" s="14"/>
      <c r="M2710" s="14"/>
    </row>
    <row r="2711" spans="1:13" x14ac:dyDescent="0.25">
      <c r="A2711" s="14"/>
      <c r="B2711" s="14"/>
      <c r="C2711" s="14"/>
      <c r="D2711" s="92"/>
      <c r="E2711" s="14"/>
      <c r="F2711" s="14"/>
      <c r="G2711" s="14"/>
      <c r="H2711" s="14"/>
      <c r="I2711" s="67"/>
      <c r="J2711" s="14"/>
      <c r="K2711" s="14"/>
      <c r="L2711" s="14"/>
      <c r="M2711" s="14"/>
    </row>
    <row r="2712" spans="1:13" x14ac:dyDescent="0.25">
      <c r="A2712" s="14"/>
      <c r="B2712" s="14"/>
      <c r="C2712" s="14"/>
      <c r="D2712" s="92"/>
      <c r="E2712" s="14"/>
      <c r="F2712" s="14"/>
      <c r="G2712" s="14"/>
      <c r="H2712" s="14"/>
      <c r="I2712" s="67"/>
      <c r="J2712" s="14"/>
      <c r="K2712" s="14"/>
      <c r="L2712" s="14"/>
      <c r="M2712" s="14"/>
    </row>
    <row r="2713" spans="1:13" x14ac:dyDescent="0.25">
      <c r="A2713" s="14"/>
      <c r="B2713" s="14"/>
      <c r="C2713" s="14"/>
      <c r="D2713" s="92"/>
      <c r="E2713" s="14"/>
      <c r="F2713" s="14"/>
      <c r="G2713" s="14"/>
      <c r="H2713" s="14"/>
      <c r="I2713" s="67"/>
      <c r="J2713" s="14"/>
      <c r="K2713" s="14"/>
      <c r="L2713" s="14"/>
      <c r="M2713" s="14"/>
    </row>
    <row r="2714" spans="1:13" x14ac:dyDescent="0.25">
      <c r="A2714" s="14"/>
      <c r="B2714" s="14"/>
      <c r="C2714" s="14"/>
      <c r="D2714" s="92"/>
      <c r="E2714" s="14"/>
      <c r="F2714" s="14"/>
      <c r="G2714" s="14"/>
      <c r="H2714" s="14"/>
      <c r="I2714" s="67"/>
      <c r="J2714" s="14"/>
      <c r="K2714" s="14"/>
      <c r="L2714" s="14"/>
      <c r="M2714" s="14"/>
    </row>
    <row r="2715" spans="1:13" x14ac:dyDescent="0.25">
      <c r="A2715" s="14"/>
      <c r="B2715" s="14"/>
      <c r="C2715" s="14"/>
      <c r="D2715" s="92"/>
      <c r="E2715" s="14"/>
      <c r="F2715" s="14"/>
      <c r="G2715" s="14"/>
      <c r="H2715" s="14"/>
      <c r="I2715" s="67"/>
      <c r="J2715" s="14"/>
      <c r="K2715" s="14"/>
      <c r="L2715" s="14"/>
      <c r="M2715" s="14"/>
    </row>
    <row r="2716" spans="1:13" x14ac:dyDescent="0.25">
      <c r="A2716" s="14"/>
      <c r="B2716" s="14"/>
      <c r="C2716" s="14"/>
      <c r="D2716" s="92"/>
      <c r="E2716" s="14"/>
      <c r="F2716" s="14"/>
      <c r="G2716" s="14"/>
      <c r="H2716" s="14"/>
      <c r="I2716" s="67"/>
      <c r="J2716" s="14"/>
      <c r="K2716" s="14"/>
      <c r="L2716" s="14"/>
      <c r="M2716" s="14"/>
    </row>
    <row r="2717" spans="1:13" x14ac:dyDescent="0.25">
      <c r="A2717" s="14"/>
      <c r="B2717" s="14"/>
      <c r="C2717" s="14"/>
      <c r="D2717" s="92"/>
      <c r="E2717" s="14"/>
      <c r="F2717" s="14"/>
      <c r="G2717" s="14"/>
      <c r="H2717" s="14"/>
      <c r="I2717" s="67"/>
      <c r="J2717" s="14"/>
      <c r="K2717" s="14"/>
      <c r="L2717" s="14"/>
      <c r="M2717" s="14"/>
    </row>
    <row r="2718" spans="1:13" x14ac:dyDescent="0.25">
      <c r="A2718" s="14"/>
      <c r="B2718" s="14"/>
      <c r="C2718" s="14"/>
      <c r="D2718" s="92"/>
      <c r="E2718" s="14"/>
      <c r="F2718" s="14"/>
      <c r="G2718" s="14"/>
      <c r="H2718" s="14"/>
      <c r="I2718" s="67"/>
      <c r="J2718" s="14"/>
      <c r="K2718" s="14"/>
      <c r="L2718" s="14"/>
      <c r="M2718" s="14"/>
    </row>
    <row r="2719" spans="1:13" x14ac:dyDescent="0.25">
      <c r="A2719" s="14"/>
      <c r="B2719" s="14"/>
      <c r="C2719" s="14"/>
      <c r="D2719" s="92"/>
      <c r="E2719" s="14"/>
      <c r="F2719" s="14"/>
      <c r="G2719" s="14"/>
      <c r="H2719" s="14"/>
      <c r="I2719" s="67"/>
      <c r="J2719" s="14"/>
      <c r="K2719" s="14"/>
      <c r="L2719" s="14"/>
      <c r="M2719" s="14"/>
    </row>
    <row r="2720" spans="1:13" x14ac:dyDescent="0.25">
      <c r="A2720" s="14"/>
      <c r="B2720" s="14"/>
      <c r="C2720" s="14"/>
      <c r="D2720" s="92"/>
      <c r="E2720" s="14"/>
      <c r="F2720" s="14"/>
      <c r="G2720" s="14"/>
      <c r="H2720" s="14"/>
      <c r="I2720" s="67"/>
      <c r="J2720" s="14"/>
      <c r="K2720" s="14"/>
      <c r="L2720" s="14"/>
      <c r="M2720" s="14"/>
    </row>
    <row r="2721" spans="1:13" x14ac:dyDescent="0.25">
      <c r="A2721" s="14"/>
      <c r="B2721" s="14"/>
      <c r="C2721" s="14"/>
      <c r="D2721" s="92"/>
      <c r="E2721" s="14"/>
      <c r="F2721" s="14"/>
      <c r="G2721" s="14"/>
      <c r="H2721" s="14"/>
      <c r="I2721" s="67"/>
      <c r="J2721" s="14"/>
      <c r="K2721" s="14"/>
      <c r="L2721" s="14"/>
      <c r="M2721" s="14"/>
    </row>
    <row r="2722" spans="1:13" x14ac:dyDescent="0.25">
      <c r="A2722" s="14"/>
      <c r="B2722" s="14"/>
      <c r="C2722" s="14"/>
      <c r="D2722" s="92"/>
      <c r="E2722" s="14"/>
      <c r="F2722" s="14"/>
      <c r="G2722" s="14"/>
      <c r="H2722" s="14"/>
      <c r="I2722" s="67"/>
      <c r="J2722" s="14"/>
      <c r="K2722" s="14"/>
      <c r="L2722" s="14"/>
      <c r="M2722" s="14"/>
    </row>
    <row r="2723" spans="1:13" x14ac:dyDescent="0.25">
      <c r="A2723" s="14"/>
      <c r="B2723" s="14"/>
      <c r="C2723" s="14"/>
      <c r="D2723" s="92"/>
      <c r="E2723" s="14"/>
      <c r="F2723" s="14"/>
      <c r="G2723" s="14"/>
      <c r="H2723" s="14"/>
      <c r="I2723" s="67"/>
      <c r="J2723" s="14"/>
      <c r="K2723" s="14"/>
      <c r="L2723" s="14"/>
      <c r="M2723" s="14"/>
    </row>
    <row r="2724" spans="1:13" x14ac:dyDescent="0.25">
      <c r="A2724" s="14"/>
      <c r="B2724" s="14"/>
      <c r="C2724" s="14"/>
      <c r="D2724" s="92"/>
      <c r="E2724" s="14"/>
      <c r="F2724" s="14"/>
      <c r="G2724" s="14"/>
      <c r="H2724" s="14"/>
      <c r="I2724" s="67"/>
      <c r="J2724" s="14"/>
      <c r="K2724" s="14"/>
      <c r="L2724" s="14"/>
      <c r="M2724" s="14"/>
    </row>
    <row r="2725" spans="1:13" x14ac:dyDescent="0.25">
      <c r="A2725" s="14"/>
      <c r="B2725" s="14"/>
      <c r="C2725" s="14"/>
      <c r="D2725" s="92"/>
      <c r="E2725" s="14"/>
      <c r="F2725" s="14"/>
      <c r="G2725" s="14"/>
      <c r="H2725" s="14"/>
      <c r="I2725" s="67"/>
      <c r="J2725" s="14"/>
      <c r="K2725" s="14"/>
      <c r="L2725" s="14"/>
      <c r="M2725" s="14"/>
    </row>
    <row r="2726" spans="1:13" x14ac:dyDescent="0.25">
      <c r="A2726" s="14"/>
      <c r="B2726" s="14"/>
      <c r="C2726" s="14"/>
      <c r="D2726" s="92"/>
      <c r="E2726" s="14"/>
      <c r="F2726" s="14"/>
      <c r="G2726" s="14"/>
      <c r="H2726" s="14"/>
      <c r="I2726" s="67"/>
      <c r="J2726" s="14"/>
      <c r="K2726" s="14"/>
      <c r="L2726" s="14"/>
      <c r="M2726" s="14"/>
    </row>
    <row r="2727" spans="1:13" x14ac:dyDescent="0.25">
      <c r="A2727" s="14"/>
      <c r="B2727" s="14"/>
      <c r="C2727" s="14"/>
      <c r="D2727" s="92"/>
      <c r="E2727" s="14"/>
      <c r="F2727" s="14"/>
      <c r="G2727" s="14"/>
      <c r="H2727" s="14"/>
      <c r="I2727" s="67"/>
      <c r="J2727" s="14"/>
      <c r="K2727" s="14"/>
      <c r="L2727" s="14"/>
      <c r="M2727" s="14"/>
    </row>
    <row r="2728" spans="1:13" x14ac:dyDescent="0.25">
      <c r="A2728" s="14"/>
      <c r="B2728" s="14"/>
      <c r="C2728" s="14"/>
      <c r="D2728" s="92"/>
      <c r="E2728" s="14"/>
      <c r="F2728" s="14"/>
      <c r="G2728" s="14"/>
      <c r="H2728" s="14"/>
      <c r="I2728" s="67"/>
      <c r="J2728" s="14"/>
      <c r="K2728" s="14"/>
      <c r="L2728" s="14"/>
      <c r="M2728" s="14"/>
    </row>
    <row r="2729" spans="1:13" x14ac:dyDescent="0.25">
      <c r="A2729" s="14"/>
      <c r="B2729" s="14"/>
      <c r="C2729" s="14"/>
      <c r="D2729" s="92"/>
      <c r="E2729" s="14"/>
      <c r="F2729" s="14"/>
      <c r="G2729" s="14"/>
      <c r="H2729" s="14"/>
      <c r="I2729" s="67"/>
      <c r="J2729" s="14"/>
      <c r="K2729" s="14"/>
      <c r="L2729" s="14"/>
      <c r="M2729" s="14"/>
    </row>
    <row r="2730" spans="1:13" x14ac:dyDescent="0.25">
      <c r="A2730" s="14"/>
      <c r="B2730" s="14"/>
      <c r="C2730" s="14"/>
      <c r="D2730" s="92"/>
      <c r="E2730" s="14"/>
      <c r="F2730" s="14"/>
      <c r="G2730" s="14"/>
      <c r="H2730" s="14"/>
      <c r="I2730" s="67"/>
      <c r="J2730" s="14"/>
      <c r="K2730" s="14"/>
      <c r="L2730" s="14"/>
      <c r="M2730" s="14"/>
    </row>
    <row r="2731" spans="1:13" x14ac:dyDescent="0.25">
      <c r="A2731" s="14"/>
      <c r="B2731" s="14"/>
      <c r="C2731" s="14"/>
      <c r="D2731" s="92"/>
      <c r="E2731" s="14"/>
      <c r="F2731" s="14"/>
      <c r="G2731" s="14"/>
      <c r="H2731" s="14"/>
      <c r="I2731" s="67"/>
      <c r="J2731" s="14"/>
      <c r="K2731" s="14"/>
      <c r="L2731" s="14"/>
      <c r="M2731" s="14"/>
    </row>
    <row r="2732" spans="1:13" x14ac:dyDescent="0.25">
      <c r="A2732" s="14"/>
      <c r="B2732" s="14"/>
      <c r="C2732" s="14"/>
      <c r="D2732" s="92"/>
      <c r="E2732" s="14"/>
      <c r="F2732" s="14"/>
      <c r="G2732" s="14"/>
      <c r="H2732" s="14"/>
      <c r="I2732" s="67"/>
      <c r="J2732" s="14"/>
      <c r="K2732" s="14"/>
      <c r="L2732" s="14"/>
      <c r="M2732" s="14"/>
    </row>
    <row r="2733" spans="1:13" x14ac:dyDescent="0.25">
      <c r="A2733" s="14"/>
      <c r="B2733" s="14"/>
      <c r="C2733" s="14"/>
      <c r="D2733" s="92"/>
      <c r="E2733" s="14"/>
      <c r="F2733" s="14"/>
      <c r="G2733" s="14"/>
      <c r="H2733" s="14"/>
      <c r="I2733" s="67"/>
      <c r="J2733" s="14"/>
      <c r="K2733" s="14"/>
      <c r="L2733" s="14"/>
      <c r="M2733" s="14"/>
    </row>
    <row r="2734" spans="1:13" x14ac:dyDescent="0.25">
      <c r="A2734" s="14"/>
      <c r="B2734" s="14"/>
      <c r="C2734" s="14"/>
      <c r="D2734" s="92"/>
      <c r="E2734" s="14"/>
      <c r="F2734" s="14"/>
      <c r="G2734" s="14"/>
      <c r="H2734" s="14"/>
      <c r="I2734" s="67"/>
      <c r="J2734" s="14"/>
      <c r="K2734" s="14"/>
      <c r="L2734" s="14"/>
      <c r="M2734" s="14"/>
    </row>
    <row r="2735" spans="1:13" x14ac:dyDescent="0.25">
      <c r="A2735" s="14"/>
      <c r="B2735" s="14"/>
      <c r="C2735" s="14"/>
      <c r="D2735" s="92"/>
      <c r="E2735" s="14"/>
      <c r="F2735" s="14"/>
      <c r="G2735" s="14"/>
      <c r="H2735" s="14"/>
      <c r="I2735" s="67"/>
      <c r="J2735" s="14"/>
      <c r="K2735" s="14"/>
      <c r="L2735" s="14"/>
      <c r="M2735" s="14"/>
    </row>
    <row r="2736" spans="1:13" x14ac:dyDescent="0.25">
      <c r="A2736" s="14"/>
      <c r="B2736" s="14"/>
      <c r="C2736" s="14"/>
      <c r="D2736" s="92"/>
      <c r="E2736" s="14"/>
      <c r="F2736" s="14"/>
      <c r="G2736" s="14"/>
      <c r="H2736" s="14"/>
      <c r="I2736" s="67"/>
      <c r="J2736" s="14"/>
      <c r="K2736" s="14"/>
      <c r="L2736" s="14"/>
      <c r="M2736" s="14"/>
    </row>
    <row r="2737" spans="1:13" x14ac:dyDescent="0.25">
      <c r="A2737" s="14"/>
      <c r="B2737" s="14"/>
      <c r="C2737" s="14"/>
      <c r="D2737" s="92"/>
      <c r="E2737" s="14"/>
      <c r="F2737" s="14"/>
      <c r="G2737" s="14"/>
      <c r="H2737" s="14"/>
      <c r="I2737" s="67"/>
      <c r="J2737" s="14"/>
      <c r="K2737" s="14"/>
      <c r="L2737" s="14"/>
      <c r="M2737" s="14"/>
    </row>
    <row r="2738" spans="1:13" x14ac:dyDescent="0.25">
      <c r="A2738" s="14"/>
      <c r="B2738" s="14"/>
      <c r="C2738" s="14"/>
      <c r="D2738" s="92"/>
      <c r="E2738" s="14"/>
      <c r="F2738" s="14"/>
      <c r="G2738" s="14"/>
      <c r="H2738" s="14"/>
      <c r="I2738" s="67"/>
      <c r="J2738" s="14"/>
      <c r="K2738" s="14"/>
      <c r="L2738" s="14"/>
      <c r="M2738" s="14"/>
    </row>
    <row r="2739" spans="1:13" x14ac:dyDescent="0.25">
      <c r="A2739" s="14"/>
      <c r="B2739" s="14"/>
      <c r="C2739" s="14"/>
      <c r="D2739" s="92"/>
      <c r="E2739" s="14"/>
      <c r="F2739" s="14"/>
      <c r="G2739" s="14"/>
      <c r="H2739" s="14"/>
      <c r="I2739" s="67"/>
      <c r="J2739" s="14"/>
      <c r="K2739" s="14"/>
      <c r="L2739" s="14"/>
      <c r="M2739" s="14"/>
    </row>
    <row r="2740" spans="1:13" x14ac:dyDescent="0.25">
      <c r="A2740" s="14"/>
      <c r="B2740" s="14"/>
      <c r="C2740" s="14"/>
      <c r="D2740" s="92"/>
      <c r="E2740" s="14"/>
      <c r="F2740" s="14"/>
      <c r="G2740" s="14"/>
      <c r="H2740" s="14"/>
      <c r="I2740" s="67"/>
      <c r="J2740" s="14"/>
      <c r="K2740" s="14"/>
      <c r="L2740" s="14"/>
      <c r="M2740" s="14"/>
    </row>
    <row r="2741" spans="1:13" x14ac:dyDescent="0.25">
      <c r="A2741" s="14"/>
      <c r="B2741" s="14"/>
      <c r="C2741" s="14"/>
      <c r="D2741" s="92"/>
      <c r="E2741" s="14"/>
      <c r="F2741" s="14"/>
      <c r="G2741" s="14"/>
      <c r="H2741" s="14"/>
      <c r="I2741" s="67"/>
      <c r="J2741" s="14"/>
      <c r="K2741" s="14"/>
      <c r="L2741" s="14"/>
      <c r="M2741" s="14"/>
    </row>
    <row r="2742" spans="1:13" x14ac:dyDescent="0.25">
      <c r="A2742" s="14"/>
      <c r="B2742" s="14"/>
      <c r="C2742" s="14"/>
      <c r="D2742" s="92"/>
      <c r="E2742" s="14"/>
      <c r="F2742" s="14"/>
      <c r="G2742" s="14"/>
      <c r="H2742" s="14"/>
      <c r="I2742" s="67"/>
      <c r="J2742" s="14"/>
      <c r="K2742" s="14"/>
      <c r="L2742" s="14"/>
      <c r="M2742" s="14"/>
    </row>
    <row r="2743" spans="1:13" x14ac:dyDescent="0.25">
      <c r="A2743" s="14"/>
      <c r="B2743" s="14"/>
      <c r="C2743" s="14"/>
      <c r="D2743" s="92"/>
      <c r="E2743" s="14"/>
      <c r="F2743" s="14"/>
      <c r="G2743" s="14"/>
      <c r="H2743" s="14"/>
      <c r="I2743" s="67"/>
      <c r="J2743" s="14"/>
      <c r="K2743" s="14"/>
      <c r="L2743" s="14"/>
      <c r="M2743" s="14"/>
    </row>
    <row r="2744" spans="1:13" x14ac:dyDescent="0.25">
      <c r="A2744" s="14"/>
      <c r="B2744" s="14"/>
      <c r="C2744" s="14"/>
      <c r="D2744" s="92"/>
      <c r="E2744" s="14"/>
      <c r="F2744" s="14"/>
      <c r="G2744" s="14"/>
      <c r="H2744" s="14"/>
      <c r="I2744" s="67"/>
      <c r="J2744" s="14"/>
      <c r="K2744" s="14"/>
      <c r="L2744" s="14"/>
      <c r="M2744" s="14"/>
    </row>
    <row r="2745" spans="1:13" x14ac:dyDescent="0.25">
      <c r="A2745" s="14"/>
      <c r="B2745" s="14"/>
      <c r="C2745" s="14"/>
      <c r="D2745" s="92"/>
      <c r="E2745" s="14"/>
      <c r="F2745" s="14"/>
      <c r="G2745" s="14"/>
      <c r="H2745" s="14"/>
      <c r="I2745" s="67"/>
      <c r="J2745" s="14"/>
      <c r="K2745" s="14"/>
      <c r="L2745" s="14"/>
      <c r="M2745" s="14"/>
    </row>
    <row r="2746" spans="1:13" x14ac:dyDescent="0.25">
      <c r="A2746" s="14"/>
      <c r="B2746" s="14"/>
      <c r="C2746" s="14"/>
      <c r="D2746" s="92"/>
      <c r="E2746" s="14"/>
      <c r="F2746" s="14"/>
      <c r="G2746" s="14"/>
      <c r="H2746" s="14"/>
      <c r="I2746" s="67"/>
      <c r="J2746" s="14"/>
      <c r="K2746" s="14"/>
      <c r="L2746" s="14"/>
      <c r="M2746" s="14"/>
    </row>
    <row r="2747" spans="1:13" x14ac:dyDescent="0.25">
      <c r="A2747" s="14"/>
      <c r="B2747" s="14"/>
      <c r="C2747" s="14"/>
      <c r="D2747" s="92"/>
      <c r="E2747" s="14"/>
      <c r="F2747" s="14"/>
      <c r="G2747" s="14"/>
      <c r="H2747" s="14"/>
      <c r="I2747" s="67"/>
      <c r="J2747" s="14"/>
      <c r="K2747" s="14"/>
      <c r="L2747" s="14"/>
      <c r="M2747" s="14"/>
    </row>
    <row r="2748" spans="1:13" x14ac:dyDescent="0.25">
      <c r="A2748" s="14"/>
      <c r="B2748" s="14"/>
      <c r="C2748" s="14"/>
      <c r="D2748" s="92"/>
      <c r="E2748" s="14"/>
      <c r="F2748" s="14"/>
      <c r="G2748" s="14"/>
      <c r="H2748" s="14"/>
      <c r="I2748" s="67"/>
      <c r="J2748" s="14"/>
      <c r="K2748" s="14"/>
      <c r="L2748" s="14"/>
      <c r="M2748" s="14"/>
    </row>
    <row r="2749" spans="1:13" x14ac:dyDescent="0.25">
      <c r="A2749" s="14"/>
      <c r="B2749" s="14"/>
      <c r="C2749" s="14"/>
      <c r="D2749" s="92"/>
      <c r="E2749" s="14"/>
      <c r="F2749" s="14"/>
      <c r="G2749" s="14"/>
      <c r="H2749" s="14"/>
      <c r="I2749" s="67"/>
      <c r="J2749" s="14"/>
      <c r="K2749" s="14"/>
      <c r="L2749" s="14"/>
      <c r="M2749" s="14"/>
    </row>
    <row r="2750" spans="1:13" x14ac:dyDescent="0.25">
      <c r="A2750" s="14"/>
      <c r="B2750" s="14"/>
      <c r="C2750" s="14"/>
      <c r="D2750" s="92"/>
      <c r="E2750" s="14"/>
      <c r="F2750" s="14"/>
      <c r="G2750" s="14"/>
      <c r="H2750" s="14"/>
      <c r="I2750" s="67"/>
      <c r="J2750" s="14"/>
      <c r="K2750" s="14"/>
      <c r="L2750" s="14"/>
      <c r="M2750" s="14"/>
    </row>
    <row r="2751" spans="1:13" x14ac:dyDescent="0.25">
      <c r="A2751" s="14"/>
      <c r="B2751" s="14"/>
      <c r="C2751" s="14"/>
      <c r="D2751" s="92"/>
      <c r="E2751" s="14"/>
      <c r="F2751" s="14"/>
      <c r="G2751" s="14"/>
      <c r="H2751" s="14"/>
      <c r="I2751" s="67"/>
      <c r="J2751" s="14"/>
      <c r="K2751" s="14"/>
      <c r="L2751" s="14"/>
      <c r="M2751" s="14"/>
    </row>
    <row r="2752" spans="1:13" x14ac:dyDescent="0.25">
      <c r="A2752" s="14"/>
      <c r="B2752" s="14"/>
      <c r="C2752" s="14"/>
      <c r="D2752" s="92"/>
      <c r="E2752" s="14"/>
      <c r="F2752" s="14"/>
      <c r="G2752" s="14"/>
      <c r="H2752" s="14"/>
      <c r="I2752" s="67"/>
      <c r="J2752" s="14"/>
      <c r="K2752" s="14"/>
      <c r="L2752" s="14"/>
      <c r="M2752" s="14"/>
    </row>
    <row r="2753" spans="1:13" x14ac:dyDescent="0.25">
      <c r="A2753" s="14"/>
      <c r="B2753" s="14"/>
      <c r="C2753" s="14"/>
      <c r="D2753" s="92"/>
      <c r="E2753" s="14"/>
      <c r="F2753" s="14"/>
      <c r="G2753" s="14"/>
      <c r="H2753" s="14"/>
      <c r="I2753" s="67"/>
      <c r="J2753" s="14"/>
      <c r="K2753" s="14"/>
      <c r="L2753" s="14"/>
      <c r="M2753" s="14"/>
    </row>
    <row r="2754" spans="1:13" x14ac:dyDescent="0.25">
      <c r="A2754" s="14"/>
      <c r="B2754" s="14"/>
      <c r="C2754" s="14"/>
      <c r="D2754" s="92"/>
      <c r="E2754" s="14"/>
      <c r="F2754" s="14"/>
      <c r="G2754" s="14"/>
      <c r="H2754" s="14"/>
      <c r="I2754" s="67"/>
      <c r="J2754" s="14"/>
      <c r="K2754" s="14"/>
      <c r="L2754" s="14"/>
      <c r="M2754" s="14"/>
    </row>
    <row r="2755" spans="1:13" x14ac:dyDescent="0.25">
      <c r="A2755" s="14"/>
      <c r="B2755" s="14"/>
      <c r="C2755" s="14"/>
      <c r="D2755" s="92"/>
      <c r="E2755" s="14"/>
      <c r="F2755" s="14"/>
      <c r="G2755" s="14"/>
      <c r="H2755" s="14"/>
      <c r="I2755" s="67"/>
      <c r="J2755" s="14"/>
      <c r="K2755" s="14"/>
      <c r="L2755" s="14"/>
      <c r="M2755" s="14"/>
    </row>
    <row r="2756" spans="1:13" x14ac:dyDescent="0.25">
      <c r="A2756" s="14"/>
      <c r="B2756" s="14"/>
      <c r="C2756" s="14"/>
      <c r="D2756" s="92"/>
      <c r="E2756" s="14"/>
      <c r="F2756" s="14"/>
      <c r="G2756" s="14"/>
      <c r="H2756" s="14"/>
      <c r="I2756" s="67"/>
      <c r="J2756" s="14"/>
      <c r="K2756" s="14"/>
      <c r="L2756" s="14"/>
      <c r="M2756" s="14"/>
    </row>
    <row r="2757" spans="1:13" x14ac:dyDescent="0.25">
      <c r="A2757" s="14"/>
      <c r="B2757" s="14"/>
      <c r="C2757" s="14"/>
      <c r="D2757" s="92"/>
      <c r="E2757" s="14"/>
      <c r="F2757" s="14"/>
      <c r="G2757" s="14"/>
      <c r="H2757" s="14"/>
      <c r="I2757" s="67"/>
      <c r="J2757" s="14"/>
      <c r="K2757" s="14"/>
      <c r="L2757" s="14"/>
      <c r="M2757" s="14"/>
    </row>
    <row r="2758" spans="1:13" x14ac:dyDescent="0.25">
      <c r="A2758" s="14"/>
      <c r="B2758" s="14"/>
      <c r="C2758" s="14"/>
      <c r="D2758" s="92"/>
      <c r="E2758" s="14"/>
      <c r="F2758" s="14"/>
      <c r="G2758" s="14"/>
      <c r="H2758" s="14"/>
      <c r="I2758" s="67"/>
      <c r="J2758" s="14"/>
      <c r="K2758" s="14"/>
      <c r="L2758" s="14"/>
      <c r="M2758" s="14"/>
    </row>
    <row r="2759" spans="1:13" x14ac:dyDescent="0.25">
      <c r="A2759" s="14"/>
      <c r="B2759" s="14"/>
      <c r="C2759" s="14"/>
      <c r="D2759" s="92"/>
      <c r="E2759" s="14"/>
      <c r="F2759" s="14"/>
      <c r="G2759" s="14"/>
      <c r="H2759" s="14"/>
      <c r="I2759" s="67"/>
      <c r="J2759" s="14"/>
      <c r="K2759" s="14"/>
      <c r="L2759" s="14"/>
      <c r="M2759" s="14"/>
    </row>
    <row r="2760" spans="1:13" x14ac:dyDescent="0.25">
      <c r="A2760" s="14"/>
      <c r="B2760" s="14"/>
      <c r="C2760" s="14"/>
      <c r="D2760" s="92"/>
      <c r="E2760" s="14"/>
      <c r="F2760" s="14"/>
      <c r="G2760" s="14"/>
      <c r="H2760" s="14"/>
      <c r="I2760" s="67"/>
      <c r="J2760" s="14"/>
      <c r="K2760" s="14"/>
      <c r="L2760" s="14"/>
      <c r="M2760" s="14"/>
    </row>
    <row r="2761" spans="1:13" x14ac:dyDescent="0.25">
      <c r="A2761" s="14"/>
      <c r="B2761" s="14"/>
      <c r="C2761" s="14"/>
      <c r="D2761" s="92"/>
      <c r="E2761" s="14"/>
      <c r="F2761" s="14"/>
      <c r="G2761" s="14"/>
      <c r="H2761" s="14"/>
      <c r="I2761" s="67"/>
      <c r="J2761" s="14"/>
      <c r="K2761" s="14"/>
      <c r="L2761" s="14"/>
      <c r="M2761" s="14"/>
    </row>
    <row r="2762" spans="1:13" x14ac:dyDescent="0.25">
      <c r="A2762" s="14"/>
      <c r="B2762" s="14"/>
      <c r="C2762" s="14"/>
      <c r="D2762" s="92"/>
      <c r="E2762" s="14"/>
      <c r="F2762" s="14"/>
      <c r="G2762" s="14"/>
      <c r="H2762" s="14"/>
      <c r="I2762" s="67"/>
      <c r="J2762" s="14"/>
      <c r="K2762" s="14"/>
      <c r="L2762" s="14"/>
      <c r="M2762" s="14"/>
    </row>
    <row r="2763" spans="1:13" x14ac:dyDescent="0.25">
      <c r="A2763" s="14"/>
      <c r="B2763" s="14"/>
      <c r="C2763" s="14"/>
      <c r="D2763" s="92"/>
      <c r="E2763" s="14"/>
      <c r="F2763" s="14"/>
      <c r="G2763" s="14"/>
      <c r="H2763" s="14"/>
      <c r="I2763" s="67"/>
      <c r="J2763" s="14"/>
      <c r="K2763" s="14"/>
      <c r="L2763" s="14"/>
      <c r="M2763" s="14"/>
    </row>
    <row r="2764" spans="1:13" x14ac:dyDescent="0.25">
      <c r="A2764" s="14"/>
      <c r="B2764" s="14"/>
      <c r="C2764" s="14"/>
      <c r="D2764" s="92"/>
      <c r="E2764" s="14"/>
      <c r="F2764" s="14"/>
      <c r="G2764" s="14"/>
      <c r="H2764" s="14"/>
      <c r="I2764" s="67"/>
      <c r="J2764" s="14"/>
      <c r="K2764" s="14"/>
      <c r="L2764" s="14"/>
      <c r="M2764" s="14"/>
    </row>
    <row r="2765" spans="1:13" x14ac:dyDescent="0.25">
      <c r="A2765" s="14"/>
      <c r="B2765" s="14"/>
      <c r="C2765" s="14"/>
      <c r="D2765" s="92"/>
      <c r="E2765" s="14"/>
      <c r="F2765" s="14"/>
      <c r="G2765" s="14"/>
      <c r="H2765" s="14"/>
      <c r="I2765" s="67"/>
      <c r="J2765" s="14"/>
      <c r="K2765" s="14"/>
      <c r="L2765" s="14"/>
      <c r="M2765" s="14"/>
    </row>
    <row r="2766" spans="1:13" x14ac:dyDescent="0.25">
      <c r="A2766" s="14"/>
      <c r="B2766" s="14"/>
      <c r="C2766" s="14"/>
      <c r="D2766" s="92"/>
      <c r="E2766" s="14"/>
      <c r="F2766" s="14"/>
      <c r="G2766" s="14"/>
      <c r="H2766" s="14"/>
      <c r="I2766" s="67"/>
      <c r="J2766" s="14"/>
      <c r="K2766" s="14"/>
      <c r="L2766" s="14"/>
      <c r="M2766" s="14"/>
    </row>
    <row r="2767" spans="1:13" x14ac:dyDescent="0.25">
      <c r="A2767" s="14"/>
      <c r="B2767" s="14"/>
      <c r="C2767" s="14"/>
      <c r="D2767" s="92"/>
      <c r="E2767" s="14"/>
      <c r="F2767" s="14"/>
      <c r="G2767" s="14"/>
      <c r="H2767" s="14"/>
      <c r="I2767" s="67"/>
      <c r="J2767" s="14"/>
      <c r="K2767" s="14"/>
      <c r="L2767" s="14"/>
      <c r="M2767" s="14"/>
    </row>
    <row r="2768" spans="1:13" x14ac:dyDescent="0.25">
      <c r="A2768" s="14"/>
      <c r="B2768" s="14"/>
      <c r="C2768" s="14"/>
      <c r="D2768" s="92"/>
      <c r="E2768" s="14"/>
      <c r="F2768" s="14"/>
      <c r="G2768" s="14"/>
      <c r="H2768" s="14"/>
      <c r="I2768" s="67"/>
      <c r="J2768" s="14"/>
      <c r="K2768" s="14"/>
      <c r="L2768" s="14"/>
      <c r="M2768" s="14"/>
    </row>
    <row r="2769" spans="1:13" x14ac:dyDescent="0.25">
      <c r="A2769" s="14"/>
      <c r="B2769" s="14"/>
      <c r="C2769" s="14"/>
      <c r="D2769" s="92"/>
      <c r="E2769" s="14"/>
      <c r="F2769" s="14"/>
      <c r="G2769" s="14"/>
      <c r="H2769" s="14"/>
      <c r="I2769" s="67"/>
      <c r="J2769" s="14"/>
      <c r="K2769" s="14"/>
      <c r="L2769" s="14"/>
      <c r="M2769" s="14"/>
    </row>
    <row r="2770" spans="1:13" x14ac:dyDescent="0.25">
      <c r="A2770" s="14"/>
      <c r="B2770" s="14"/>
      <c r="C2770" s="14"/>
      <c r="D2770" s="92"/>
      <c r="E2770" s="14"/>
      <c r="F2770" s="14"/>
      <c r="G2770" s="14"/>
      <c r="H2770" s="14"/>
      <c r="I2770" s="67"/>
      <c r="J2770" s="14"/>
      <c r="K2770" s="14"/>
      <c r="L2770" s="14"/>
      <c r="M2770" s="14"/>
    </row>
    <row r="2771" spans="1:13" x14ac:dyDescent="0.25">
      <c r="A2771" s="14"/>
      <c r="B2771" s="14"/>
      <c r="C2771" s="14"/>
      <c r="D2771" s="92"/>
      <c r="E2771" s="14"/>
      <c r="F2771" s="14"/>
      <c r="G2771" s="14"/>
      <c r="H2771" s="14"/>
      <c r="I2771" s="67"/>
      <c r="J2771" s="14"/>
      <c r="K2771" s="14"/>
      <c r="L2771" s="14"/>
      <c r="M2771" s="14"/>
    </row>
    <row r="2772" spans="1:13" x14ac:dyDescent="0.25">
      <c r="A2772" s="14"/>
      <c r="B2772" s="14"/>
      <c r="C2772" s="14"/>
      <c r="D2772" s="92"/>
      <c r="E2772" s="14"/>
      <c r="F2772" s="14"/>
      <c r="G2772" s="14"/>
      <c r="H2772" s="14"/>
      <c r="I2772" s="67"/>
      <c r="J2772" s="14"/>
      <c r="K2772" s="14"/>
      <c r="L2772" s="14"/>
      <c r="M2772" s="14"/>
    </row>
    <row r="2773" spans="1:13" x14ac:dyDescent="0.25">
      <c r="A2773" s="14"/>
      <c r="B2773" s="14"/>
      <c r="C2773" s="14"/>
      <c r="D2773" s="92"/>
      <c r="E2773" s="14"/>
      <c r="F2773" s="14"/>
      <c r="G2773" s="14"/>
      <c r="H2773" s="14"/>
      <c r="I2773" s="67"/>
      <c r="J2773" s="14"/>
      <c r="K2773" s="14"/>
      <c r="L2773" s="14"/>
      <c r="M2773" s="14"/>
    </row>
    <row r="2774" spans="1:13" x14ac:dyDescent="0.25">
      <c r="A2774" s="14"/>
      <c r="B2774" s="14"/>
      <c r="C2774" s="14"/>
      <c r="D2774" s="92"/>
      <c r="E2774" s="14"/>
      <c r="F2774" s="14"/>
      <c r="G2774" s="14"/>
      <c r="H2774" s="14"/>
      <c r="I2774" s="67"/>
      <c r="J2774" s="14"/>
      <c r="K2774" s="14"/>
      <c r="L2774" s="14"/>
      <c r="M2774" s="14"/>
    </row>
    <row r="2775" spans="1:13" x14ac:dyDescent="0.25">
      <c r="A2775" s="14"/>
      <c r="B2775" s="14"/>
      <c r="C2775" s="14"/>
      <c r="D2775" s="92"/>
      <c r="E2775" s="14"/>
      <c r="F2775" s="14"/>
      <c r="G2775" s="14"/>
      <c r="H2775" s="14"/>
      <c r="I2775" s="67"/>
      <c r="J2775" s="14"/>
      <c r="K2775" s="14"/>
      <c r="L2775" s="14"/>
      <c r="M2775" s="14"/>
    </row>
    <row r="2776" spans="1:13" x14ac:dyDescent="0.25">
      <c r="A2776" s="14"/>
      <c r="B2776" s="14"/>
      <c r="C2776" s="14"/>
      <c r="D2776" s="92"/>
      <c r="E2776" s="14"/>
      <c r="F2776" s="14"/>
      <c r="G2776" s="14"/>
      <c r="H2776" s="14"/>
      <c r="I2776" s="67"/>
      <c r="J2776" s="14"/>
      <c r="K2776" s="14"/>
      <c r="L2776" s="14"/>
      <c r="M2776" s="14"/>
    </row>
    <row r="2777" spans="1:13" x14ac:dyDescent="0.25">
      <c r="A2777" s="14"/>
      <c r="B2777" s="14"/>
      <c r="C2777" s="14"/>
      <c r="D2777" s="92"/>
      <c r="E2777" s="14"/>
      <c r="F2777" s="14"/>
      <c r="G2777" s="14"/>
      <c r="H2777" s="14"/>
      <c r="I2777" s="67"/>
      <c r="J2777" s="14"/>
      <c r="K2777" s="14"/>
      <c r="L2777" s="14"/>
      <c r="M2777" s="14"/>
    </row>
    <row r="2778" spans="1:13" x14ac:dyDescent="0.25">
      <c r="A2778" s="14"/>
      <c r="B2778" s="14"/>
      <c r="C2778" s="14"/>
      <c r="D2778" s="92"/>
      <c r="E2778" s="14"/>
      <c r="F2778" s="14"/>
      <c r="G2778" s="14"/>
      <c r="H2778" s="14"/>
      <c r="I2778" s="67"/>
      <c r="J2778" s="14"/>
      <c r="K2778" s="14"/>
      <c r="L2778" s="14"/>
      <c r="M2778" s="14"/>
    </row>
    <row r="2779" spans="1:13" x14ac:dyDescent="0.25">
      <c r="A2779" s="14"/>
      <c r="B2779" s="14"/>
      <c r="C2779" s="14"/>
      <c r="D2779" s="92"/>
      <c r="E2779" s="14"/>
      <c r="F2779" s="14"/>
      <c r="G2779" s="14"/>
      <c r="H2779" s="14"/>
      <c r="I2779" s="67"/>
      <c r="J2779" s="14"/>
      <c r="K2779" s="14"/>
      <c r="L2779" s="14"/>
      <c r="M2779" s="14"/>
    </row>
    <row r="2780" spans="1:13" x14ac:dyDescent="0.25">
      <c r="A2780" s="14"/>
      <c r="B2780" s="14"/>
      <c r="C2780" s="14"/>
      <c r="D2780" s="92"/>
      <c r="E2780" s="14"/>
      <c r="F2780" s="14"/>
      <c r="G2780" s="14"/>
      <c r="H2780" s="14"/>
      <c r="I2780" s="67"/>
      <c r="J2780" s="14"/>
      <c r="K2780" s="14"/>
      <c r="L2780" s="14"/>
      <c r="M2780" s="14"/>
    </row>
    <row r="2781" spans="1:13" x14ac:dyDescent="0.25">
      <c r="A2781" s="14"/>
      <c r="B2781" s="14"/>
      <c r="C2781" s="14"/>
      <c r="D2781" s="92"/>
      <c r="E2781" s="14"/>
      <c r="F2781" s="14"/>
      <c r="G2781" s="14"/>
      <c r="H2781" s="14"/>
      <c r="I2781" s="67"/>
      <c r="J2781" s="14"/>
      <c r="K2781" s="14"/>
      <c r="L2781" s="14"/>
      <c r="M2781" s="14"/>
    </row>
    <row r="2782" spans="1:13" x14ac:dyDescent="0.25">
      <c r="A2782" s="14"/>
      <c r="B2782" s="14"/>
      <c r="C2782" s="14"/>
      <c r="D2782" s="92"/>
      <c r="E2782" s="14"/>
      <c r="F2782" s="14"/>
      <c r="G2782" s="14"/>
      <c r="H2782" s="14"/>
      <c r="I2782" s="67"/>
      <c r="J2782" s="14"/>
      <c r="K2782" s="14"/>
      <c r="L2782" s="14"/>
      <c r="M2782" s="14"/>
    </row>
    <row r="2783" spans="1:13" x14ac:dyDescent="0.25">
      <c r="A2783" s="14"/>
      <c r="B2783" s="14"/>
      <c r="C2783" s="14"/>
      <c r="D2783" s="92"/>
      <c r="E2783" s="14"/>
      <c r="F2783" s="14"/>
      <c r="G2783" s="14"/>
      <c r="H2783" s="14"/>
      <c r="I2783" s="67"/>
      <c r="J2783" s="14"/>
      <c r="K2783" s="14"/>
      <c r="L2783" s="14"/>
      <c r="M2783" s="14"/>
    </row>
    <row r="2784" spans="1:13" x14ac:dyDescent="0.25">
      <c r="A2784" s="14"/>
      <c r="B2784" s="14"/>
      <c r="C2784" s="14"/>
      <c r="D2784" s="92"/>
      <c r="E2784" s="14"/>
      <c r="F2784" s="14"/>
      <c r="G2784" s="14"/>
      <c r="H2784" s="14"/>
      <c r="I2784" s="67"/>
      <c r="J2784" s="14"/>
      <c r="K2784" s="14"/>
      <c r="L2784" s="14"/>
      <c r="M2784" s="14"/>
    </row>
    <row r="2785" spans="1:13" x14ac:dyDescent="0.25">
      <c r="A2785" s="14"/>
      <c r="B2785" s="14"/>
      <c r="C2785" s="14"/>
      <c r="D2785" s="92"/>
      <c r="E2785" s="14"/>
      <c r="F2785" s="14"/>
      <c r="G2785" s="14"/>
      <c r="H2785" s="14"/>
      <c r="I2785" s="67"/>
      <c r="J2785" s="14"/>
      <c r="K2785" s="14"/>
      <c r="L2785" s="14"/>
      <c r="M2785" s="14"/>
    </row>
    <row r="2786" spans="1:13" x14ac:dyDescent="0.25">
      <c r="A2786" s="14"/>
      <c r="B2786" s="14"/>
      <c r="C2786" s="14"/>
      <c r="D2786" s="92"/>
      <c r="E2786" s="14"/>
      <c r="F2786" s="14"/>
      <c r="G2786" s="14"/>
      <c r="H2786" s="14"/>
      <c r="I2786" s="67"/>
      <c r="J2786" s="14"/>
      <c r="K2786" s="14"/>
      <c r="L2786" s="14"/>
      <c r="M2786" s="14"/>
    </row>
    <row r="2787" spans="1:13" x14ac:dyDescent="0.25">
      <c r="A2787" s="14"/>
      <c r="B2787" s="14"/>
      <c r="C2787" s="14"/>
      <c r="D2787" s="92"/>
      <c r="E2787" s="14"/>
      <c r="F2787" s="14"/>
      <c r="G2787" s="14"/>
      <c r="H2787" s="14"/>
      <c r="I2787" s="67"/>
      <c r="J2787" s="14"/>
      <c r="K2787" s="14"/>
      <c r="L2787" s="14"/>
      <c r="M2787" s="14"/>
    </row>
    <row r="2788" spans="1:13" x14ac:dyDescent="0.25">
      <c r="A2788" s="14"/>
      <c r="B2788" s="14"/>
      <c r="C2788" s="14"/>
      <c r="D2788" s="92"/>
      <c r="E2788" s="14"/>
      <c r="F2788" s="14"/>
      <c r="G2788" s="14"/>
      <c r="H2788" s="14"/>
      <c r="I2788" s="67"/>
      <c r="J2788" s="14"/>
      <c r="K2788" s="14"/>
      <c r="L2788" s="14"/>
      <c r="M2788" s="14"/>
    </row>
    <row r="2789" spans="1:13" x14ac:dyDescent="0.25">
      <c r="A2789" s="14"/>
      <c r="B2789" s="14"/>
      <c r="C2789" s="14"/>
      <c r="D2789" s="92"/>
      <c r="E2789" s="14"/>
      <c r="F2789" s="14"/>
      <c r="G2789" s="14"/>
      <c r="H2789" s="14"/>
      <c r="I2789" s="67"/>
      <c r="J2789" s="14"/>
      <c r="K2789" s="14"/>
      <c r="L2789" s="14"/>
      <c r="M2789" s="14"/>
    </row>
    <row r="2790" spans="1:13" x14ac:dyDescent="0.25">
      <c r="A2790" s="14"/>
      <c r="B2790" s="14"/>
      <c r="C2790" s="14"/>
      <c r="D2790" s="92"/>
      <c r="E2790" s="14"/>
      <c r="F2790" s="14"/>
      <c r="G2790" s="14"/>
      <c r="H2790" s="14"/>
      <c r="I2790" s="67"/>
      <c r="J2790" s="14"/>
      <c r="K2790" s="14"/>
      <c r="L2790" s="14"/>
      <c r="M2790" s="14"/>
    </row>
    <row r="2791" spans="1:13" x14ac:dyDescent="0.25">
      <c r="A2791" s="14"/>
      <c r="B2791" s="14"/>
      <c r="C2791" s="14"/>
      <c r="D2791" s="92"/>
      <c r="E2791" s="14"/>
      <c r="F2791" s="14"/>
      <c r="G2791" s="14"/>
      <c r="H2791" s="14"/>
      <c r="I2791" s="67"/>
      <c r="J2791" s="14"/>
      <c r="K2791" s="14"/>
      <c r="L2791" s="14"/>
      <c r="M2791" s="14"/>
    </row>
    <row r="2792" spans="1:13" x14ac:dyDescent="0.25">
      <c r="A2792" s="14"/>
      <c r="B2792" s="14"/>
      <c r="C2792" s="14"/>
      <c r="D2792" s="92"/>
      <c r="E2792" s="14"/>
      <c r="F2792" s="14"/>
      <c r="G2792" s="14"/>
      <c r="H2792" s="14"/>
      <c r="I2792" s="67"/>
      <c r="J2792" s="14"/>
      <c r="K2792" s="14"/>
      <c r="L2792" s="14"/>
      <c r="M2792" s="14"/>
    </row>
    <row r="2793" spans="1:13" x14ac:dyDescent="0.25">
      <c r="A2793" s="14"/>
      <c r="B2793" s="14"/>
      <c r="C2793" s="14"/>
      <c r="D2793" s="92"/>
      <c r="E2793" s="14"/>
      <c r="F2793" s="14"/>
      <c r="G2793" s="14"/>
      <c r="H2793" s="14"/>
      <c r="I2793" s="67"/>
      <c r="J2793" s="14"/>
      <c r="K2793" s="14"/>
      <c r="L2793" s="14"/>
      <c r="M2793" s="14"/>
    </row>
    <row r="2794" spans="1:13" x14ac:dyDescent="0.25">
      <c r="A2794" s="14"/>
      <c r="B2794" s="14"/>
      <c r="C2794" s="14"/>
      <c r="D2794" s="92"/>
      <c r="E2794" s="14"/>
      <c r="F2794" s="14"/>
      <c r="G2794" s="14"/>
      <c r="H2794" s="14"/>
      <c r="I2794" s="67"/>
      <c r="J2794" s="14"/>
      <c r="K2794" s="14"/>
      <c r="L2794" s="14"/>
      <c r="M2794" s="14"/>
    </row>
    <row r="2795" spans="1:13" x14ac:dyDescent="0.25">
      <c r="A2795" s="14"/>
      <c r="B2795" s="14"/>
      <c r="C2795" s="14"/>
      <c r="D2795" s="92"/>
      <c r="E2795" s="14"/>
      <c r="F2795" s="14"/>
      <c r="G2795" s="14"/>
      <c r="H2795" s="14"/>
      <c r="I2795" s="67"/>
      <c r="J2795" s="14"/>
      <c r="K2795" s="14"/>
      <c r="L2795" s="14"/>
      <c r="M2795" s="14"/>
    </row>
    <row r="2796" spans="1:13" x14ac:dyDescent="0.25">
      <c r="A2796" s="14"/>
      <c r="B2796" s="14"/>
      <c r="C2796" s="14"/>
      <c r="D2796" s="92"/>
      <c r="E2796" s="14"/>
      <c r="F2796" s="14"/>
      <c r="G2796" s="14"/>
      <c r="H2796" s="14"/>
      <c r="I2796" s="67"/>
      <c r="J2796" s="14"/>
      <c r="K2796" s="14"/>
      <c r="L2796" s="14"/>
      <c r="M2796" s="14"/>
    </row>
    <row r="2797" spans="1:13" x14ac:dyDescent="0.25">
      <c r="A2797" s="14"/>
      <c r="B2797" s="14"/>
      <c r="C2797" s="14"/>
      <c r="D2797" s="92"/>
      <c r="E2797" s="14"/>
      <c r="F2797" s="14"/>
      <c r="G2797" s="14"/>
      <c r="H2797" s="14"/>
      <c r="I2797" s="67"/>
      <c r="J2797" s="14"/>
      <c r="K2797" s="14"/>
      <c r="L2797" s="14"/>
      <c r="M2797" s="14"/>
    </row>
    <row r="2798" spans="1:13" x14ac:dyDescent="0.25">
      <c r="A2798" s="14"/>
      <c r="B2798" s="14"/>
      <c r="C2798" s="14"/>
      <c r="D2798" s="92"/>
      <c r="E2798" s="14"/>
      <c r="F2798" s="14"/>
      <c r="G2798" s="14"/>
      <c r="H2798" s="14"/>
      <c r="I2798" s="67"/>
      <c r="J2798" s="14"/>
      <c r="K2798" s="14"/>
      <c r="L2798" s="14"/>
      <c r="M2798" s="14"/>
    </row>
    <row r="2799" spans="1:13" x14ac:dyDescent="0.25">
      <c r="A2799" s="14"/>
      <c r="B2799" s="14"/>
      <c r="C2799" s="14"/>
      <c r="D2799" s="92"/>
      <c r="E2799" s="14"/>
      <c r="F2799" s="14"/>
      <c r="G2799" s="14"/>
      <c r="H2799" s="14"/>
      <c r="I2799" s="67"/>
      <c r="J2799" s="14"/>
      <c r="K2799" s="14"/>
      <c r="L2799" s="14"/>
      <c r="M2799" s="14"/>
    </row>
    <row r="2800" spans="1:13" x14ac:dyDescent="0.25">
      <c r="A2800" s="14"/>
      <c r="B2800" s="14"/>
      <c r="C2800" s="14"/>
      <c r="D2800" s="92"/>
      <c r="E2800" s="14"/>
      <c r="F2800" s="14"/>
      <c r="G2800" s="14"/>
      <c r="H2800" s="14"/>
      <c r="I2800" s="67"/>
      <c r="J2800" s="14"/>
      <c r="K2800" s="14"/>
      <c r="L2800" s="14"/>
      <c r="M2800" s="14"/>
    </row>
    <row r="2801" spans="1:13" x14ac:dyDescent="0.25">
      <c r="A2801" s="14"/>
      <c r="B2801" s="14"/>
      <c r="C2801" s="14"/>
      <c r="D2801" s="92"/>
      <c r="E2801" s="14"/>
      <c r="F2801" s="14"/>
      <c r="G2801" s="14"/>
      <c r="H2801" s="14"/>
      <c r="I2801" s="67"/>
      <c r="J2801" s="14"/>
      <c r="K2801" s="14"/>
      <c r="L2801" s="14"/>
      <c r="M2801" s="14"/>
    </row>
    <row r="2802" spans="1:13" x14ac:dyDescent="0.25">
      <c r="A2802" s="14"/>
      <c r="B2802" s="14"/>
      <c r="C2802" s="14"/>
      <c r="D2802" s="92"/>
      <c r="E2802" s="14"/>
      <c r="F2802" s="14"/>
      <c r="G2802" s="14"/>
      <c r="H2802" s="14"/>
      <c r="I2802" s="67"/>
      <c r="J2802" s="14"/>
      <c r="K2802" s="14"/>
      <c r="L2802" s="14"/>
      <c r="M2802" s="14"/>
    </row>
    <row r="2803" spans="1:13" x14ac:dyDescent="0.25">
      <c r="A2803" s="14"/>
      <c r="B2803" s="14"/>
      <c r="C2803" s="14"/>
      <c r="D2803" s="92"/>
      <c r="E2803" s="14"/>
      <c r="F2803" s="14"/>
      <c r="G2803" s="14"/>
      <c r="H2803" s="14"/>
      <c r="I2803" s="67"/>
      <c r="J2803" s="14"/>
      <c r="K2803" s="14"/>
      <c r="L2803" s="14"/>
      <c r="M2803" s="14"/>
    </row>
    <row r="2804" spans="1:13" x14ac:dyDescent="0.25">
      <c r="A2804" s="14"/>
      <c r="B2804" s="14"/>
      <c r="C2804" s="14"/>
      <c r="D2804" s="92"/>
      <c r="E2804" s="14"/>
      <c r="F2804" s="14"/>
      <c r="G2804" s="14"/>
      <c r="H2804" s="14"/>
      <c r="I2804" s="67"/>
      <c r="J2804" s="14"/>
      <c r="K2804" s="14"/>
      <c r="L2804" s="14"/>
      <c r="M2804" s="14"/>
    </row>
    <row r="2805" spans="1:13" x14ac:dyDescent="0.25">
      <c r="A2805" s="14"/>
      <c r="B2805" s="14"/>
      <c r="C2805" s="14"/>
      <c r="D2805" s="92"/>
      <c r="E2805" s="14"/>
      <c r="F2805" s="14"/>
      <c r="G2805" s="14"/>
      <c r="H2805" s="14"/>
      <c r="I2805" s="67"/>
      <c r="J2805" s="14"/>
      <c r="K2805" s="14"/>
      <c r="L2805" s="14"/>
      <c r="M2805" s="14"/>
    </row>
    <row r="2806" spans="1:13" x14ac:dyDescent="0.25">
      <c r="A2806" s="14"/>
      <c r="B2806" s="14"/>
      <c r="C2806" s="14"/>
      <c r="D2806" s="92"/>
      <c r="E2806" s="14"/>
      <c r="F2806" s="14"/>
      <c r="G2806" s="14"/>
      <c r="H2806" s="14"/>
      <c r="I2806" s="67"/>
      <c r="J2806" s="14"/>
      <c r="K2806" s="14"/>
      <c r="L2806" s="14"/>
      <c r="M2806" s="14"/>
    </row>
    <row r="2807" spans="1:13" x14ac:dyDescent="0.25">
      <c r="A2807" s="14"/>
      <c r="B2807" s="14"/>
      <c r="C2807" s="14"/>
      <c r="D2807" s="92"/>
      <c r="E2807" s="14"/>
      <c r="F2807" s="14"/>
      <c r="G2807" s="14"/>
      <c r="H2807" s="14"/>
      <c r="I2807" s="67"/>
      <c r="J2807" s="14"/>
      <c r="K2807" s="14"/>
      <c r="L2807" s="14"/>
      <c r="M2807" s="14"/>
    </row>
    <row r="2808" spans="1:13" x14ac:dyDescent="0.25">
      <c r="A2808" s="14"/>
      <c r="B2808" s="14"/>
      <c r="C2808" s="14"/>
      <c r="D2808" s="92"/>
      <c r="E2808" s="14"/>
      <c r="F2808" s="14"/>
      <c r="G2808" s="14"/>
      <c r="H2808" s="14"/>
      <c r="I2808" s="67"/>
      <c r="J2808" s="14"/>
      <c r="K2808" s="14"/>
      <c r="L2808" s="14"/>
      <c r="M2808" s="14"/>
    </row>
    <row r="2809" spans="1:13" x14ac:dyDescent="0.25">
      <c r="A2809" s="14"/>
      <c r="B2809" s="14"/>
      <c r="C2809" s="14"/>
      <c r="D2809" s="92"/>
      <c r="E2809" s="14"/>
      <c r="F2809" s="14"/>
      <c r="G2809" s="14"/>
      <c r="H2809" s="14"/>
      <c r="I2809" s="67"/>
      <c r="J2809" s="14"/>
      <c r="K2809" s="14"/>
      <c r="L2809" s="14"/>
      <c r="M2809" s="14"/>
    </row>
    <row r="2810" spans="1:13" x14ac:dyDescent="0.25">
      <c r="A2810" s="14"/>
      <c r="B2810" s="14"/>
      <c r="C2810" s="14"/>
      <c r="D2810" s="92"/>
      <c r="E2810" s="14"/>
      <c r="F2810" s="14"/>
      <c r="G2810" s="14"/>
      <c r="H2810" s="14"/>
      <c r="I2810" s="67"/>
      <c r="J2810" s="14"/>
      <c r="K2810" s="14"/>
      <c r="L2810" s="14"/>
      <c r="M2810" s="14"/>
    </row>
    <row r="2811" spans="1:13" x14ac:dyDescent="0.25">
      <c r="A2811" s="14"/>
      <c r="B2811" s="14"/>
      <c r="C2811" s="14"/>
      <c r="D2811" s="92"/>
      <c r="E2811" s="14"/>
      <c r="F2811" s="14"/>
      <c r="G2811" s="14"/>
      <c r="H2811" s="14"/>
      <c r="I2811" s="67"/>
      <c r="J2811" s="14"/>
      <c r="K2811" s="14"/>
      <c r="L2811" s="14"/>
      <c r="M2811" s="14"/>
    </row>
    <row r="2812" spans="1:13" x14ac:dyDescent="0.25">
      <c r="A2812" s="14"/>
      <c r="B2812" s="14"/>
      <c r="C2812" s="14"/>
      <c r="D2812" s="92"/>
      <c r="E2812" s="14"/>
      <c r="F2812" s="14"/>
      <c r="G2812" s="14"/>
      <c r="H2812" s="14"/>
      <c r="I2812" s="67"/>
      <c r="J2812" s="14"/>
      <c r="K2812" s="14"/>
      <c r="L2812" s="14"/>
      <c r="M2812" s="14"/>
    </row>
    <row r="2813" spans="1:13" x14ac:dyDescent="0.25">
      <c r="A2813" s="14"/>
      <c r="B2813" s="14"/>
      <c r="C2813" s="14"/>
      <c r="D2813" s="92"/>
      <c r="E2813" s="14"/>
      <c r="F2813" s="14"/>
      <c r="G2813" s="14"/>
      <c r="H2813" s="14"/>
      <c r="I2813" s="67"/>
      <c r="J2813" s="14"/>
      <c r="K2813" s="14"/>
      <c r="L2813" s="14"/>
      <c r="M2813" s="14"/>
    </row>
    <row r="2814" spans="1:13" x14ac:dyDescent="0.25">
      <c r="A2814" s="14"/>
      <c r="B2814" s="14"/>
      <c r="C2814" s="14"/>
      <c r="D2814" s="92"/>
      <c r="E2814" s="14"/>
      <c r="F2814" s="14"/>
      <c r="G2814" s="14"/>
      <c r="H2814" s="14"/>
      <c r="I2814" s="67"/>
      <c r="J2814" s="14"/>
      <c r="K2814" s="14"/>
      <c r="L2814" s="14"/>
      <c r="M2814" s="14"/>
    </row>
    <row r="2815" spans="1:13" x14ac:dyDescent="0.25">
      <c r="A2815" s="14"/>
      <c r="B2815" s="14"/>
      <c r="C2815" s="14"/>
      <c r="D2815" s="92"/>
      <c r="E2815" s="14"/>
      <c r="F2815" s="14"/>
      <c r="G2815" s="14"/>
      <c r="H2815" s="14"/>
      <c r="I2815" s="67"/>
      <c r="J2815" s="14"/>
      <c r="K2815" s="14"/>
      <c r="L2815" s="14"/>
      <c r="M2815" s="14"/>
    </row>
    <row r="2816" spans="1:13" x14ac:dyDescent="0.25">
      <c r="A2816" s="14"/>
      <c r="B2816" s="14"/>
      <c r="C2816" s="14"/>
      <c r="D2816" s="92"/>
      <c r="E2816" s="14"/>
      <c r="F2816" s="14"/>
      <c r="G2816" s="14"/>
      <c r="H2816" s="14"/>
      <c r="I2816" s="67"/>
      <c r="J2816" s="14"/>
      <c r="K2816" s="14"/>
      <c r="L2816" s="14"/>
      <c r="M2816" s="14"/>
    </row>
    <row r="2817" spans="1:13" x14ac:dyDescent="0.25">
      <c r="A2817" s="14"/>
      <c r="B2817" s="14"/>
      <c r="C2817" s="14"/>
      <c r="D2817" s="92"/>
      <c r="E2817" s="14"/>
      <c r="F2817" s="14"/>
      <c r="G2817" s="14"/>
      <c r="H2817" s="14"/>
      <c r="I2817" s="67"/>
      <c r="J2817" s="14"/>
      <c r="K2817" s="14"/>
      <c r="L2817" s="14"/>
      <c r="M2817" s="14"/>
    </row>
    <row r="2818" spans="1:13" x14ac:dyDescent="0.25">
      <c r="A2818" s="14"/>
      <c r="B2818" s="14"/>
      <c r="C2818" s="14"/>
      <c r="D2818" s="92"/>
      <c r="E2818" s="14"/>
      <c r="F2818" s="14"/>
      <c r="G2818" s="14"/>
      <c r="H2818" s="14"/>
      <c r="I2818" s="67"/>
      <c r="J2818" s="14"/>
      <c r="K2818" s="14"/>
      <c r="L2818" s="14"/>
      <c r="M2818" s="14"/>
    </row>
    <row r="2819" spans="1:13" x14ac:dyDescent="0.25">
      <c r="A2819" s="14"/>
      <c r="B2819" s="14"/>
      <c r="C2819" s="14"/>
      <c r="D2819" s="92"/>
      <c r="E2819" s="14"/>
      <c r="F2819" s="14"/>
      <c r="G2819" s="14"/>
      <c r="H2819" s="14"/>
      <c r="I2819" s="67"/>
      <c r="J2819" s="14"/>
      <c r="K2819" s="14"/>
      <c r="L2819" s="14"/>
      <c r="M2819" s="14"/>
    </row>
    <row r="2820" spans="1:13" x14ac:dyDescent="0.25">
      <c r="A2820" s="14"/>
      <c r="B2820" s="14"/>
      <c r="C2820" s="14"/>
      <c r="D2820" s="92"/>
      <c r="E2820" s="14"/>
      <c r="F2820" s="14"/>
      <c r="G2820" s="14"/>
      <c r="H2820" s="14"/>
      <c r="I2820" s="67"/>
      <c r="J2820" s="14"/>
      <c r="K2820" s="14"/>
      <c r="L2820" s="14"/>
      <c r="M2820" s="14"/>
    </row>
    <row r="2821" spans="1:13" x14ac:dyDescent="0.25">
      <c r="A2821" s="14"/>
      <c r="B2821" s="14"/>
      <c r="C2821" s="14"/>
      <c r="D2821" s="92"/>
      <c r="E2821" s="14"/>
      <c r="F2821" s="14"/>
      <c r="G2821" s="14"/>
      <c r="H2821" s="14"/>
      <c r="I2821" s="67"/>
      <c r="J2821" s="14"/>
      <c r="K2821" s="14"/>
      <c r="L2821" s="14"/>
      <c r="M2821" s="14"/>
    </row>
    <row r="2822" spans="1:13" x14ac:dyDescent="0.25">
      <c r="A2822" s="14"/>
      <c r="B2822" s="14"/>
      <c r="C2822" s="14"/>
      <c r="D2822" s="92"/>
      <c r="E2822" s="14"/>
      <c r="F2822" s="14"/>
      <c r="G2822" s="14"/>
      <c r="H2822" s="14"/>
      <c r="I2822" s="67"/>
      <c r="J2822" s="14"/>
      <c r="K2822" s="14"/>
      <c r="L2822" s="14"/>
      <c r="M2822" s="14"/>
    </row>
    <row r="2823" spans="1:13" x14ac:dyDescent="0.25">
      <c r="A2823" s="14"/>
      <c r="B2823" s="14"/>
      <c r="C2823" s="14"/>
      <c r="D2823" s="92"/>
      <c r="E2823" s="14"/>
      <c r="F2823" s="14"/>
      <c r="G2823" s="14"/>
      <c r="H2823" s="14"/>
      <c r="I2823" s="67"/>
      <c r="J2823" s="14"/>
      <c r="K2823" s="14"/>
      <c r="L2823" s="14"/>
      <c r="M2823" s="14"/>
    </row>
    <row r="2824" spans="1:13" x14ac:dyDescent="0.25">
      <c r="A2824" s="14"/>
      <c r="B2824" s="14"/>
      <c r="C2824" s="14"/>
      <c r="D2824" s="92"/>
      <c r="E2824" s="14"/>
      <c r="F2824" s="14"/>
      <c r="G2824" s="14"/>
      <c r="H2824" s="14"/>
      <c r="I2824" s="67"/>
      <c r="J2824" s="14"/>
      <c r="K2824" s="14"/>
      <c r="L2824" s="14"/>
      <c r="M2824" s="14"/>
    </row>
    <row r="2825" spans="1:13" x14ac:dyDescent="0.25">
      <c r="A2825" s="14"/>
      <c r="B2825" s="14"/>
      <c r="C2825" s="14"/>
      <c r="D2825" s="92"/>
      <c r="E2825" s="14"/>
      <c r="F2825" s="14"/>
      <c r="G2825" s="14"/>
      <c r="H2825" s="14"/>
      <c r="I2825" s="67"/>
      <c r="J2825" s="14"/>
      <c r="K2825" s="14"/>
      <c r="L2825" s="14"/>
      <c r="M2825" s="14"/>
    </row>
    <row r="2826" spans="1:13" x14ac:dyDescent="0.25">
      <c r="A2826" s="14"/>
      <c r="B2826" s="14"/>
      <c r="C2826" s="14"/>
      <c r="D2826" s="92"/>
      <c r="E2826" s="14"/>
      <c r="F2826" s="14"/>
      <c r="G2826" s="14"/>
      <c r="H2826" s="14"/>
      <c r="I2826" s="67"/>
      <c r="J2826" s="14"/>
      <c r="K2826" s="14"/>
      <c r="L2826" s="14"/>
      <c r="M2826" s="14"/>
    </row>
    <row r="2827" spans="1:13" x14ac:dyDescent="0.25">
      <c r="A2827" s="14"/>
      <c r="B2827" s="14"/>
      <c r="C2827" s="14"/>
      <c r="D2827" s="92"/>
      <c r="E2827" s="14"/>
      <c r="F2827" s="14"/>
      <c r="G2827" s="14"/>
      <c r="H2827" s="14"/>
      <c r="I2827" s="67"/>
      <c r="J2827" s="14"/>
      <c r="K2827" s="14"/>
      <c r="L2827" s="14"/>
      <c r="M2827" s="14"/>
    </row>
    <row r="2828" spans="1:13" x14ac:dyDescent="0.25">
      <c r="A2828" s="14"/>
      <c r="B2828" s="14"/>
      <c r="C2828" s="14"/>
      <c r="D2828" s="92"/>
      <c r="E2828" s="14"/>
      <c r="F2828" s="14"/>
      <c r="G2828" s="14"/>
      <c r="H2828" s="14"/>
      <c r="I2828" s="67"/>
      <c r="J2828" s="14"/>
      <c r="K2828" s="14"/>
      <c r="L2828" s="14"/>
      <c r="M2828" s="14"/>
    </row>
    <row r="2829" spans="1:13" x14ac:dyDescent="0.25">
      <c r="A2829" s="14"/>
      <c r="B2829" s="14"/>
      <c r="C2829" s="14"/>
      <c r="D2829" s="92"/>
      <c r="E2829" s="14"/>
      <c r="F2829" s="14"/>
      <c r="G2829" s="14"/>
      <c r="H2829" s="14"/>
      <c r="I2829" s="67"/>
      <c r="J2829" s="14"/>
      <c r="K2829" s="14"/>
      <c r="L2829" s="14"/>
      <c r="M2829" s="14"/>
    </row>
    <row r="2830" spans="1:13" x14ac:dyDescent="0.25">
      <c r="A2830" s="14"/>
      <c r="B2830" s="14"/>
      <c r="C2830" s="14"/>
      <c r="D2830" s="92"/>
      <c r="E2830" s="14"/>
      <c r="F2830" s="14"/>
      <c r="G2830" s="14"/>
      <c r="H2830" s="14"/>
      <c r="I2830" s="67"/>
      <c r="J2830" s="14"/>
      <c r="K2830" s="14"/>
      <c r="L2830" s="14"/>
      <c r="M2830" s="14"/>
    </row>
    <row r="2831" spans="1:13" x14ac:dyDescent="0.25">
      <c r="A2831" s="14"/>
      <c r="B2831" s="14"/>
      <c r="C2831" s="14"/>
      <c r="D2831" s="92"/>
      <c r="E2831" s="14"/>
      <c r="F2831" s="14"/>
      <c r="G2831" s="14"/>
      <c r="H2831" s="14"/>
      <c r="I2831" s="67"/>
      <c r="J2831" s="14"/>
      <c r="K2831" s="14"/>
      <c r="L2831" s="14"/>
      <c r="M2831" s="14"/>
    </row>
    <row r="2832" spans="1:13" x14ac:dyDescent="0.25">
      <c r="A2832" s="14"/>
      <c r="B2832" s="14"/>
      <c r="C2832" s="14"/>
      <c r="D2832" s="92"/>
      <c r="E2832" s="14"/>
      <c r="F2832" s="14"/>
      <c r="G2832" s="14"/>
      <c r="H2832" s="14"/>
      <c r="I2832" s="67"/>
      <c r="J2832" s="14"/>
      <c r="K2832" s="14"/>
      <c r="L2832" s="14"/>
      <c r="M2832" s="14"/>
    </row>
    <row r="2833" spans="1:13" x14ac:dyDescent="0.25">
      <c r="A2833" s="14"/>
      <c r="B2833" s="14"/>
      <c r="C2833" s="14"/>
      <c r="D2833" s="92"/>
      <c r="E2833" s="14"/>
      <c r="F2833" s="14"/>
      <c r="G2833" s="14"/>
      <c r="H2833" s="14"/>
      <c r="I2833" s="67"/>
      <c r="J2833" s="14"/>
      <c r="K2833" s="14"/>
      <c r="L2833" s="14"/>
      <c r="M2833" s="14"/>
    </row>
    <row r="2834" spans="1:13" x14ac:dyDescent="0.25">
      <c r="A2834" s="14"/>
      <c r="B2834" s="14"/>
      <c r="C2834" s="14"/>
      <c r="D2834" s="92"/>
      <c r="E2834" s="14"/>
      <c r="F2834" s="14"/>
      <c r="G2834" s="14"/>
      <c r="H2834" s="14"/>
      <c r="I2834" s="67"/>
      <c r="J2834" s="14"/>
      <c r="K2834" s="14"/>
      <c r="L2834" s="14"/>
      <c r="M2834" s="14"/>
    </row>
    <row r="2835" spans="1:13" x14ac:dyDescent="0.25">
      <c r="A2835" s="14"/>
      <c r="B2835" s="14"/>
      <c r="C2835" s="14"/>
      <c r="D2835" s="92"/>
      <c r="E2835" s="14"/>
      <c r="F2835" s="14"/>
      <c r="G2835" s="14"/>
      <c r="H2835" s="14"/>
      <c r="I2835" s="67"/>
      <c r="J2835" s="14"/>
      <c r="K2835" s="14"/>
      <c r="L2835" s="14"/>
      <c r="M2835" s="14"/>
    </row>
    <row r="2836" spans="1:13" x14ac:dyDescent="0.25">
      <c r="A2836" s="14"/>
      <c r="B2836" s="14"/>
      <c r="C2836" s="14"/>
      <c r="D2836" s="92"/>
      <c r="E2836" s="14"/>
      <c r="F2836" s="14"/>
      <c r="G2836" s="14"/>
      <c r="H2836" s="14"/>
      <c r="I2836" s="67"/>
      <c r="J2836" s="14"/>
      <c r="K2836" s="14"/>
      <c r="L2836" s="14"/>
      <c r="M2836" s="14"/>
    </row>
    <row r="2837" spans="1:13" x14ac:dyDescent="0.25">
      <c r="A2837" s="14"/>
      <c r="B2837" s="14"/>
      <c r="C2837" s="14"/>
      <c r="D2837" s="92"/>
      <c r="E2837" s="14"/>
      <c r="F2837" s="14"/>
      <c r="G2837" s="14"/>
      <c r="H2837" s="14"/>
      <c r="I2837" s="67"/>
      <c r="J2837" s="14"/>
      <c r="K2837" s="14"/>
      <c r="L2837" s="14"/>
      <c r="M2837" s="14"/>
    </row>
    <row r="2838" spans="1:13" x14ac:dyDescent="0.25">
      <c r="A2838" s="14"/>
      <c r="B2838" s="14"/>
      <c r="C2838" s="14"/>
      <c r="D2838" s="92"/>
      <c r="E2838" s="14"/>
      <c r="F2838" s="14"/>
      <c r="G2838" s="14"/>
      <c r="H2838" s="14"/>
      <c r="I2838" s="67"/>
      <c r="J2838" s="14"/>
      <c r="K2838" s="14"/>
      <c r="L2838" s="14"/>
      <c r="M2838" s="14"/>
    </row>
    <row r="2839" spans="1:13" x14ac:dyDescent="0.25">
      <c r="A2839" s="14"/>
      <c r="B2839" s="14"/>
      <c r="C2839" s="14"/>
      <c r="D2839" s="92"/>
      <c r="E2839" s="14"/>
      <c r="F2839" s="14"/>
      <c r="G2839" s="14"/>
      <c r="H2839" s="14"/>
      <c r="I2839" s="67"/>
      <c r="J2839" s="14"/>
      <c r="K2839" s="14"/>
      <c r="L2839" s="14"/>
      <c r="M2839" s="14"/>
    </row>
    <row r="2840" spans="1:13" x14ac:dyDescent="0.25">
      <c r="A2840" s="14"/>
      <c r="B2840" s="14"/>
      <c r="C2840" s="14"/>
      <c r="D2840" s="92"/>
      <c r="E2840" s="14"/>
      <c r="F2840" s="14"/>
      <c r="G2840" s="14"/>
      <c r="H2840" s="14"/>
      <c r="I2840" s="67"/>
      <c r="J2840" s="14"/>
      <c r="K2840" s="14"/>
      <c r="L2840" s="14"/>
      <c r="M2840" s="14"/>
    </row>
    <row r="2841" spans="1:13" x14ac:dyDescent="0.25">
      <c r="A2841" s="14"/>
      <c r="B2841" s="14"/>
      <c r="C2841" s="14"/>
      <c r="D2841" s="92"/>
      <c r="E2841" s="14"/>
      <c r="F2841" s="14"/>
      <c r="G2841" s="14"/>
      <c r="H2841" s="14"/>
      <c r="I2841" s="67"/>
      <c r="J2841" s="14"/>
      <c r="K2841" s="14"/>
      <c r="L2841" s="14"/>
      <c r="M2841" s="14"/>
    </row>
    <row r="2842" spans="1:13" x14ac:dyDescent="0.25">
      <c r="A2842" s="14"/>
      <c r="B2842" s="14"/>
      <c r="C2842" s="14"/>
      <c r="D2842" s="92"/>
      <c r="E2842" s="14"/>
      <c r="F2842" s="14"/>
      <c r="G2842" s="14"/>
      <c r="H2842" s="14"/>
      <c r="I2842" s="67"/>
      <c r="J2842" s="14"/>
      <c r="K2842" s="14"/>
      <c r="L2842" s="14"/>
      <c r="M2842" s="14"/>
    </row>
    <row r="2843" spans="1:13" x14ac:dyDescent="0.25">
      <c r="A2843" s="14"/>
      <c r="B2843" s="14"/>
      <c r="C2843" s="14"/>
      <c r="D2843" s="92"/>
      <c r="E2843" s="14"/>
      <c r="F2843" s="14"/>
      <c r="G2843" s="14"/>
      <c r="H2843" s="14"/>
      <c r="I2843" s="67"/>
      <c r="J2843" s="14"/>
      <c r="K2843" s="14"/>
      <c r="L2843" s="14"/>
      <c r="M2843" s="14"/>
    </row>
    <row r="2844" spans="1:13" x14ac:dyDescent="0.25">
      <c r="A2844" s="14"/>
      <c r="B2844" s="14"/>
      <c r="C2844" s="14"/>
      <c r="D2844" s="92"/>
      <c r="E2844" s="14"/>
      <c r="F2844" s="14"/>
      <c r="G2844" s="14"/>
      <c r="H2844" s="14"/>
      <c r="I2844" s="67"/>
      <c r="J2844" s="14"/>
      <c r="K2844" s="14"/>
      <c r="L2844" s="14"/>
      <c r="M2844" s="14"/>
    </row>
    <row r="2845" spans="1:13" x14ac:dyDescent="0.25">
      <c r="A2845" s="14"/>
      <c r="B2845" s="14"/>
      <c r="C2845" s="14"/>
      <c r="D2845" s="92"/>
      <c r="E2845" s="14"/>
      <c r="F2845" s="14"/>
      <c r="G2845" s="14"/>
      <c r="H2845" s="14"/>
      <c r="I2845" s="67"/>
      <c r="J2845" s="14"/>
      <c r="K2845" s="14"/>
      <c r="L2845" s="14"/>
      <c r="M2845" s="14"/>
    </row>
    <row r="2846" spans="1:13" x14ac:dyDescent="0.25">
      <c r="A2846" s="14"/>
      <c r="B2846" s="14"/>
      <c r="C2846" s="14"/>
      <c r="D2846" s="92"/>
      <c r="E2846" s="14"/>
      <c r="F2846" s="14"/>
      <c r="G2846" s="14"/>
      <c r="H2846" s="14"/>
      <c r="I2846" s="67"/>
      <c r="J2846" s="14"/>
      <c r="K2846" s="14"/>
      <c r="L2846" s="14"/>
      <c r="M2846" s="14"/>
    </row>
    <row r="2847" spans="1:13" x14ac:dyDescent="0.25">
      <c r="A2847" s="14"/>
      <c r="B2847" s="14"/>
      <c r="C2847" s="14"/>
      <c r="D2847" s="92"/>
      <c r="E2847" s="14"/>
      <c r="F2847" s="14"/>
      <c r="G2847" s="14"/>
      <c r="H2847" s="14"/>
      <c r="I2847" s="67"/>
      <c r="J2847" s="14"/>
      <c r="K2847" s="14"/>
      <c r="L2847" s="14"/>
      <c r="M2847" s="14"/>
    </row>
    <row r="2848" spans="1:13" x14ac:dyDescent="0.25">
      <c r="A2848" s="14"/>
      <c r="B2848" s="14"/>
      <c r="C2848" s="14"/>
      <c r="D2848" s="92"/>
      <c r="E2848" s="14"/>
      <c r="F2848" s="14"/>
      <c r="G2848" s="14"/>
      <c r="H2848" s="14"/>
      <c r="I2848" s="67"/>
      <c r="J2848" s="14"/>
      <c r="K2848" s="14"/>
      <c r="L2848" s="14"/>
      <c r="M2848" s="14"/>
    </row>
    <row r="2849" spans="1:13" x14ac:dyDescent="0.25">
      <c r="A2849" s="14"/>
      <c r="B2849" s="14"/>
      <c r="C2849" s="14"/>
      <c r="D2849" s="92"/>
      <c r="E2849" s="14"/>
      <c r="F2849" s="14"/>
      <c r="G2849" s="14"/>
      <c r="H2849" s="14"/>
      <c r="I2849" s="67"/>
      <c r="J2849" s="14"/>
      <c r="K2849" s="14"/>
      <c r="L2849" s="14"/>
      <c r="M2849" s="14"/>
    </row>
    <row r="2850" spans="1:13" x14ac:dyDescent="0.25">
      <c r="A2850" s="14"/>
      <c r="B2850" s="14"/>
      <c r="C2850" s="14"/>
      <c r="D2850" s="92"/>
      <c r="E2850" s="14"/>
      <c r="F2850" s="14"/>
      <c r="G2850" s="14"/>
      <c r="H2850" s="14"/>
      <c r="I2850" s="67"/>
      <c r="J2850" s="14"/>
      <c r="K2850" s="14"/>
      <c r="L2850" s="14"/>
      <c r="M2850" s="14"/>
    </row>
    <row r="2851" spans="1:13" x14ac:dyDescent="0.25">
      <c r="A2851" s="14"/>
      <c r="B2851" s="14"/>
      <c r="C2851" s="14"/>
      <c r="D2851" s="92"/>
      <c r="E2851" s="14"/>
      <c r="F2851" s="14"/>
      <c r="G2851" s="14"/>
      <c r="H2851" s="14"/>
      <c r="I2851" s="67"/>
      <c r="J2851" s="14"/>
      <c r="K2851" s="14"/>
      <c r="L2851" s="14"/>
      <c r="M2851" s="14"/>
    </row>
    <row r="2852" spans="1:13" x14ac:dyDescent="0.25">
      <c r="A2852" s="14"/>
      <c r="B2852" s="14"/>
      <c r="C2852" s="14"/>
      <c r="D2852" s="92"/>
      <c r="E2852" s="14"/>
      <c r="F2852" s="14"/>
      <c r="G2852" s="14"/>
      <c r="H2852" s="14"/>
      <c r="I2852" s="67"/>
      <c r="J2852" s="14"/>
      <c r="K2852" s="14"/>
      <c r="L2852" s="14"/>
      <c r="M2852" s="14"/>
    </row>
    <row r="2853" spans="1:13" x14ac:dyDescent="0.25">
      <c r="A2853" s="14"/>
      <c r="B2853" s="14"/>
      <c r="C2853" s="14"/>
      <c r="D2853" s="92"/>
      <c r="E2853" s="14"/>
      <c r="F2853" s="14"/>
      <c r="G2853" s="14"/>
      <c r="H2853" s="14"/>
      <c r="I2853" s="67"/>
      <c r="J2853" s="14"/>
      <c r="K2853" s="14"/>
      <c r="L2853" s="14"/>
      <c r="M2853" s="14"/>
    </row>
    <row r="2854" spans="1:13" x14ac:dyDescent="0.25">
      <c r="A2854" s="14"/>
      <c r="B2854" s="14"/>
      <c r="C2854" s="14"/>
      <c r="D2854" s="92"/>
      <c r="E2854" s="14"/>
      <c r="F2854" s="14"/>
      <c r="G2854" s="14"/>
      <c r="H2854" s="14"/>
      <c r="I2854" s="67"/>
      <c r="J2854" s="14"/>
      <c r="K2854" s="14"/>
      <c r="L2854" s="14"/>
      <c r="M2854" s="14"/>
    </row>
    <row r="2855" spans="1:13" x14ac:dyDescent="0.25">
      <c r="A2855" s="14"/>
      <c r="B2855" s="14"/>
      <c r="C2855" s="14"/>
      <c r="D2855" s="92"/>
      <c r="E2855" s="14"/>
      <c r="F2855" s="14"/>
      <c r="G2855" s="14"/>
      <c r="H2855" s="14"/>
      <c r="I2855" s="67"/>
      <c r="J2855" s="14"/>
      <c r="K2855" s="14"/>
      <c r="L2855" s="14"/>
      <c r="M2855" s="14"/>
    </row>
    <row r="2856" spans="1:13" x14ac:dyDescent="0.25">
      <c r="A2856" s="14"/>
      <c r="B2856" s="14"/>
      <c r="C2856" s="14"/>
      <c r="D2856" s="92"/>
      <c r="E2856" s="14"/>
      <c r="F2856" s="14"/>
      <c r="G2856" s="14"/>
      <c r="H2856" s="14"/>
      <c r="I2856" s="67"/>
      <c r="J2856" s="14"/>
      <c r="K2856" s="14"/>
      <c r="L2856" s="14"/>
      <c r="M2856" s="14"/>
    </row>
    <row r="2857" spans="1:13" x14ac:dyDescent="0.25">
      <c r="A2857" s="14"/>
      <c r="B2857" s="14"/>
      <c r="C2857" s="14"/>
      <c r="D2857" s="92"/>
      <c r="E2857" s="14"/>
      <c r="F2857" s="14"/>
      <c r="G2857" s="14"/>
      <c r="H2857" s="14"/>
      <c r="I2857" s="67"/>
      <c r="J2857" s="14"/>
      <c r="K2857" s="14"/>
      <c r="L2857" s="14"/>
      <c r="M2857" s="14"/>
    </row>
    <row r="2858" spans="1:13" x14ac:dyDescent="0.25">
      <c r="A2858" s="14"/>
      <c r="B2858" s="14"/>
      <c r="C2858" s="14"/>
      <c r="D2858" s="92"/>
      <c r="E2858" s="14"/>
      <c r="F2858" s="14"/>
      <c r="G2858" s="14"/>
      <c r="H2858" s="14"/>
      <c r="I2858" s="67"/>
      <c r="J2858" s="14"/>
      <c r="K2858" s="14"/>
      <c r="L2858" s="14"/>
      <c r="M2858" s="14"/>
    </row>
    <row r="2859" spans="1:13" x14ac:dyDescent="0.25">
      <c r="A2859" s="14"/>
      <c r="B2859" s="14"/>
      <c r="C2859" s="14"/>
      <c r="D2859" s="92"/>
      <c r="E2859" s="14"/>
      <c r="F2859" s="14"/>
      <c r="G2859" s="14"/>
      <c r="H2859" s="14"/>
      <c r="I2859" s="67"/>
      <c r="J2859" s="14"/>
      <c r="K2859" s="14"/>
      <c r="L2859" s="14"/>
      <c r="M2859" s="14"/>
    </row>
    <row r="2860" spans="1:13" x14ac:dyDescent="0.25">
      <c r="A2860" s="14"/>
      <c r="B2860" s="14"/>
      <c r="C2860" s="14"/>
      <c r="D2860" s="92"/>
      <c r="E2860" s="14"/>
      <c r="F2860" s="14"/>
      <c r="G2860" s="14"/>
      <c r="H2860" s="14"/>
      <c r="I2860" s="67"/>
      <c r="J2860" s="14"/>
      <c r="K2860" s="14"/>
      <c r="L2860" s="14"/>
      <c r="M2860" s="14"/>
    </row>
    <row r="2861" spans="1:13" x14ac:dyDescent="0.25">
      <c r="A2861" s="14"/>
      <c r="B2861" s="14"/>
      <c r="C2861" s="14"/>
      <c r="D2861" s="92"/>
      <c r="E2861" s="14"/>
      <c r="F2861" s="14"/>
      <c r="G2861" s="14"/>
      <c r="H2861" s="14"/>
      <c r="I2861" s="67"/>
      <c r="J2861" s="14"/>
      <c r="K2861" s="14"/>
      <c r="L2861" s="14"/>
      <c r="M2861" s="14"/>
    </row>
    <row r="2862" spans="1:13" x14ac:dyDescent="0.25">
      <c r="A2862" s="14"/>
      <c r="B2862" s="14"/>
      <c r="C2862" s="14"/>
      <c r="D2862" s="92"/>
      <c r="E2862" s="14"/>
      <c r="F2862" s="14"/>
      <c r="G2862" s="14"/>
      <c r="H2862" s="14"/>
      <c r="I2862" s="67"/>
      <c r="J2862" s="14"/>
      <c r="K2862" s="14"/>
      <c r="L2862" s="14"/>
      <c r="M2862" s="14"/>
    </row>
    <row r="2863" spans="1:13" x14ac:dyDescent="0.25">
      <c r="A2863" s="14"/>
      <c r="B2863" s="14"/>
      <c r="C2863" s="14"/>
      <c r="D2863" s="92"/>
      <c r="E2863" s="14"/>
      <c r="F2863" s="14"/>
      <c r="G2863" s="14"/>
      <c r="H2863" s="14"/>
      <c r="I2863" s="67"/>
      <c r="J2863" s="14"/>
      <c r="K2863" s="14"/>
      <c r="L2863" s="14"/>
      <c r="M2863" s="14"/>
    </row>
    <row r="2864" spans="1:13" x14ac:dyDescent="0.25">
      <c r="A2864" s="14"/>
      <c r="B2864" s="14"/>
      <c r="C2864" s="14"/>
      <c r="D2864" s="92"/>
      <c r="E2864" s="14"/>
      <c r="F2864" s="14"/>
      <c r="G2864" s="14"/>
      <c r="H2864" s="14"/>
      <c r="I2864" s="67"/>
      <c r="J2864" s="14"/>
      <c r="K2864" s="14"/>
      <c r="L2864" s="14"/>
      <c r="M2864" s="14"/>
    </row>
    <row r="2865" spans="1:13" x14ac:dyDescent="0.25">
      <c r="A2865" s="14"/>
      <c r="B2865" s="14"/>
      <c r="C2865" s="14"/>
      <c r="D2865" s="92"/>
      <c r="E2865" s="14"/>
      <c r="F2865" s="14"/>
      <c r="G2865" s="14"/>
      <c r="H2865" s="14"/>
      <c r="I2865" s="67"/>
      <c r="J2865" s="14"/>
      <c r="K2865" s="14"/>
      <c r="L2865" s="14"/>
      <c r="M2865" s="14"/>
    </row>
    <row r="2866" spans="1:13" x14ac:dyDescent="0.25">
      <c r="A2866" s="14"/>
      <c r="B2866" s="14"/>
      <c r="C2866" s="14"/>
      <c r="D2866" s="92"/>
      <c r="E2866" s="14"/>
      <c r="F2866" s="14"/>
      <c r="G2866" s="14"/>
      <c r="H2866" s="14"/>
      <c r="I2866" s="67"/>
      <c r="J2866" s="14"/>
      <c r="K2866" s="14"/>
      <c r="L2866" s="14"/>
      <c r="M2866" s="14"/>
    </row>
    <row r="2867" spans="1:13" x14ac:dyDescent="0.25">
      <c r="A2867" s="14"/>
      <c r="B2867" s="14"/>
      <c r="C2867" s="14"/>
      <c r="D2867" s="92"/>
      <c r="E2867" s="14"/>
      <c r="F2867" s="14"/>
      <c r="G2867" s="14"/>
      <c r="H2867" s="14"/>
      <c r="I2867" s="67"/>
      <c r="J2867" s="14"/>
      <c r="K2867" s="14"/>
      <c r="L2867" s="14"/>
      <c r="M2867" s="14"/>
    </row>
    <row r="2868" spans="1:13" x14ac:dyDescent="0.25">
      <c r="A2868" s="14"/>
      <c r="B2868" s="14"/>
      <c r="C2868" s="14"/>
      <c r="D2868" s="92"/>
      <c r="E2868" s="14"/>
      <c r="F2868" s="14"/>
      <c r="G2868" s="14"/>
      <c r="H2868" s="14"/>
      <c r="I2868" s="67"/>
      <c r="J2868" s="14"/>
      <c r="K2868" s="14"/>
      <c r="L2868" s="14"/>
      <c r="M2868" s="14"/>
    </row>
    <row r="2869" spans="1:13" x14ac:dyDescent="0.25">
      <c r="A2869" s="14"/>
      <c r="B2869" s="14"/>
      <c r="C2869" s="14"/>
      <c r="D2869" s="92"/>
      <c r="E2869" s="14"/>
      <c r="F2869" s="14"/>
      <c r="G2869" s="14"/>
      <c r="H2869" s="14"/>
      <c r="I2869" s="67"/>
      <c r="J2869" s="14"/>
      <c r="K2869" s="14"/>
      <c r="L2869" s="14"/>
      <c r="M2869" s="14"/>
    </row>
    <row r="2870" spans="1:13" x14ac:dyDescent="0.25">
      <c r="A2870" s="14"/>
      <c r="B2870" s="14"/>
      <c r="C2870" s="14"/>
      <c r="D2870" s="92"/>
      <c r="E2870" s="14"/>
      <c r="F2870" s="14"/>
      <c r="G2870" s="14"/>
      <c r="H2870" s="14"/>
      <c r="I2870" s="67"/>
      <c r="J2870" s="14"/>
      <c r="K2870" s="14"/>
      <c r="L2870" s="14"/>
      <c r="M2870" s="14"/>
    </row>
    <row r="2871" spans="1:13" x14ac:dyDescent="0.25">
      <c r="A2871" s="14"/>
      <c r="B2871" s="14"/>
      <c r="C2871" s="14"/>
      <c r="D2871" s="92"/>
      <c r="E2871" s="14"/>
      <c r="F2871" s="14"/>
      <c r="G2871" s="14"/>
      <c r="H2871" s="14"/>
      <c r="I2871" s="67"/>
      <c r="J2871" s="14"/>
      <c r="K2871" s="14"/>
      <c r="L2871" s="14"/>
      <c r="M2871" s="14"/>
    </row>
    <row r="2872" spans="1:13" x14ac:dyDescent="0.25">
      <c r="A2872" s="14"/>
      <c r="B2872" s="14"/>
      <c r="C2872" s="14"/>
      <c r="D2872" s="92"/>
      <c r="E2872" s="14"/>
      <c r="F2872" s="14"/>
      <c r="G2872" s="14"/>
      <c r="H2872" s="14"/>
      <c r="I2872" s="67"/>
      <c r="J2872" s="14"/>
      <c r="K2872" s="14"/>
      <c r="L2872" s="14"/>
      <c r="M2872" s="14"/>
    </row>
    <row r="2873" spans="1:13" x14ac:dyDescent="0.25">
      <c r="A2873" s="14"/>
      <c r="B2873" s="14"/>
      <c r="C2873" s="14"/>
      <c r="D2873" s="92"/>
      <c r="E2873" s="14"/>
      <c r="F2873" s="14"/>
      <c r="G2873" s="14"/>
      <c r="H2873" s="14"/>
      <c r="I2873" s="67"/>
      <c r="J2873" s="14"/>
      <c r="K2873" s="14"/>
      <c r="L2873" s="14"/>
      <c r="M2873" s="14"/>
    </row>
    <row r="2874" spans="1:13" x14ac:dyDescent="0.25">
      <c r="A2874" s="14"/>
      <c r="B2874" s="14"/>
      <c r="C2874" s="14"/>
      <c r="D2874" s="92"/>
      <c r="E2874" s="14"/>
      <c r="F2874" s="14"/>
      <c r="G2874" s="14"/>
      <c r="H2874" s="14"/>
      <c r="I2874" s="67"/>
      <c r="J2874" s="14"/>
      <c r="K2874" s="14"/>
      <c r="L2874" s="14"/>
      <c r="M2874" s="14"/>
    </row>
    <row r="2875" spans="1:13" x14ac:dyDescent="0.25">
      <c r="A2875" s="14"/>
      <c r="B2875" s="14"/>
      <c r="C2875" s="14"/>
      <c r="D2875" s="92"/>
      <c r="E2875" s="14"/>
      <c r="F2875" s="14"/>
      <c r="G2875" s="14"/>
      <c r="H2875" s="14"/>
      <c r="I2875" s="67"/>
      <c r="J2875" s="14"/>
      <c r="K2875" s="14"/>
      <c r="L2875" s="14"/>
      <c r="M2875" s="14"/>
    </row>
    <row r="2876" spans="1:13" x14ac:dyDescent="0.25">
      <c r="A2876" s="14"/>
      <c r="B2876" s="14"/>
      <c r="C2876" s="14"/>
      <c r="D2876" s="92"/>
      <c r="E2876" s="14"/>
      <c r="F2876" s="14"/>
      <c r="G2876" s="14"/>
      <c r="H2876" s="14"/>
      <c r="I2876" s="67"/>
      <c r="J2876" s="14"/>
      <c r="K2876" s="14"/>
      <c r="L2876" s="14"/>
      <c r="M2876" s="14"/>
    </row>
    <row r="2877" spans="1:13" x14ac:dyDescent="0.25">
      <c r="A2877" s="14"/>
      <c r="B2877" s="14"/>
      <c r="C2877" s="14"/>
      <c r="D2877" s="92"/>
      <c r="E2877" s="14"/>
      <c r="F2877" s="14"/>
      <c r="G2877" s="14"/>
      <c r="H2877" s="14"/>
      <c r="I2877" s="67"/>
      <c r="J2877" s="14"/>
      <c r="K2877" s="14"/>
      <c r="L2877" s="14"/>
      <c r="M2877" s="14"/>
    </row>
    <row r="2878" spans="1:13" x14ac:dyDescent="0.25">
      <c r="A2878" s="14"/>
      <c r="B2878" s="14"/>
      <c r="C2878" s="14"/>
      <c r="D2878" s="92"/>
      <c r="E2878" s="14"/>
      <c r="F2878" s="14"/>
      <c r="G2878" s="14"/>
      <c r="H2878" s="14"/>
      <c r="I2878" s="67"/>
      <c r="J2878" s="14"/>
      <c r="K2878" s="14"/>
      <c r="L2878" s="14"/>
      <c r="M2878" s="14"/>
    </row>
    <row r="2879" spans="1:13" x14ac:dyDescent="0.25">
      <c r="A2879" s="14"/>
      <c r="B2879" s="14"/>
      <c r="C2879" s="14"/>
      <c r="D2879" s="92"/>
      <c r="E2879" s="14"/>
      <c r="F2879" s="14"/>
      <c r="G2879" s="14"/>
      <c r="H2879" s="14"/>
      <c r="I2879" s="67"/>
      <c r="J2879" s="14"/>
      <c r="K2879" s="14"/>
      <c r="L2879" s="14"/>
      <c r="M2879" s="14"/>
    </row>
    <row r="2880" spans="1:13" x14ac:dyDescent="0.25">
      <c r="A2880" s="14"/>
      <c r="B2880" s="14"/>
      <c r="C2880" s="14"/>
      <c r="D2880" s="92"/>
      <c r="E2880" s="14"/>
      <c r="F2880" s="14"/>
      <c r="G2880" s="14"/>
      <c r="H2880" s="14"/>
      <c r="I2880" s="67"/>
      <c r="J2880" s="14"/>
      <c r="K2880" s="14"/>
      <c r="L2880" s="14"/>
      <c r="M2880" s="14"/>
    </row>
    <row r="2881" spans="1:13" x14ac:dyDescent="0.25">
      <c r="A2881" s="14"/>
      <c r="B2881" s="14"/>
      <c r="C2881" s="14"/>
      <c r="D2881" s="92"/>
      <c r="E2881" s="14"/>
      <c r="F2881" s="14"/>
      <c r="G2881" s="14"/>
      <c r="H2881" s="14"/>
      <c r="I2881" s="67"/>
      <c r="J2881" s="14"/>
      <c r="K2881" s="14"/>
      <c r="L2881" s="14"/>
      <c r="M2881" s="14"/>
    </row>
    <row r="2882" spans="1:13" x14ac:dyDescent="0.25">
      <c r="A2882" s="14"/>
      <c r="B2882" s="14"/>
      <c r="C2882" s="14"/>
      <c r="D2882" s="92"/>
      <c r="E2882" s="14"/>
      <c r="F2882" s="14"/>
      <c r="G2882" s="14"/>
      <c r="H2882" s="14"/>
      <c r="I2882" s="67"/>
      <c r="J2882" s="14"/>
      <c r="K2882" s="14"/>
      <c r="L2882" s="14"/>
      <c r="M2882" s="14"/>
    </row>
    <row r="2883" spans="1:13" x14ac:dyDescent="0.25">
      <c r="A2883" s="14"/>
      <c r="B2883" s="14"/>
      <c r="C2883" s="14"/>
      <c r="D2883" s="92"/>
      <c r="E2883" s="14"/>
      <c r="F2883" s="14"/>
      <c r="G2883" s="14"/>
      <c r="H2883" s="14"/>
      <c r="I2883" s="67"/>
      <c r="J2883" s="14"/>
      <c r="K2883" s="14"/>
      <c r="L2883" s="14"/>
      <c r="M2883" s="14"/>
    </row>
    <row r="2884" spans="1:13" x14ac:dyDescent="0.25">
      <c r="A2884" s="14"/>
      <c r="B2884" s="14"/>
      <c r="C2884" s="14"/>
      <c r="D2884" s="92"/>
      <c r="E2884" s="14"/>
      <c r="F2884" s="14"/>
      <c r="G2884" s="14"/>
      <c r="H2884" s="14"/>
      <c r="I2884" s="67"/>
      <c r="J2884" s="14"/>
      <c r="K2884" s="14"/>
      <c r="L2884" s="14"/>
      <c r="M2884" s="14"/>
    </row>
    <row r="2885" spans="1:13" x14ac:dyDescent="0.25">
      <c r="A2885" s="14"/>
      <c r="B2885" s="14"/>
      <c r="C2885" s="14"/>
      <c r="D2885" s="92"/>
      <c r="E2885" s="14"/>
      <c r="F2885" s="14"/>
      <c r="G2885" s="14"/>
      <c r="H2885" s="14"/>
      <c r="I2885" s="67"/>
      <c r="J2885" s="14"/>
      <c r="K2885" s="14"/>
      <c r="L2885" s="14"/>
      <c r="M2885" s="14"/>
    </row>
    <row r="2886" spans="1:13" x14ac:dyDescent="0.25">
      <c r="A2886" s="14"/>
      <c r="B2886" s="14"/>
      <c r="C2886" s="14"/>
      <c r="D2886" s="92"/>
      <c r="E2886" s="14"/>
      <c r="F2886" s="14"/>
      <c r="G2886" s="14"/>
      <c r="H2886" s="14"/>
      <c r="I2886" s="67"/>
      <c r="J2886" s="14"/>
      <c r="K2886" s="14"/>
      <c r="L2886" s="14"/>
      <c r="M2886" s="14"/>
    </row>
    <row r="2887" spans="1:13" x14ac:dyDescent="0.25">
      <c r="A2887" s="14"/>
      <c r="B2887" s="14"/>
      <c r="C2887" s="14"/>
      <c r="D2887" s="92"/>
      <c r="E2887" s="14"/>
      <c r="F2887" s="14"/>
      <c r="G2887" s="14"/>
      <c r="H2887" s="14"/>
      <c r="I2887" s="67"/>
      <c r="J2887" s="14"/>
      <c r="K2887" s="14"/>
      <c r="L2887" s="14"/>
      <c r="M2887" s="14"/>
    </row>
    <row r="2888" spans="1:13" x14ac:dyDescent="0.25">
      <c r="A2888" s="14"/>
      <c r="B2888" s="14"/>
      <c r="C2888" s="14"/>
      <c r="D2888" s="92"/>
      <c r="E2888" s="14"/>
      <c r="F2888" s="14"/>
      <c r="G2888" s="14"/>
      <c r="H2888" s="14"/>
      <c r="I2888" s="67"/>
      <c r="J2888" s="14"/>
      <c r="K2888" s="14"/>
      <c r="L2888" s="14"/>
      <c r="M2888" s="14"/>
    </row>
    <row r="2889" spans="1:13" x14ac:dyDescent="0.25">
      <c r="A2889" s="14"/>
      <c r="B2889" s="14"/>
      <c r="C2889" s="14"/>
      <c r="D2889" s="92"/>
      <c r="E2889" s="14"/>
      <c r="F2889" s="14"/>
      <c r="G2889" s="14"/>
      <c r="H2889" s="14"/>
      <c r="I2889" s="67"/>
      <c r="J2889" s="14"/>
      <c r="K2889" s="14"/>
      <c r="L2889" s="14"/>
      <c r="M2889" s="14"/>
    </row>
    <row r="2890" spans="1:13" x14ac:dyDescent="0.25">
      <c r="A2890" s="14"/>
      <c r="B2890" s="14"/>
      <c r="C2890" s="14"/>
      <c r="D2890" s="92"/>
      <c r="E2890" s="14"/>
      <c r="F2890" s="14"/>
      <c r="G2890" s="14"/>
      <c r="H2890" s="14"/>
      <c r="I2890" s="67"/>
      <c r="J2890" s="14"/>
      <c r="K2890" s="14"/>
      <c r="L2890" s="14"/>
      <c r="M2890" s="14"/>
    </row>
    <row r="2891" spans="1:13" x14ac:dyDescent="0.25">
      <c r="A2891" s="14"/>
      <c r="B2891" s="14"/>
      <c r="C2891" s="14"/>
      <c r="D2891" s="92"/>
      <c r="E2891" s="14"/>
      <c r="F2891" s="14"/>
      <c r="G2891" s="14"/>
      <c r="H2891" s="14"/>
      <c r="I2891" s="67"/>
      <c r="J2891" s="14"/>
      <c r="K2891" s="14"/>
      <c r="L2891" s="14"/>
      <c r="M2891" s="14"/>
    </row>
    <row r="2892" spans="1:13" x14ac:dyDescent="0.25">
      <c r="A2892" s="14"/>
      <c r="B2892" s="14"/>
      <c r="C2892" s="14"/>
      <c r="D2892" s="92"/>
      <c r="E2892" s="14"/>
      <c r="F2892" s="14"/>
      <c r="G2892" s="14"/>
      <c r="H2892" s="14"/>
      <c r="I2892" s="67"/>
      <c r="J2892" s="14"/>
      <c r="K2892" s="14"/>
      <c r="L2892" s="14"/>
      <c r="M2892" s="14"/>
    </row>
    <row r="2893" spans="1:13" x14ac:dyDescent="0.25">
      <c r="A2893" s="14"/>
      <c r="B2893" s="14"/>
      <c r="C2893" s="14"/>
      <c r="D2893" s="92"/>
      <c r="E2893" s="14"/>
      <c r="F2893" s="14"/>
      <c r="G2893" s="14"/>
      <c r="H2893" s="14"/>
      <c r="I2893" s="67"/>
      <c r="J2893" s="14"/>
      <c r="K2893" s="14"/>
      <c r="L2893" s="14"/>
      <c r="M2893" s="14"/>
    </row>
    <row r="2894" spans="1:13" x14ac:dyDescent="0.25">
      <c r="A2894" s="14"/>
      <c r="B2894" s="14"/>
      <c r="C2894" s="14"/>
      <c r="D2894" s="92"/>
      <c r="E2894" s="14"/>
      <c r="F2894" s="14"/>
      <c r="G2894" s="14"/>
      <c r="H2894" s="14"/>
      <c r="I2894" s="67"/>
      <c r="J2894" s="14"/>
      <c r="K2894" s="14"/>
      <c r="L2894" s="14"/>
      <c r="M2894" s="14"/>
    </row>
    <row r="2895" spans="1:13" x14ac:dyDescent="0.25">
      <c r="A2895" s="14"/>
      <c r="B2895" s="14"/>
      <c r="C2895" s="14"/>
      <c r="D2895" s="92"/>
      <c r="E2895" s="14"/>
      <c r="F2895" s="14"/>
      <c r="G2895" s="14"/>
      <c r="H2895" s="14"/>
      <c r="I2895" s="67"/>
      <c r="J2895" s="14"/>
      <c r="K2895" s="14"/>
      <c r="L2895" s="14"/>
      <c r="M2895" s="14"/>
    </row>
    <row r="2896" spans="1:13" x14ac:dyDescent="0.25">
      <c r="A2896" s="14"/>
      <c r="B2896" s="14"/>
      <c r="C2896" s="14"/>
      <c r="D2896" s="92"/>
      <c r="E2896" s="14"/>
      <c r="F2896" s="14"/>
      <c r="G2896" s="14"/>
      <c r="H2896" s="14"/>
      <c r="I2896" s="67"/>
      <c r="J2896" s="14"/>
      <c r="K2896" s="14"/>
      <c r="L2896" s="14"/>
      <c r="M2896" s="14"/>
    </row>
    <row r="2897" spans="1:13" x14ac:dyDescent="0.25">
      <c r="A2897" s="14"/>
      <c r="B2897" s="14"/>
      <c r="C2897" s="14"/>
      <c r="D2897" s="92"/>
      <c r="E2897" s="14"/>
      <c r="F2897" s="14"/>
      <c r="G2897" s="14"/>
      <c r="H2897" s="14"/>
      <c r="I2897" s="67"/>
      <c r="J2897" s="14"/>
      <c r="K2897" s="14"/>
      <c r="L2897" s="14"/>
      <c r="M2897" s="14"/>
    </row>
    <row r="2898" spans="1:13" x14ac:dyDescent="0.25">
      <c r="A2898" s="14"/>
      <c r="B2898" s="14"/>
      <c r="C2898" s="14"/>
      <c r="D2898" s="92"/>
      <c r="E2898" s="14"/>
      <c r="F2898" s="14"/>
      <c r="G2898" s="14"/>
      <c r="H2898" s="14"/>
      <c r="I2898" s="67"/>
      <c r="J2898" s="14"/>
      <c r="K2898" s="14"/>
      <c r="L2898" s="14"/>
      <c r="M2898" s="14"/>
    </row>
    <row r="2899" spans="1:13" x14ac:dyDescent="0.25">
      <c r="A2899" s="14"/>
      <c r="B2899" s="14"/>
      <c r="C2899" s="14"/>
      <c r="D2899" s="92"/>
      <c r="E2899" s="14"/>
      <c r="F2899" s="14"/>
      <c r="G2899" s="14"/>
      <c r="H2899" s="14"/>
      <c r="I2899" s="67"/>
      <c r="J2899" s="14"/>
      <c r="K2899" s="14"/>
      <c r="L2899" s="14"/>
      <c r="M2899" s="14"/>
    </row>
    <row r="2900" spans="1:13" x14ac:dyDescent="0.25">
      <c r="A2900" s="14"/>
      <c r="B2900" s="14"/>
      <c r="C2900" s="14"/>
      <c r="D2900" s="92"/>
      <c r="E2900" s="14"/>
      <c r="F2900" s="14"/>
      <c r="G2900" s="14"/>
      <c r="H2900" s="14"/>
      <c r="I2900" s="67"/>
      <c r="J2900" s="14"/>
      <c r="K2900" s="14"/>
      <c r="L2900" s="14"/>
      <c r="M2900" s="14"/>
    </row>
    <row r="2901" spans="1:13" x14ac:dyDescent="0.25">
      <c r="A2901" s="14"/>
      <c r="B2901" s="14"/>
      <c r="C2901" s="14"/>
      <c r="D2901" s="92"/>
      <c r="E2901" s="14"/>
      <c r="F2901" s="14"/>
      <c r="G2901" s="14"/>
      <c r="H2901" s="14"/>
      <c r="I2901" s="67"/>
      <c r="J2901" s="14"/>
      <c r="K2901" s="14"/>
      <c r="L2901" s="14"/>
      <c r="M2901" s="14"/>
    </row>
    <row r="2902" spans="1:13" x14ac:dyDescent="0.25">
      <c r="A2902" s="14"/>
      <c r="B2902" s="14"/>
      <c r="C2902" s="14"/>
      <c r="D2902" s="92"/>
      <c r="E2902" s="14"/>
      <c r="F2902" s="14"/>
      <c r="G2902" s="14"/>
      <c r="H2902" s="14"/>
      <c r="I2902" s="67"/>
      <c r="J2902" s="14"/>
      <c r="K2902" s="14"/>
      <c r="L2902" s="14"/>
      <c r="M2902" s="14"/>
    </row>
    <row r="2903" spans="1:13" x14ac:dyDescent="0.25">
      <c r="A2903" s="14"/>
      <c r="B2903" s="14"/>
      <c r="C2903" s="14"/>
      <c r="D2903" s="92"/>
      <c r="E2903" s="14"/>
      <c r="F2903" s="14"/>
      <c r="G2903" s="14"/>
      <c r="H2903" s="14"/>
      <c r="I2903" s="67"/>
      <c r="J2903" s="14"/>
      <c r="K2903" s="14"/>
      <c r="L2903" s="14"/>
      <c r="M2903" s="14"/>
    </row>
    <row r="2904" spans="1:13" x14ac:dyDescent="0.25">
      <c r="A2904" s="14"/>
      <c r="B2904" s="14"/>
      <c r="C2904" s="14"/>
      <c r="D2904" s="92"/>
      <c r="E2904" s="14"/>
      <c r="F2904" s="14"/>
      <c r="G2904" s="14"/>
      <c r="H2904" s="14"/>
      <c r="I2904" s="67"/>
      <c r="J2904" s="14"/>
      <c r="K2904" s="14"/>
      <c r="L2904" s="14"/>
      <c r="M2904" s="14"/>
    </row>
    <row r="2905" spans="1:13" x14ac:dyDescent="0.25">
      <c r="A2905" s="14"/>
      <c r="B2905" s="14"/>
      <c r="C2905" s="14"/>
      <c r="D2905" s="92"/>
      <c r="E2905" s="14"/>
      <c r="F2905" s="14"/>
      <c r="G2905" s="14"/>
      <c r="H2905" s="14"/>
      <c r="I2905" s="67"/>
      <c r="J2905" s="14"/>
      <c r="K2905" s="14"/>
      <c r="L2905" s="14"/>
      <c r="M2905" s="14"/>
    </row>
    <row r="2906" spans="1:13" x14ac:dyDescent="0.25">
      <c r="A2906" s="14"/>
      <c r="B2906" s="14"/>
      <c r="C2906" s="14"/>
      <c r="D2906" s="92"/>
      <c r="E2906" s="14"/>
      <c r="F2906" s="14"/>
      <c r="G2906" s="14"/>
      <c r="H2906" s="14"/>
      <c r="I2906" s="67"/>
      <c r="J2906" s="14"/>
      <c r="K2906" s="14"/>
      <c r="L2906" s="14"/>
      <c r="M2906" s="14"/>
    </row>
    <row r="2907" spans="1:13" x14ac:dyDescent="0.25">
      <c r="A2907" s="14"/>
      <c r="B2907" s="14"/>
      <c r="C2907" s="14"/>
      <c r="D2907" s="92"/>
      <c r="E2907" s="14"/>
      <c r="F2907" s="14"/>
      <c r="G2907" s="14"/>
      <c r="H2907" s="14"/>
      <c r="I2907" s="67"/>
      <c r="J2907" s="14"/>
      <c r="K2907" s="14"/>
      <c r="L2907" s="14"/>
      <c r="M2907" s="14"/>
    </row>
    <row r="2908" spans="1:13" x14ac:dyDescent="0.25">
      <c r="A2908" s="14"/>
      <c r="B2908" s="14"/>
      <c r="C2908" s="14"/>
      <c r="D2908" s="92"/>
      <c r="E2908" s="14"/>
      <c r="F2908" s="14"/>
      <c r="G2908" s="14"/>
      <c r="H2908" s="14"/>
      <c r="I2908" s="67"/>
      <c r="J2908" s="14"/>
      <c r="K2908" s="14"/>
      <c r="L2908" s="14"/>
      <c r="M2908" s="14"/>
    </row>
    <row r="2909" spans="1:13" x14ac:dyDescent="0.25">
      <c r="A2909" s="14"/>
      <c r="B2909" s="14"/>
      <c r="C2909" s="14"/>
      <c r="D2909" s="92"/>
      <c r="E2909" s="14"/>
      <c r="F2909" s="14"/>
      <c r="G2909" s="14"/>
      <c r="H2909" s="14"/>
      <c r="I2909" s="67"/>
      <c r="J2909" s="14"/>
      <c r="K2909" s="14"/>
      <c r="L2909" s="14"/>
      <c r="M2909" s="14"/>
    </row>
    <row r="2910" spans="1:13" x14ac:dyDescent="0.25">
      <c r="A2910" s="14"/>
      <c r="B2910" s="14"/>
      <c r="C2910" s="14"/>
      <c r="D2910" s="92"/>
      <c r="E2910" s="14"/>
      <c r="F2910" s="14"/>
      <c r="G2910" s="14"/>
      <c r="H2910" s="14"/>
      <c r="I2910" s="67"/>
      <c r="J2910" s="14"/>
      <c r="K2910" s="14"/>
      <c r="L2910" s="14"/>
      <c r="M2910" s="14"/>
    </row>
    <row r="2911" spans="1:13" x14ac:dyDescent="0.25">
      <c r="A2911" s="14"/>
      <c r="B2911" s="14"/>
      <c r="C2911" s="14"/>
      <c r="D2911" s="92"/>
      <c r="E2911" s="14"/>
      <c r="F2911" s="14"/>
      <c r="G2911" s="14"/>
      <c r="H2911" s="14"/>
      <c r="I2911" s="67"/>
      <c r="J2911" s="14"/>
      <c r="K2911" s="14"/>
      <c r="L2911" s="14"/>
      <c r="M2911" s="14"/>
    </row>
    <row r="2912" spans="1:13" x14ac:dyDescent="0.25">
      <c r="A2912" s="14"/>
      <c r="B2912" s="14"/>
      <c r="C2912" s="14"/>
      <c r="D2912" s="92"/>
      <c r="E2912" s="14"/>
      <c r="F2912" s="14"/>
      <c r="G2912" s="14"/>
      <c r="H2912" s="14"/>
      <c r="I2912" s="67"/>
      <c r="J2912" s="14"/>
      <c r="K2912" s="14"/>
      <c r="L2912" s="14"/>
      <c r="M2912" s="14"/>
    </row>
    <row r="2913" spans="1:13" x14ac:dyDescent="0.25">
      <c r="A2913" s="14"/>
      <c r="B2913" s="14"/>
      <c r="C2913" s="14"/>
      <c r="D2913" s="92"/>
      <c r="E2913" s="14"/>
      <c r="F2913" s="14"/>
      <c r="G2913" s="14"/>
      <c r="H2913" s="14"/>
      <c r="I2913" s="67"/>
      <c r="J2913" s="14"/>
      <c r="K2913" s="14"/>
      <c r="L2913" s="14"/>
      <c r="M2913" s="14"/>
    </row>
    <row r="2914" spans="1:13" x14ac:dyDescent="0.25">
      <c r="A2914" s="14"/>
      <c r="B2914" s="14"/>
      <c r="C2914" s="14"/>
      <c r="D2914" s="92"/>
      <c r="E2914" s="14"/>
      <c r="F2914" s="14"/>
      <c r="G2914" s="14"/>
      <c r="H2914" s="14"/>
      <c r="I2914" s="67"/>
      <c r="J2914" s="14"/>
      <c r="K2914" s="14"/>
      <c r="L2914" s="14"/>
      <c r="M2914" s="14"/>
    </row>
    <row r="2915" spans="1:13" x14ac:dyDescent="0.25">
      <c r="A2915" s="14"/>
      <c r="B2915" s="14"/>
      <c r="C2915" s="14"/>
      <c r="D2915" s="92"/>
      <c r="E2915" s="14"/>
      <c r="F2915" s="14"/>
      <c r="G2915" s="14"/>
      <c r="H2915" s="14"/>
      <c r="I2915" s="67"/>
      <c r="J2915" s="14"/>
      <c r="K2915" s="14"/>
      <c r="L2915" s="14"/>
      <c r="M2915" s="14"/>
    </row>
    <row r="2916" spans="1:13" x14ac:dyDescent="0.25">
      <c r="A2916" s="14"/>
      <c r="B2916" s="14"/>
      <c r="C2916" s="14"/>
      <c r="D2916" s="92"/>
      <c r="E2916" s="14"/>
      <c r="F2916" s="14"/>
      <c r="G2916" s="14"/>
      <c r="H2916" s="14"/>
      <c r="I2916" s="67"/>
      <c r="J2916" s="14"/>
      <c r="K2916" s="14"/>
      <c r="L2916" s="14"/>
      <c r="M2916" s="14"/>
    </row>
    <row r="2917" spans="1:13" x14ac:dyDescent="0.25">
      <c r="A2917" s="14"/>
      <c r="B2917" s="14"/>
      <c r="C2917" s="14"/>
      <c r="D2917" s="92"/>
      <c r="E2917" s="14"/>
      <c r="F2917" s="14"/>
      <c r="G2917" s="14"/>
      <c r="H2917" s="14"/>
      <c r="I2917" s="67"/>
      <c r="J2917" s="14"/>
      <c r="K2917" s="14"/>
      <c r="L2917" s="14"/>
      <c r="M2917" s="14"/>
    </row>
    <row r="2918" spans="1:13" x14ac:dyDescent="0.25">
      <c r="A2918" s="14"/>
      <c r="B2918" s="14"/>
      <c r="C2918" s="14"/>
      <c r="D2918" s="92"/>
      <c r="E2918" s="14"/>
      <c r="F2918" s="14"/>
      <c r="G2918" s="14"/>
      <c r="H2918" s="14"/>
      <c r="I2918" s="67"/>
      <c r="J2918" s="14"/>
      <c r="K2918" s="14"/>
      <c r="L2918" s="14"/>
      <c r="M2918" s="14"/>
    </row>
    <row r="2919" spans="1:13" x14ac:dyDescent="0.25">
      <c r="A2919" s="14"/>
      <c r="B2919" s="14"/>
      <c r="C2919" s="14"/>
      <c r="D2919" s="92"/>
      <c r="E2919" s="14"/>
      <c r="F2919" s="14"/>
      <c r="G2919" s="14"/>
      <c r="H2919" s="14"/>
      <c r="I2919" s="67"/>
      <c r="J2919" s="14"/>
      <c r="K2919" s="14"/>
      <c r="L2919" s="14"/>
      <c r="M2919" s="14"/>
    </row>
    <row r="2920" spans="1:13" x14ac:dyDescent="0.25">
      <c r="A2920" s="14"/>
      <c r="B2920" s="14"/>
      <c r="C2920" s="14"/>
      <c r="D2920" s="92"/>
      <c r="E2920" s="14"/>
      <c r="F2920" s="14"/>
      <c r="G2920" s="14"/>
      <c r="H2920" s="14"/>
      <c r="I2920" s="67"/>
      <c r="J2920" s="14"/>
      <c r="K2920" s="14"/>
      <c r="L2920" s="14"/>
      <c r="M2920" s="14"/>
    </row>
    <row r="2921" spans="1:13" x14ac:dyDescent="0.25">
      <c r="A2921" s="14"/>
      <c r="B2921" s="14"/>
      <c r="C2921" s="14"/>
      <c r="D2921" s="92"/>
      <c r="E2921" s="14"/>
      <c r="F2921" s="14"/>
      <c r="G2921" s="14"/>
      <c r="H2921" s="14"/>
      <c r="I2921" s="67"/>
      <c r="J2921" s="14"/>
      <c r="K2921" s="14"/>
      <c r="L2921" s="14"/>
      <c r="M2921" s="14"/>
    </row>
    <row r="2922" spans="1:13" x14ac:dyDescent="0.25">
      <c r="A2922" s="14"/>
      <c r="B2922" s="14"/>
      <c r="C2922" s="14"/>
      <c r="D2922" s="92"/>
      <c r="E2922" s="14"/>
      <c r="F2922" s="14"/>
      <c r="G2922" s="14"/>
      <c r="H2922" s="14"/>
      <c r="I2922" s="67"/>
      <c r="J2922" s="14"/>
      <c r="K2922" s="14"/>
      <c r="L2922" s="14"/>
      <c r="M2922" s="14"/>
    </row>
    <row r="2923" spans="1:13" x14ac:dyDescent="0.25">
      <c r="A2923" s="14"/>
      <c r="B2923" s="14"/>
      <c r="C2923" s="14"/>
      <c r="D2923" s="92"/>
      <c r="E2923" s="14"/>
      <c r="F2923" s="14"/>
      <c r="G2923" s="14"/>
      <c r="H2923" s="14"/>
      <c r="I2923" s="67"/>
      <c r="J2923" s="14"/>
      <c r="K2923" s="14"/>
      <c r="L2923" s="14"/>
      <c r="M2923" s="14"/>
    </row>
    <row r="2924" spans="1:13" x14ac:dyDescent="0.25">
      <c r="A2924" s="14"/>
      <c r="B2924" s="14"/>
      <c r="C2924" s="14"/>
      <c r="D2924" s="92"/>
      <c r="E2924" s="14"/>
      <c r="F2924" s="14"/>
      <c r="G2924" s="14"/>
      <c r="H2924" s="14"/>
      <c r="I2924" s="67"/>
      <c r="J2924" s="14"/>
      <c r="K2924" s="14"/>
      <c r="L2924" s="14"/>
      <c r="M2924" s="14"/>
    </row>
    <row r="2925" spans="1:13" x14ac:dyDescent="0.25">
      <c r="A2925" s="14"/>
      <c r="B2925" s="14"/>
      <c r="C2925" s="14"/>
      <c r="D2925" s="92"/>
      <c r="E2925" s="14"/>
      <c r="F2925" s="14"/>
      <c r="G2925" s="14"/>
      <c r="H2925" s="14"/>
      <c r="I2925" s="67"/>
      <c r="J2925" s="14"/>
      <c r="K2925" s="14"/>
      <c r="L2925" s="14"/>
      <c r="M2925" s="14"/>
    </row>
    <row r="2926" spans="1:13" x14ac:dyDescent="0.25">
      <c r="A2926" s="14"/>
      <c r="B2926" s="14"/>
      <c r="C2926" s="14"/>
      <c r="D2926" s="92"/>
      <c r="E2926" s="14"/>
      <c r="F2926" s="14"/>
      <c r="G2926" s="14"/>
      <c r="H2926" s="14"/>
      <c r="I2926" s="67"/>
      <c r="J2926" s="14"/>
      <c r="K2926" s="14"/>
      <c r="L2926" s="14"/>
      <c r="M2926" s="14"/>
    </row>
    <row r="2927" spans="1:13" x14ac:dyDescent="0.25">
      <c r="A2927" s="14"/>
      <c r="B2927" s="14"/>
      <c r="C2927" s="14"/>
      <c r="D2927" s="92"/>
      <c r="E2927" s="14"/>
      <c r="F2927" s="14"/>
      <c r="G2927" s="14"/>
      <c r="H2927" s="14"/>
      <c r="I2927" s="67"/>
      <c r="J2927" s="14"/>
      <c r="K2927" s="14"/>
      <c r="L2927" s="14"/>
      <c r="M2927" s="14"/>
    </row>
    <row r="2928" spans="1:13" x14ac:dyDescent="0.25">
      <c r="A2928" s="14"/>
      <c r="B2928" s="14"/>
      <c r="C2928" s="14"/>
      <c r="D2928" s="92"/>
      <c r="E2928" s="14"/>
      <c r="F2928" s="14"/>
      <c r="G2928" s="14"/>
      <c r="H2928" s="14"/>
      <c r="I2928" s="67"/>
      <c r="J2928" s="14"/>
      <c r="K2928" s="14"/>
      <c r="L2928" s="14"/>
      <c r="M2928" s="14"/>
    </row>
    <row r="2929" spans="1:13" x14ac:dyDescent="0.25">
      <c r="A2929" s="14"/>
      <c r="B2929" s="14"/>
      <c r="C2929" s="14"/>
      <c r="D2929" s="92"/>
      <c r="E2929" s="14"/>
      <c r="F2929" s="14"/>
      <c r="G2929" s="14"/>
      <c r="H2929" s="14"/>
      <c r="I2929" s="67"/>
      <c r="J2929" s="14"/>
      <c r="K2929" s="14"/>
      <c r="L2929" s="14"/>
      <c r="M2929" s="14"/>
    </row>
    <row r="2930" spans="1:13" x14ac:dyDescent="0.25">
      <c r="A2930" s="14"/>
      <c r="B2930" s="14"/>
      <c r="C2930" s="14"/>
      <c r="D2930" s="92"/>
      <c r="E2930" s="14"/>
      <c r="F2930" s="14"/>
      <c r="G2930" s="14"/>
      <c r="H2930" s="14"/>
      <c r="I2930" s="67"/>
      <c r="J2930" s="14"/>
      <c r="K2930" s="14"/>
      <c r="L2930" s="14"/>
      <c r="M2930" s="14"/>
    </row>
    <row r="2931" spans="1:13" x14ac:dyDescent="0.25">
      <c r="A2931" s="14"/>
      <c r="B2931" s="14"/>
      <c r="C2931" s="14"/>
      <c r="D2931" s="92"/>
      <c r="E2931" s="14"/>
      <c r="F2931" s="14"/>
      <c r="G2931" s="14"/>
      <c r="H2931" s="14"/>
      <c r="I2931" s="67"/>
      <c r="J2931" s="14"/>
      <c r="K2931" s="14"/>
      <c r="L2931" s="14"/>
      <c r="M2931" s="14"/>
    </row>
    <row r="2932" spans="1:13" x14ac:dyDescent="0.25">
      <c r="A2932" s="14"/>
      <c r="B2932" s="14"/>
      <c r="C2932" s="14"/>
      <c r="D2932" s="92"/>
      <c r="E2932" s="14"/>
      <c r="F2932" s="14"/>
      <c r="G2932" s="14"/>
      <c r="H2932" s="14"/>
      <c r="I2932" s="67"/>
      <c r="J2932" s="14"/>
      <c r="K2932" s="14"/>
      <c r="L2932" s="14"/>
      <c r="M2932" s="14"/>
    </row>
    <row r="2933" spans="1:13" x14ac:dyDescent="0.25">
      <c r="A2933" s="14"/>
      <c r="B2933" s="14"/>
      <c r="C2933" s="14"/>
      <c r="D2933" s="92"/>
      <c r="E2933" s="14"/>
      <c r="F2933" s="14"/>
      <c r="G2933" s="14"/>
      <c r="H2933" s="14"/>
      <c r="I2933" s="67"/>
      <c r="J2933" s="14"/>
      <c r="K2933" s="14"/>
      <c r="L2933" s="14"/>
      <c r="M2933" s="14"/>
    </row>
    <row r="2934" spans="1:13" x14ac:dyDescent="0.25">
      <c r="A2934" s="14"/>
      <c r="B2934" s="14"/>
      <c r="C2934" s="14"/>
      <c r="D2934" s="92"/>
      <c r="E2934" s="14"/>
      <c r="F2934" s="14"/>
      <c r="G2934" s="14"/>
      <c r="H2934" s="14"/>
      <c r="I2934" s="67"/>
      <c r="J2934" s="14"/>
      <c r="K2934" s="14"/>
      <c r="L2934" s="14"/>
      <c r="M2934" s="14"/>
    </row>
    <row r="2935" spans="1:13" x14ac:dyDescent="0.25">
      <c r="A2935" s="14"/>
      <c r="B2935" s="14"/>
      <c r="C2935" s="14"/>
      <c r="D2935" s="92"/>
      <c r="E2935" s="14"/>
      <c r="F2935" s="14"/>
      <c r="G2935" s="14"/>
      <c r="H2935" s="14"/>
      <c r="I2935" s="67"/>
      <c r="J2935" s="14"/>
      <c r="K2935" s="14"/>
      <c r="L2935" s="14"/>
      <c r="M2935" s="14"/>
    </row>
    <row r="2936" spans="1:13" x14ac:dyDescent="0.25">
      <c r="A2936" s="14"/>
      <c r="B2936" s="14"/>
      <c r="C2936" s="14"/>
      <c r="D2936" s="92"/>
      <c r="E2936" s="14"/>
      <c r="F2936" s="14"/>
      <c r="G2936" s="14"/>
      <c r="H2936" s="14"/>
      <c r="I2936" s="67"/>
      <c r="J2936" s="14"/>
      <c r="K2936" s="14"/>
      <c r="L2936" s="14"/>
      <c r="M2936" s="14"/>
    </row>
    <row r="2937" spans="1:13" x14ac:dyDescent="0.25">
      <c r="A2937" s="14"/>
      <c r="B2937" s="14"/>
      <c r="C2937" s="14"/>
      <c r="D2937" s="92"/>
      <c r="E2937" s="14"/>
      <c r="F2937" s="14"/>
      <c r="G2937" s="14"/>
      <c r="H2937" s="14"/>
      <c r="I2937" s="67"/>
      <c r="J2937" s="14"/>
      <c r="K2937" s="14"/>
      <c r="L2937" s="14"/>
      <c r="M2937" s="14"/>
    </row>
    <row r="2938" spans="1:13" x14ac:dyDescent="0.25">
      <c r="A2938" s="14"/>
      <c r="B2938" s="14"/>
      <c r="C2938" s="14"/>
      <c r="D2938" s="92"/>
      <c r="E2938" s="14"/>
      <c r="F2938" s="14"/>
      <c r="G2938" s="14"/>
      <c r="H2938" s="14"/>
      <c r="I2938" s="67"/>
      <c r="J2938" s="14"/>
      <c r="K2938" s="14"/>
      <c r="L2938" s="14"/>
      <c r="M2938" s="14"/>
    </row>
    <row r="2939" spans="1:13" x14ac:dyDescent="0.25">
      <c r="A2939" s="14"/>
      <c r="B2939" s="14"/>
      <c r="C2939" s="14"/>
      <c r="D2939" s="92"/>
      <c r="E2939" s="14"/>
      <c r="F2939" s="14"/>
      <c r="G2939" s="14"/>
      <c r="H2939" s="14"/>
      <c r="I2939" s="67"/>
      <c r="J2939" s="14"/>
      <c r="K2939" s="14"/>
      <c r="L2939" s="14"/>
      <c r="M2939" s="14"/>
    </row>
    <row r="2940" spans="1:13" x14ac:dyDescent="0.25">
      <c r="A2940" s="14"/>
      <c r="B2940" s="14"/>
      <c r="C2940" s="14"/>
      <c r="D2940" s="92"/>
      <c r="E2940" s="14"/>
      <c r="F2940" s="14"/>
      <c r="G2940" s="14"/>
      <c r="H2940" s="14"/>
      <c r="I2940" s="67"/>
      <c r="J2940" s="14"/>
      <c r="K2940" s="14"/>
      <c r="L2940" s="14"/>
      <c r="M2940" s="14"/>
    </row>
    <row r="2941" spans="1:13" x14ac:dyDescent="0.25">
      <c r="A2941" s="14"/>
      <c r="B2941" s="14"/>
      <c r="C2941" s="14"/>
      <c r="D2941" s="92"/>
      <c r="E2941" s="14"/>
      <c r="F2941" s="14"/>
      <c r="G2941" s="14"/>
      <c r="H2941" s="14"/>
      <c r="I2941" s="67"/>
      <c r="J2941" s="14"/>
      <c r="K2941" s="14"/>
      <c r="L2941" s="14"/>
      <c r="M2941" s="14"/>
    </row>
    <row r="2942" spans="1:13" x14ac:dyDescent="0.25">
      <c r="A2942" s="14"/>
      <c r="B2942" s="14"/>
      <c r="C2942" s="14"/>
      <c r="D2942" s="92"/>
      <c r="E2942" s="14"/>
      <c r="F2942" s="14"/>
      <c r="G2942" s="14"/>
      <c r="H2942" s="14"/>
      <c r="I2942" s="67"/>
      <c r="J2942" s="14"/>
      <c r="K2942" s="14"/>
      <c r="L2942" s="14"/>
      <c r="M2942" s="14"/>
    </row>
    <row r="2943" spans="1:13" x14ac:dyDescent="0.25">
      <c r="A2943" s="14"/>
      <c r="B2943" s="14"/>
      <c r="C2943" s="14"/>
      <c r="D2943" s="92"/>
      <c r="E2943" s="14"/>
      <c r="F2943" s="14"/>
      <c r="G2943" s="14"/>
      <c r="H2943" s="14"/>
      <c r="I2943" s="67"/>
      <c r="J2943" s="14"/>
      <c r="K2943" s="14"/>
      <c r="L2943" s="14"/>
      <c r="M2943" s="14"/>
    </row>
    <row r="2944" spans="1:13" x14ac:dyDescent="0.25">
      <c r="A2944" s="14"/>
      <c r="B2944" s="14"/>
      <c r="C2944" s="14"/>
      <c r="D2944" s="92"/>
      <c r="E2944" s="14"/>
      <c r="F2944" s="14"/>
      <c r="G2944" s="14"/>
      <c r="H2944" s="14"/>
      <c r="I2944" s="67"/>
      <c r="J2944" s="14"/>
      <c r="K2944" s="14"/>
      <c r="L2944" s="14"/>
      <c r="M2944" s="14"/>
    </row>
    <row r="2945" spans="1:13" x14ac:dyDescent="0.25">
      <c r="A2945" s="14"/>
      <c r="B2945" s="14"/>
      <c r="C2945" s="14"/>
      <c r="D2945" s="92"/>
      <c r="E2945" s="14"/>
      <c r="F2945" s="14"/>
      <c r="G2945" s="14"/>
      <c r="H2945" s="14"/>
      <c r="I2945" s="67"/>
      <c r="J2945" s="14"/>
      <c r="K2945" s="14"/>
      <c r="L2945" s="14"/>
      <c r="M2945" s="14"/>
    </row>
    <row r="2946" spans="1:13" x14ac:dyDescent="0.25">
      <c r="A2946" s="14"/>
      <c r="B2946" s="14"/>
      <c r="C2946" s="14"/>
      <c r="D2946" s="92"/>
      <c r="E2946" s="14"/>
      <c r="F2946" s="14"/>
      <c r="G2946" s="14"/>
      <c r="H2946" s="14"/>
      <c r="I2946" s="67"/>
      <c r="J2946" s="14"/>
      <c r="K2946" s="14"/>
      <c r="L2946" s="14"/>
      <c r="M2946" s="14"/>
    </row>
    <row r="2947" spans="1:13" x14ac:dyDescent="0.25">
      <c r="A2947" s="14"/>
      <c r="B2947" s="14"/>
      <c r="C2947" s="14"/>
      <c r="D2947" s="92"/>
      <c r="E2947" s="14"/>
      <c r="F2947" s="14"/>
      <c r="G2947" s="14"/>
      <c r="H2947" s="14"/>
      <c r="I2947" s="67"/>
      <c r="J2947" s="14"/>
      <c r="K2947" s="14"/>
      <c r="L2947" s="14"/>
      <c r="M2947" s="14"/>
    </row>
    <row r="2948" spans="1:13" x14ac:dyDescent="0.25">
      <c r="A2948" s="14"/>
      <c r="B2948" s="14"/>
      <c r="C2948" s="14"/>
      <c r="D2948" s="92"/>
      <c r="E2948" s="14"/>
      <c r="F2948" s="14"/>
      <c r="G2948" s="14"/>
      <c r="H2948" s="14"/>
      <c r="I2948" s="67"/>
      <c r="J2948" s="14"/>
      <c r="K2948" s="14"/>
      <c r="L2948" s="14"/>
      <c r="M2948" s="14"/>
    </row>
    <row r="2949" spans="1:13" x14ac:dyDescent="0.25">
      <c r="A2949" s="14"/>
      <c r="B2949" s="14"/>
      <c r="C2949" s="14"/>
      <c r="D2949" s="92"/>
      <c r="E2949" s="14"/>
      <c r="F2949" s="14"/>
      <c r="G2949" s="14"/>
      <c r="H2949" s="14"/>
      <c r="I2949" s="67"/>
      <c r="J2949" s="14"/>
      <c r="K2949" s="14"/>
      <c r="L2949" s="14"/>
      <c r="M2949" s="14"/>
    </row>
    <row r="2950" spans="1:13" x14ac:dyDescent="0.25">
      <c r="A2950" s="14"/>
      <c r="B2950" s="14"/>
      <c r="C2950" s="14"/>
      <c r="D2950" s="92"/>
      <c r="E2950" s="14"/>
      <c r="F2950" s="14"/>
      <c r="G2950" s="14"/>
      <c r="H2950" s="14"/>
      <c r="I2950" s="67"/>
      <c r="J2950" s="14"/>
      <c r="K2950" s="14"/>
      <c r="L2950" s="14"/>
      <c r="M2950" s="14"/>
    </row>
    <row r="2951" spans="1:13" x14ac:dyDescent="0.25">
      <c r="A2951" s="14"/>
      <c r="B2951" s="14"/>
      <c r="C2951" s="14"/>
      <c r="D2951" s="92"/>
      <c r="E2951" s="14"/>
      <c r="F2951" s="14"/>
      <c r="G2951" s="14"/>
      <c r="H2951" s="14"/>
      <c r="I2951" s="67"/>
      <c r="J2951" s="14"/>
      <c r="K2951" s="14"/>
      <c r="L2951" s="14"/>
      <c r="M2951" s="14"/>
    </row>
    <row r="2952" spans="1:13" x14ac:dyDescent="0.25">
      <c r="A2952" s="14"/>
      <c r="B2952" s="14"/>
      <c r="C2952" s="14"/>
      <c r="D2952" s="92"/>
      <c r="E2952" s="14"/>
      <c r="F2952" s="14"/>
      <c r="G2952" s="14"/>
      <c r="H2952" s="14"/>
      <c r="I2952" s="67"/>
      <c r="J2952" s="14"/>
      <c r="K2952" s="14"/>
      <c r="L2952" s="14"/>
      <c r="M2952" s="14"/>
    </row>
    <row r="2953" spans="1:13" x14ac:dyDescent="0.25">
      <c r="A2953" s="14"/>
      <c r="B2953" s="14"/>
      <c r="C2953" s="14"/>
      <c r="D2953" s="92"/>
      <c r="E2953" s="14"/>
      <c r="F2953" s="14"/>
      <c r="G2953" s="14"/>
      <c r="H2953" s="14"/>
      <c r="I2953" s="67"/>
      <c r="J2953" s="14"/>
      <c r="K2953" s="14"/>
      <c r="L2953" s="14"/>
      <c r="M2953" s="14"/>
    </row>
    <row r="2954" spans="1:13" x14ac:dyDescent="0.25">
      <c r="A2954" s="14"/>
      <c r="B2954" s="14"/>
      <c r="C2954" s="14"/>
      <c r="D2954" s="92"/>
      <c r="E2954" s="14"/>
      <c r="F2954" s="14"/>
      <c r="G2954" s="14"/>
      <c r="H2954" s="14"/>
      <c r="I2954" s="67"/>
      <c r="J2954" s="14"/>
      <c r="K2954" s="14"/>
      <c r="L2954" s="14"/>
      <c r="M2954" s="14"/>
    </row>
    <row r="2955" spans="1:13" x14ac:dyDescent="0.25">
      <c r="A2955" s="14"/>
      <c r="B2955" s="14"/>
      <c r="C2955" s="14"/>
      <c r="D2955" s="92"/>
      <c r="E2955" s="14"/>
      <c r="F2955" s="14"/>
      <c r="G2955" s="14"/>
      <c r="H2955" s="14"/>
      <c r="I2955" s="67"/>
      <c r="J2955" s="14"/>
      <c r="K2955" s="14"/>
      <c r="L2955" s="14"/>
      <c r="M2955" s="14"/>
    </row>
    <row r="2956" spans="1:13" x14ac:dyDescent="0.25">
      <c r="A2956" s="14"/>
      <c r="B2956" s="14"/>
      <c r="C2956" s="14"/>
      <c r="D2956" s="92"/>
      <c r="E2956" s="14"/>
      <c r="F2956" s="14"/>
      <c r="G2956" s="14"/>
      <c r="H2956" s="14"/>
      <c r="I2956" s="67"/>
      <c r="J2956" s="14"/>
      <c r="K2956" s="14"/>
      <c r="L2956" s="14"/>
      <c r="M2956" s="14"/>
    </row>
    <row r="2957" spans="1:13" x14ac:dyDescent="0.25">
      <c r="A2957" s="14"/>
      <c r="B2957" s="14"/>
      <c r="C2957" s="14"/>
      <c r="D2957" s="92"/>
      <c r="E2957" s="14"/>
      <c r="F2957" s="14"/>
      <c r="G2957" s="14"/>
      <c r="H2957" s="14"/>
      <c r="I2957" s="67"/>
      <c r="J2957" s="14"/>
      <c r="K2957" s="14"/>
      <c r="L2957" s="14"/>
      <c r="M2957" s="14"/>
    </row>
    <row r="2958" spans="1:13" x14ac:dyDescent="0.25">
      <c r="A2958" s="14"/>
      <c r="B2958" s="14"/>
      <c r="C2958" s="14"/>
      <c r="D2958" s="92"/>
      <c r="E2958" s="14"/>
      <c r="F2958" s="14"/>
      <c r="G2958" s="14"/>
      <c r="H2958" s="14"/>
      <c r="I2958" s="67"/>
      <c r="J2958" s="14"/>
      <c r="K2958" s="14"/>
      <c r="L2958" s="14"/>
      <c r="M2958" s="14"/>
    </row>
    <row r="2959" spans="1:13" x14ac:dyDescent="0.25">
      <c r="A2959" s="14"/>
      <c r="B2959" s="14"/>
      <c r="C2959" s="14"/>
      <c r="D2959" s="92"/>
      <c r="E2959" s="14"/>
      <c r="F2959" s="14"/>
      <c r="G2959" s="14"/>
      <c r="H2959" s="14"/>
      <c r="I2959" s="67"/>
      <c r="J2959" s="14"/>
      <c r="K2959" s="14"/>
      <c r="L2959" s="14"/>
      <c r="M2959" s="14"/>
    </row>
    <row r="2960" spans="1:13" x14ac:dyDescent="0.25">
      <c r="A2960" s="14"/>
      <c r="B2960" s="14"/>
      <c r="C2960" s="14"/>
      <c r="D2960" s="92"/>
      <c r="E2960" s="14"/>
      <c r="F2960" s="14"/>
      <c r="G2960" s="14"/>
      <c r="H2960" s="14"/>
      <c r="I2960" s="67"/>
      <c r="J2960" s="14"/>
      <c r="K2960" s="14"/>
      <c r="L2960" s="14"/>
      <c r="M2960" s="14"/>
    </row>
    <row r="2961" spans="1:13" x14ac:dyDescent="0.25">
      <c r="A2961" s="14"/>
      <c r="B2961" s="14"/>
      <c r="C2961" s="14"/>
      <c r="D2961" s="92"/>
      <c r="E2961" s="14"/>
      <c r="F2961" s="14"/>
      <c r="G2961" s="14"/>
      <c r="H2961" s="14"/>
      <c r="I2961" s="67"/>
      <c r="J2961" s="14"/>
      <c r="K2961" s="14"/>
      <c r="L2961" s="14"/>
      <c r="M2961" s="14"/>
    </row>
    <row r="2962" spans="1:13" x14ac:dyDescent="0.25">
      <c r="A2962" s="14"/>
      <c r="B2962" s="14"/>
      <c r="C2962" s="14"/>
      <c r="D2962" s="92"/>
      <c r="E2962" s="14"/>
      <c r="F2962" s="14"/>
      <c r="G2962" s="14"/>
      <c r="H2962" s="14"/>
      <c r="I2962" s="67"/>
      <c r="J2962" s="14"/>
      <c r="K2962" s="14"/>
      <c r="L2962" s="14"/>
      <c r="M2962" s="14"/>
    </row>
    <row r="2963" spans="1:13" x14ac:dyDescent="0.25">
      <c r="A2963" s="14"/>
      <c r="B2963" s="14"/>
      <c r="C2963" s="14"/>
      <c r="D2963" s="92"/>
      <c r="E2963" s="14"/>
      <c r="F2963" s="14"/>
      <c r="G2963" s="14"/>
      <c r="H2963" s="14"/>
      <c r="I2963" s="67"/>
      <c r="J2963" s="14"/>
      <c r="K2963" s="14"/>
      <c r="L2963" s="14"/>
      <c r="M2963" s="14"/>
    </row>
    <row r="2964" spans="1:13" x14ac:dyDescent="0.25">
      <c r="A2964" s="14"/>
      <c r="B2964" s="14"/>
      <c r="C2964" s="14"/>
      <c r="D2964" s="92"/>
      <c r="E2964" s="14"/>
      <c r="F2964" s="14"/>
      <c r="G2964" s="14"/>
      <c r="H2964" s="14"/>
      <c r="I2964" s="67"/>
      <c r="J2964" s="14"/>
      <c r="K2964" s="14"/>
      <c r="L2964" s="14"/>
      <c r="M2964" s="14"/>
    </row>
    <row r="2965" spans="1:13" x14ac:dyDescent="0.25">
      <c r="A2965" s="14"/>
      <c r="B2965" s="14"/>
      <c r="C2965" s="14"/>
      <c r="D2965" s="92"/>
      <c r="E2965" s="14"/>
      <c r="F2965" s="14"/>
      <c r="G2965" s="14"/>
      <c r="H2965" s="14"/>
      <c r="I2965" s="67"/>
      <c r="J2965" s="14"/>
      <c r="K2965" s="14"/>
      <c r="L2965" s="14"/>
      <c r="M2965" s="14"/>
    </row>
    <row r="2966" spans="1:13" x14ac:dyDescent="0.25">
      <c r="A2966" s="14"/>
      <c r="B2966" s="14"/>
      <c r="C2966" s="14"/>
      <c r="D2966" s="92"/>
      <c r="E2966" s="14"/>
      <c r="F2966" s="14"/>
      <c r="G2966" s="14"/>
      <c r="H2966" s="14"/>
      <c r="I2966" s="67"/>
      <c r="J2966" s="14"/>
      <c r="K2966" s="14"/>
      <c r="L2966" s="14"/>
      <c r="M2966" s="14"/>
    </row>
    <row r="2967" spans="1:13" x14ac:dyDescent="0.25">
      <c r="A2967" s="14"/>
      <c r="B2967" s="14"/>
      <c r="C2967" s="14"/>
      <c r="D2967" s="92"/>
      <c r="E2967" s="14"/>
      <c r="F2967" s="14"/>
      <c r="G2967" s="14"/>
      <c r="H2967" s="14"/>
      <c r="I2967" s="67"/>
      <c r="J2967" s="14"/>
      <c r="K2967" s="14"/>
      <c r="L2967" s="14"/>
      <c r="M2967" s="14"/>
    </row>
    <row r="2968" spans="1:13" x14ac:dyDescent="0.25">
      <c r="A2968" s="14"/>
      <c r="B2968" s="14"/>
      <c r="C2968" s="14"/>
      <c r="D2968" s="92"/>
      <c r="E2968" s="14"/>
      <c r="F2968" s="14"/>
      <c r="G2968" s="14"/>
      <c r="H2968" s="14"/>
      <c r="I2968" s="67"/>
      <c r="J2968" s="14"/>
      <c r="K2968" s="14"/>
      <c r="L2968" s="14"/>
      <c r="M2968" s="14"/>
    </row>
    <row r="2969" spans="1:13" x14ac:dyDescent="0.25">
      <c r="A2969" s="14"/>
      <c r="B2969" s="14"/>
      <c r="C2969" s="14"/>
      <c r="D2969" s="92"/>
      <c r="E2969" s="14"/>
      <c r="F2969" s="14"/>
      <c r="G2969" s="14"/>
      <c r="H2969" s="14"/>
      <c r="I2969" s="67"/>
      <c r="J2969" s="14"/>
      <c r="K2969" s="14"/>
      <c r="L2969" s="14"/>
      <c r="M2969" s="14"/>
    </row>
    <row r="2970" spans="1:13" x14ac:dyDescent="0.25">
      <c r="A2970" s="14"/>
      <c r="B2970" s="14"/>
      <c r="C2970" s="14"/>
      <c r="D2970" s="92"/>
      <c r="E2970" s="14"/>
      <c r="F2970" s="14"/>
      <c r="G2970" s="14"/>
      <c r="H2970" s="14"/>
      <c r="I2970" s="67"/>
      <c r="J2970" s="14"/>
      <c r="K2970" s="14"/>
      <c r="L2970" s="14"/>
      <c r="M2970" s="14"/>
    </row>
    <row r="2971" spans="1:13" x14ac:dyDescent="0.25">
      <c r="A2971" s="14"/>
      <c r="B2971" s="14"/>
      <c r="C2971" s="14"/>
      <c r="D2971" s="92"/>
      <c r="E2971" s="14"/>
      <c r="F2971" s="14"/>
      <c r="G2971" s="14"/>
      <c r="H2971" s="14"/>
      <c r="I2971" s="67"/>
      <c r="J2971" s="14"/>
      <c r="K2971" s="14"/>
      <c r="L2971" s="14"/>
      <c r="M2971" s="14"/>
    </row>
    <row r="2972" spans="1:13" x14ac:dyDescent="0.25">
      <c r="A2972" s="14"/>
      <c r="B2972" s="14"/>
      <c r="C2972" s="14"/>
      <c r="D2972" s="92"/>
      <c r="E2972" s="14"/>
      <c r="F2972" s="14"/>
      <c r="G2972" s="14"/>
      <c r="H2972" s="14"/>
      <c r="I2972" s="67"/>
      <c r="J2972" s="14"/>
      <c r="K2972" s="14"/>
      <c r="L2972" s="14"/>
      <c r="M2972" s="14"/>
    </row>
    <row r="2973" spans="1:13" x14ac:dyDescent="0.25">
      <c r="A2973" s="14"/>
      <c r="B2973" s="14"/>
      <c r="C2973" s="14"/>
      <c r="D2973" s="92"/>
      <c r="E2973" s="14"/>
      <c r="F2973" s="14"/>
      <c r="G2973" s="14"/>
      <c r="H2973" s="14"/>
      <c r="I2973" s="67"/>
      <c r="J2973" s="14"/>
      <c r="K2973" s="14"/>
      <c r="L2973" s="14"/>
      <c r="M2973" s="14"/>
    </row>
    <row r="2974" spans="1:13" x14ac:dyDescent="0.25">
      <c r="A2974" s="14"/>
      <c r="B2974" s="14"/>
      <c r="C2974" s="14"/>
      <c r="D2974" s="92"/>
      <c r="E2974" s="14"/>
      <c r="F2974" s="14"/>
      <c r="G2974" s="14"/>
      <c r="H2974" s="14"/>
      <c r="I2974" s="67"/>
      <c r="J2974" s="14"/>
      <c r="K2974" s="14"/>
      <c r="L2974" s="14"/>
      <c r="M2974" s="14"/>
    </row>
    <row r="2975" spans="1:13" x14ac:dyDescent="0.25">
      <c r="A2975" s="14"/>
      <c r="B2975" s="14"/>
      <c r="C2975" s="14"/>
      <c r="D2975" s="92"/>
      <c r="E2975" s="14"/>
      <c r="F2975" s="14"/>
      <c r="G2975" s="14"/>
      <c r="H2975" s="14"/>
      <c r="I2975" s="67"/>
      <c r="J2975" s="14"/>
      <c r="K2975" s="14"/>
      <c r="L2975" s="14"/>
      <c r="M2975" s="14"/>
    </row>
    <row r="2976" spans="1:13" x14ac:dyDescent="0.25">
      <c r="A2976" s="14"/>
      <c r="B2976" s="14"/>
      <c r="C2976" s="14"/>
      <c r="D2976" s="92"/>
      <c r="E2976" s="14"/>
      <c r="F2976" s="14"/>
      <c r="G2976" s="14"/>
      <c r="H2976" s="14"/>
      <c r="I2976" s="67"/>
      <c r="J2976" s="14"/>
      <c r="K2976" s="14"/>
      <c r="L2976" s="14"/>
      <c r="M2976" s="14"/>
    </row>
    <row r="2977" spans="1:13" x14ac:dyDescent="0.25">
      <c r="A2977" s="14"/>
      <c r="B2977" s="14"/>
      <c r="C2977" s="14"/>
      <c r="D2977" s="92"/>
      <c r="E2977" s="14"/>
      <c r="F2977" s="14"/>
      <c r="G2977" s="14"/>
      <c r="H2977" s="14"/>
      <c r="I2977" s="67"/>
      <c r="J2977" s="14"/>
      <c r="K2977" s="14"/>
      <c r="L2977" s="14"/>
      <c r="M2977" s="14"/>
    </row>
    <row r="2978" spans="1:13" x14ac:dyDescent="0.25">
      <c r="A2978" s="14"/>
      <c r="B2978" s="14"/>
      <c r="C2978" s="14"/>
      <c r="D2978" s="92"/>
      <c r="E2978" s="14"/>
      <c r="F2978" s="14"/>
      <c r="G2978" s="14"/>
      <c r="H2978" s="14"/>
      <c r="I2978" s="67"/>
      <c r="J2978" s="14"/>
      <c r="K2978" s="14"/>
      <c r="L2978" s="14"/>
      <c r="M2978" s="14"/>
    </row>
    <row r="2979" spans="1:13" x14ac:dyDescent="0.25">
      <c r="A2979" s="14"/>
      <c r="B2979" s="14"/>
      <c r="C2979" s="14"/>
      <c r="D2979" s="92"/>
      <c r="E2979" s="14"/>
      <c r="F2979" s="14"/>
      <c r="G2979" s="14"/>
      <c r="H2979" s="14"/>
      <c r="I2979" s="67"/>
      <c r="J2979" s="14"/>
      <c r="K2979" s="14"/>
      <c r="L2979" s="14"/>
      <c r="M2979" s="14"/>
    </row>
    <row r="2980" spans="1:13" x14ac:dyDescent="0.25">
      <c r="A2980" s="14"/>
      <c r="B2980" s="14"/>
      <c r="C2980" s="14"/>
      <c r="D2980" s="92"/>
      <c r="E2980" s="14"/>
      <c r="F2980" s="14"/>
      <c r="G2980" s="14"/>
      <c r="H2980" s="14"/>
      <c r="I2980" s="67"/>
      <c r="J2980" s="14"/>
      <c r="K2980" s="14"/>
      <c r="L2980" s="14"/>
      <c r="M2980" s="14"/>
    </row>
    <row r="2981" spans="1:13" x14ac:dyDescent="0.25">
      <c r="A2981" s="14"/>
      <c r="B2981" s="14"/>
      <c r="C2981" s="14"/>
      <c r="D2981" s="92"/>
      <c r="E2981" s="14"/>
      <c r="F2981" s="14"/>
      <c r="G2981" s="14"/>
      <c r="H2981" s="14"/>
      <c r="I2981" s="67"/>
      <c r="J2981" s="14"/>
      <c r="K2981" s="14"/>
      <c r="L2981" s="14"/>
      <c r="M2981" s="14"/>
    </row>
    <row r="2982" spans="1:13" x14ac:dyDescent="0.25">
      <c r="A2982" s="14"/>
      <c r="B2982" s="14"/>
      <c r="C2982" s="14"/>
      <c r="D2982" s="92"/>
      <c r="E2982" s="14"/>
      <c r="F2982" s="14"/>
      <c r="G2982" s="14"/>
      <c r="H2982" s="14"/>
      <c r="I2982" s="67"/>
      <c r="J2982" s="14"/>
      <c r="K2982" s="14"/>
      <c r="L2982" s="14"/>
      <c r="M2982" s="14"/>
    </row>
    <row r="2983" spans="1:13" x14ac:dyDescent="0.25">
      <c r="A2983" s="14"/>
      <c r="B2983" s="14"/>
      <c r="C2983" s="14"/>
      <c r="D2983" s="92"/>
      <c r="E2983" s="14"/>
      <c r="F2983" s="14"/>
      <c r="G2983" s="14"/>
      <c r="H2983" s="14"/>
      <c r="I2983" s="67"/>
      <c r="J2983" s="14"/>
      <c r="K2983" s="14"/>
      <c r="L2983" s="14"/>
      <c r="M2983" s="14"/>
    </row>
    <row r="2984" spans="1:13" x14ac:dyDescent="0.25">
      <c r="A2984" s="14"/>
      <c r="B2984" s="14"/>
      <c r="C2984" s="14"/>
      <c r="D2984" s="92"/>
      <c r="E2984" s="14"/>
      <c r="F2984" s="14"/>
      <c r="G2984" s="14"/>
      <c r="H2984" s="14"/>
      <c r="I2984" s="67"/>
      <c r="J2984" s="14"/>
      <c r="K2984" s="14"/>
      <c r="L2984" s="14"/>
      <c r="M2984" s="14"/>
    </row>
    <row r="2985" spans="1:13" x14ac:dyDescent="0.25">
      <c r="A2985" s="14"/>
      <c r="B2985" s="14"/>
      <c r="C2985" s="14"/>
      <c r="D2985" s="92"/>
      <c r="E2985" s="14"/>
      <c r="F2985" s="14"/>
      <c r="G2985" s="14"/>
      <c r="H2985" s="14"/>
      <c r="I2985" s="67"/>
      <c r="J2985" s="14"/>
      <c r="K2985" s="14"/>
      <c r="L2985" s="14"/>
      <c r="M2985" s="14"/>
    </row>
    <row r="2986" spans="1:13" x14ac:dyDescent="0.25">
      <c r="A2986" s="14"/>
      <c r="B2986" s="14"/>
      <c r="C2986" s="14"/>
      <c r="D2986" s="92"/>
      <c r="E2986" s="14"/>
      <c r="F2986" s="14"/>
      <c r="G2986" s="14"/>
      <c r="H2986" s="14"/>
      <c r="I2986" s="67"/>
      <c r="J2986" s="14"/>
      <c r="K2986" s="14"/>
      <c r="L2986" s="14"/>
      <c r="M2986" s="14"/>
    </row>
    <row r="2987" spans="1:13" x14ac:dyDescent="0.25">
      <c r="A2987" s="14"/>
      <c r="B2987" s="14"/>
      <c r="C2987" s="14"/>
      <c r="D2987" s="92"/>
      <c r="E2987" s="14"/>
      <c r="F2987" s="14"/>
      <c r="G2987" s="14"/>
      <c r="H2987" s="14"/>
      <c r="I2987" s="67"/>
      <c r="J2987" s="14"/>
      <c r="K2987" s="14"/>
      <c r="L2987" s="14"/>
      <c r="M2987" s="14"/>
    </row>
    <row r="2988" spans="1:13" x14ac:dyDescent="0.25">
      <c r="A2988" s="14"/>
      <c r="B2988" s="14"/>
      <c r="C2988" s="14"/>
      <c r="D2988" s="92"/>
      <c r="E2988" s="14"/>
      <c r="F2988" s="14"/>
      <c r="G2988" s="14"/>
      <c r="H2988" s="14"/>
      <c r="I2988" s="67"/>
      <c r="J2988" s="14"/>
      <c r="K2988" s="14"/>
      <c r="L2988" s="14"/>
      <c r="M2988" s="14"/>
    </row>
    <row r="2989" spans="1:13" x14ac:dyDescent="0.25">
      <c r="A2989" s="14"/>
      <c r="B2989" s="14"/>
      <c r="C2989" s="14"/>
      <c r="D2989" s="92"/>
      <c r="E2989" s="14"/>
      <c r="F2989" s="14"/>
      <c r="G2989" s="14"/>
      <c r="H2989" s="14"/>
      <c r="I2989" s="67"/>
      <c r="J2989" s="14"/>
      <c r="K2989" s="14"/>
      <c r="L2989" s="14"/>
      <c r="M2989" s="14"/>
    </row>
    <row r="2990" spans="1:13" x14ac:dyDescent="0.25">
      <c r="A2990" s="14"/>
      <c r="B2990" s="14"/>
      <c r="C2990" s="14"/>
      <c r="D2990" s="92"/>
      <c r="E2990" s="14"/>
      <c r="F2990" s="14"/>
      <c r="G2990" s="14"/>
      <c r="H2990" s="14"/>
      <c r="I2990" s="67"/>
      <c r="J2990" s="14"/>
      <c r="K2990" s="14"/>
      <c r="L2990" s="14"/>
      <c r="M2990" s="14"/>
    </row>
    <row r="2991" spans="1:13" x14ac:dyDescent="0.25">
      <c r="A2991" s="14"/>
      <c r="B2991" s="14"/>
      <c r="C2991" s="14"/>
      <c r="D2991" s="92"/>
      <c r="E2991" s="14"/>
      <c r="F2991" s="14"/>
      <c r="G2991" s="14"/>
      <c r="H2991" s="14"/>
      <c r="I2991" s="67"/>
      <c r="J2991" s="14"/>
      <c r="K2991" s="14"/>
      <c r="L2991" s="14"/>
      <c r="M2991" s="14"/>
    </row>
    <row r="2992" spans="1:13" x14ac:dyDescent="0.25">
      <c r="A2992" s="14"/>
      <c r="B2992" s="14"/>
      <c r="C2992" s="14"/>
      <c r="D2992" s="92"/>
      <c r="E2992" s="14"/>
      <c r="F2992" s="14"/>
      <c r="G2992" s="14"/>
      <c r="H2992" s="14"/>
      <c r="I2992" s="67"/>
      <c r="J2992" s="14"/>
      <c r="K2992" s="14"/>
      <c r="L2992" s="14"/>
      <c r="M2992" s="14"/>
    </row>
    <row r="2993" spans="1:13" x14ac:dyDescent="0.25">
      <c r="A2993" s="14"/>
      <c r="B2993" s="14"/>
      <c r="C2993" s="14"/>
      <c r="D2993" s="92"/>
      <c r="E2993" s="14"/>
      <c r="F2993" s="14"/>
      <c r="G2993" s="14"/>
      <c r="H2993" s="14"/>
      <c r="I2993" s="67"/>
      <c r="J2993" s="14"/>
      <c r="K2993" s="14"/>
      <c r="L2993" s="14"/>
      <c r="M2993" s="14"/>
    </row>
    <row r="2994" spans="1:13" x14ac:dyDescent="0.25">
      <c r="A2994" s="14"/>
      <c r="B2994" s="14"/>
      <c r="C2994" s="14"/>
      <c r="D2994" s="92"/>
      <c r="E2994" s="14"/>
      <c r="F2994" s="14"/>
      <c r="G2994" s="14"/>
      <c r="H2994" s="14"/>
      <c r="I2994" s="67"/>
      <c r="J2994" s="14"/>
      <c r="K2994" s="14"/>
      <c r="L2994" s="14"/>
      <c r="M2994" s="14"/>
    </row>
    <row r="2995" spans="1:13" x14ac:dyDescent="0.25">
      <c r="A2995" s="14"/>
      <c r="B2995" s="14"/>
      <c r="C2995" s="14"/>
      <c r="D2995" s="92"/>
      <c r="E2995" s="14"/>
      <c r="F2995" s="14"/>
      <c r="G2995" s="14"/>
      <c r="H2995" s="14"/>
      <c r="I2995" s="67"/>
      <c r="J2995" s="14"/>
      <c r="K2995" s="14"/>
      <c r="L2995" s="14"/>
      <c r="M2995" s="14"/>
    </row>
    <row r="2996" spans="1:13" x14ac:dyDescent="0.25">
      <c r="A2996" s="14"/>
      <c r="B2996" s="14"/>
      <c r="C2996" s="14"/>
      <c r="D2996" s="92"/>
      <c r="E2996" s="14"/>
      <c r="F2996" s="14"/>
      <c r="G2996" s="14"/>
      <c r="H2996" s="14"/>
      <c r="I2996" s="67"/>
      <c r="J2996" s="14"/>
      <c r="K2996" s="14"/>
      <c r="L2996" s="14"/>
      <c r="M2996" s="14"/>
    </row>
    <row r="2997" spans="1:13" x14ac:dyDescent="0.25">
      <c r="A2997" s="14"/>
      <c r="B2997" s="14"/>
      <c r="C2997" s="14"/>
      <c r="D2997" s="92"/>
      <c r="E2997" s="14"/>
      <c r="F2997" s="14"/>
      <c r="G2997" s="14"/>
      <c r="H2997" s="14"/>
      <c r="I2997" s="67"/>
      <c r="J2997" s="14"/>
      <c r="K2997" s="14"/>
      <c r="L2997" s="14"/>
      <c r="M2997" s="14"/>
    </row>
    <row r="2998" spans="1:13" x14ac:dyDescent="0.25">
      <c r="A2998" s="14"/>
      <c r="B2998" s="14"/>
      <c r="C2998" s="14"/>
      <c r="D2998" s="92"/>
      <c r="E2998" s="14"/>
      <c r="F2998" s="14"/>
      <c r="G2998" s="14"/>
      <c r="H2998" s="14"/>
      <c r="I2998" s="67"/>
      <c r="J2998" s="14"/>
      <c r="K2998" s="14"/>
      <c r="L2998" s="14"/>
      <c r="M2998" s="14"/>
    </row>
    <row r="2999" spans="1:13" x14ac:dyDescent="0.25">
      <c r="A2999" s="14"/>
      <c r="B2999" s="14"/>
      <c r="C2999" s="14"/>
      <c r="D2999" s="92"/>
      <c r="E2999" s="14"/>
      <c r="F2999" s="14"/>
      <c r="G2999" s="14"/>
      <c r="H2999" s="14"/>
      <c r="I2999" s="67"/>
      <c r="J2999" s="14"/>
      <c r="K2999" s="14"/>
      <c r="L2999" s="14"/>
      <c r="M2999" s="14"/>
    </row>
    <row r="3000" spans="1:13" x14ac:dyDescent="0.25">
      <c r="A3000" s="14"/>
      <c r="B3000" s="14"/>
      <c r="C3000" s="14"/>
      <c r="D3000" s="92"/>
      <c r="E3000" s="14"/>
      <c r="F3000" s="14"/>
      <c r="G3000" s="14"/>
      <c r="H3000" s="14"/>
      <c r="I3000" s="67"/>
      <c r="J3000" s="14"/>
      <c r="K3000" s="14"/>
      <c r="L3000" s="14"/>
      <c r="M3000" s="14"/>
    </row>
    <row r="3001" spans="1:13" x14ac:dyDescent="0.25">
      <c r="A3001" s="14"/>
      <c r="B3001" s="14"/>
      <c r="C3001" s="14"/>
      <c r="D3001" s="92"/>
      <c r="E3001" s="14"/>
      <c r="F3001" s="14"/>
      <c r="G3001" s="14"/>
      <c r="H3001" s="14"/>
      <c r="I3001" s="67"/>
      <c r="J3001" s="14"/>
      <c r="K3001" s="14"/>
      <c r="L3001" s="14"/>
      <c r="M3001" s="14"/>
    </row>
    <row r="3002" spans="1:13" x14ac:dyDescent="0.25">
      <c r="A3002" s="14"/>
      <c r="B3002" s="14"/>
      <c r="C3002" s="14"/>
      <c r="D3002" s="92"/>
      <c r="E3002" s="14"/>
      <c r="F3002" s="14"/>
      <c r="G3002" s="14"/>
      <c r="H3002" s="14"/>
      <c r="I3002" s="67"/>
      <c r="J3002" s="14"/>
      <c r="K3002" s="14"/>
      <c r="L3002" s="14"/>
      <c r="M3002" s="14"/>
    </row>
    <row r="3003" spans="1:13" x14ac:dyDescent="0.25">
      <c r="A3003" s="14"/>
      <c r="B3003" s="14"/>
      <c r="C3003" s="14"/>
      <c r="D3003" s="92"/>
      <c r="E3003" s="14"/>
      <c r="F3003" s="14"/>
      <c r="G3003" s="14"/>
      <c r="H3003" s="14"/>
      <c r="I3003" s="67"/>
      <c r="J3003" s="14"/>
      <c r="K3003" s="14"/>
      <c r="L3003" s="14"/>
      <c r="M3003" s="14"/>
    </row>
    <row r="3004" spans="1:13" x14ac:dyDescent="0.25">
      <c r="A3004" s="14"/>
      <c r="B3004" s="14"/>
      <c r="C3004" s="14"/>
      <c r="D3004" s="92"/>
      <c r="E3004" s="14"/>
      <c r="F3004" s="14"/>
      <c r="G3004" s="14"/>
      <c r="H3004" s="14"/>
      <c r="I3004" s="67"/>
      <c r="J3004" s="14"/>
      <c r="K3004" s="14"/>
      <c r="L3004" s="14"/>
      <c r="M3004" s="14"/>
    </row>
    <row r="3005" spans="1:13" x14ac:dyDescent="0.25">
      <c r="A3005" s="14"/>
      <c r="B3005" s="14"/>
      <c r="C3005" s="14"/>
      <c r="D3005" s="92"/>
      <c r="E3005" s="14"/>
      <c r="F3005" s="14"/>
      <c r="G3005" s="14"/>
      <c r="H3005" s="14"/>
      <c r="I3005" s="67"/>
      <c r="J3005" s="14"/>
      <c r="K3005" s="14"/>
      <c r="L3005" s="14"/>
      <c r="M3005" s="14"/>
    </row>
    <row r="3006" spans="1:13" x14ac:dyDescent="0.25">
      <c r="A3006" s="14"/>
      <c r="B3006" s="14"/>
      <c r="C3006" s="14"/>
      <c r="D3006" s="92"/>
      <c r="E3006" s="14"/>
      <c r="F3006" s="14"/>
      <c r="G3006" s="14"/>
      <c r="H3006" s="14"/>
      <c r="I3006" s="67"/>
      <c r="J3006" s="14"/>
      <c r="K3006" s="14"/>
      <c r="L3006" s="14"/>
      <c r="M3006" s="14"/>
    </row>
    <row r="3007" spans="1:13" x14ac:dyDescent="0.25">
      <c r="A3007" s="14"/>
      <c r="B3007" s="14"/>
      <c r="C3007" s="14"/>
      <c r="D3007" s="92"/>
      <c r="E3007" s="14"/>
      <c r="F3007" s="14"/>
      <c r="G3007" s="14"/>
      <c r="H3007" s="14"/>
      <c r="I3007" s="67"/>
      <c r="J3007" s="14"/>
      <c r="K3007" s="14"/>
      <c r="L3007" s="14"/>
      <c r="M3007" s="14"/>
    </row>
    <row r="3008" spans="1:13" x14ac:dyDescent="0.25">
      <c r="A3008" s="14"/>
      <c r="B3008" s="14"/>
      <c r="C3008" s="14"/>
      <c r="D3008" s="92"/>
      <c r="E3008" s="14"/>
      <c r="F3008" s="14"/>
      <c r="G3008" s="14"/>
      <c r="H3008" s="14"/>
      <c r="I3008" s="67"/>
      <c r="J3008" s="14"/>
      <c r="K3008" s="14"/>
      <c r="L3008" s="14"/>
      <c r="M3008" s="14"/>
    </row>
    <row r="3009" spans="1:13" x14ac:dyDescent="0.25">
      <c r="A3009" s="14"/>
      <c r="B3009" s="14"/>
      <c r="C3009" s="14"/>
      <c r="D3009" s="92"/>
      <c r="E3009" s="14"/>
      <c r="F3009" s="14"/>
      <c r="G3009" s="14"/>
      <c r="H3009" s="14"/>
      <c r="I3009" s="67"/>
      <c r="J3009" s="14"/>
      <c r="K3009" s="14"/>
      <c r="L3009" s="14"/>
      <c r="M3009" s="14"/>
    </row>
    <row r="3010" spans="1:13" x14ac:dyDescent="0.25">
      <c r="A3010" s="14"/>
      <c r="B3010" s="14"/>
      <c r="C3010" s="14"/>
      <c r="D3010" s="92"/>
      <c r="E3010" s="14"/>
      <c r="F3010" s="14"/>
      <c r="G3010" s="14"/>
      <c r="H3010" s="14"/>
      <c r="I3010" s="67"/>
      <c r="J3010" s="14"/>
      <c r="K3010" s="14"/>
      <c r="L3010" s="14"/>
      <c r="M3010" s="14"/>
    </row>
    <row r="3011" spans="1:13" x14ac:dyDescent="0.25">
      <c r="A3011" s="14"/>
      <c r="B3011" s="14"/>
      <c r="C3011" s="14"/>
      <c r="D3011" s="92"/>
      <c r="E3011" s="14"/>
      <c r="F3011" s="14"/>
      <c r="G3011" s="14"/>
      <c r="H3011" s="14"/>
      <c r="I3011" s="67"/>
      <c r="J3011" s="14"/>
      <c r="K3011" s="14"/>
      <c r="L3011" s="14"/>
      <c r="M3011" s="14"/>
    </row>
    <row r="3012" spans="1:13" x14ac:dyDescent="0.25">
      <c r="A3012" s="14"/>
      <c r="B3012" s="14"/>
      <c r="C3012" s="14"/>
      <c r="D3012" s="92"/>
      <c r="E3012" s="14"/>
      <c r="F3012" s="14"/>
      <c r="G3012" s="14"/>
      <c r="H3012" s="14"/>
      <c r="I3012" s="67"/>
      <c r="J3012" s="14"/>
      <c r="K3012" s="14"/>
      <c r="L3012" s="14"/>
      <c r="M3012" s="14"/>
    </row>
    <row r="3013" spans="1:13" x14ac:dyDescent="0.25">
      <c r="A3013" s="14"/>
      <c r="B3013" s="14"/>
      <c r="C3013" s="14"/>
      <c r="D3013" s="92"/>
      <c r="E3013" s="14"/>
      <c r="F3013" s="14"/>
      <c r="G3013" s="14"/>
      <c r="H3013" s="14"/>
      <c r="I3013" s="67"/>
      <c r="J3013" s="14"/>
      <c r="K3013" s="14"/>
      <c r="L3013" s="14"/>
      <c r="M3013" s="14"/>
    </row>
    <row r="3014" spans="1:13" x14ac:dyDescent="0.25">
      <c r="A3014" s="14"/>
      <c r="B3014" s="14"/>
      <c r="C3014" s="14"/>
      <c r="D3014" s="92"/>
      <c r="E3014" s="14"/>
      <c r="F3014" s="14"/>
      <c r="G3014" s="14"/>
      <c r="H3014" s="14"/>
      <c r="I3014" s="67"/>
      <c r="J3014" s="14"/>
      <c r="K3014" s="14"/>
      <c r="L3014" s="14"/>
      <c r="M3014" s="14"/>
    </row>
    <row r="3015" spans="1:13" x14ac:dyDescent="0.25">
      <c r="A3015" s="14"/>
      <c r="B3015" s="14"/>
      <c r="C3015" s="14"/>
      <c r="D3015" s="92"/>
      <c r="E3015" s="14"/>
      <c r="F3015" s="14"/>
      <c r="G3015" s="14"/>
      <c r="H3015" s="14"/>
      <c r="I3015" s="67"/>
      <c r="J3015" s="14"/>
      <c r="K3015" s="14"/>
      <c r="L3015" s="14"/>
      <c r="M3015" s="14"/>
    </row>
    <row r="3016" spans="1:13" x14ac:dyDescent="0.25">
      <c r="A3016" s="14"/>
      <c r="B3016" s="14"/>
      <c r="C3016" s="14"/>
      <c r="D3016" s="92"/>
      <c r="E3016" s="14"/>
      <c r="F3016" s="14"/>
      <c r="G3016" s="14"/>
      <c r="H3016" s="14"/>
      <c r="I3016" s="67"/>
      <c r="J3016" s="14"/>
      <c r="K3016" s="14"/>
      <c r="L3016" s="14"/>
      <c r="M3016" s="14"/>
    </row>
    <row r="3017" spans="1:13" x14ac:dyDescent="0.25">
      <c r="A3017" s="14"/>
      <c r="B3017" s="14"/>
      <c r="C3017" s="14"/>
      <c r="D3017" s="92"/>
      <c r="E3017" s="14"/>
      <c r="F3017" s="14"/>
      <c r="G3017" s="14"/>
      <c r="H3017" s="14"/>
      <c r="I3017" s="67"/>
      <c r="J3017" s="14"/>
      <c r="K3017" s="14"/>
      <c r="L3017" s="14"/>
      <c r="M3017" s="14"/>
    </row>
    <row r="3018" spans="1:13" x14ac:dyDescent="0.25">
      <c r="A3018" s="14"/>
      <c r="B3018" s="14"/>
      <c r="C3018" s="14"/>
      <c r="D3018" s="92"/>
      <c r="E3018" s="14"/>
      <c r="F3018" s="14"/>
      <c r="G3018" s="14"/>
      <c r="H3018" s="14"/>
      <c r="I3018" s="67"/>
      <c r="J3018" s="14"/>
      <c r="K3018" s="14"/>
      <c r="L3018" s="14"/>
      <c r="M3018" s="14"/>
    </row>
    <row r="3019" spans="1:13" x14ac:dyDescent="0.25">
      <c r="A3019" s="14"/>
      <c r="B3019" s="14"/>
      <c r="C3019" s="14"/>
      <c r="D3019" s="92"/>
      <c r="E3019" s="14"/>
      <c r="F3019" s="14"/>
      <c r="G3019" s="14"/>
      <c r="H3019" s="14"/>
      <c r="I3019" s="67"/>
      <c r="J3019" s="14"/>
      <c r="K3019" s="14"/>
      <c r="L3019" s="14"/>
      <c r="M3019" s="14"/>
    </row>
    <row r="3020" spans="1:13" x14ac:dyDescent="0.25">
      <c r="A3020" s="14"/>
      <c r="B3020" s="14"/>
      <c r="C3020" s="14"/>
      <c r="D3020" s="92"/>
      <c r="E3020" s="14"/>
      <c r="F3020" s="14"/>
      <c r="G3020" s="14"/>
      <c r="H3020" s="14"/>
      <c r="I3020" s="67"/>
      <c r="J3020" s="14"/>
      <c r="K3020" s="14"/>
      <c r="L3020" s="14"/>
      <c r="M3020" s="14"/>
    </row>
    <row r="3021" spans="1:13" x14ac:dyDescent="0.25">
      <c r="A3021" s="14"/>
      <c r="B3021" s="14"/>
      <c r="C3021" s="14"/>
      <c r="D3021" s="92"/>
      <c r="E3021" s="14"/>
      <c r="F3021" s="14"/>
      <c r="G3021" s="14"/>
      <c r="H3021" s="14"/>
      <c r="I3021" s="67"/>
      <c r="J3021" s="14"/>
      <c r="K3021" s="14"/>
      <c r="L3021" s="14"/>
      <c r="M3021" s="14"/>
    </row>
    <row r="3022" spans="1:13" x14ac:dyDescent="0.25">
      <c r="A3022" s="14"/>
      <c r="B3022" s="14"/>
      <c r="C3022" s="14"/>
      <c r="D3022" s="92"/>
      <c r="E3022" s="14"/>
      <c r="F3022" s="14"/>
      <c r="G3022" s="14"/>
      <c r="H3022" s="14"/>
      <c r="I3022" s="67"/>
      <c r="J3022" s="14"/>
      <c r="K3022" s="14"/>
      <c r="L3022" s="14"/>
      <c r="M3022" s="14"/>
    </row>
    <row r="3023" spans="1:13" x14ac:dyDescent="0.25">
      <c r="A3023" s="14"/>
      <c r="B3023" s="14"/>
      <c r="C3023" s="14"/>
      <c r="D3023" s="92"/>
      <c r="E3023" s="14"/>
      <c r="F3023" s="14"/>
      <c r="G3023" s="14"/>
      <c r="H3023" s="14"/>
      <c r="I3023" s="67"/>
      <c r="J3023" s="14"/>
      <c r="K3023" s="14"/>
      <c r="L3023" s="14"/>
      <c r="M3023" s="14"/>
    </row>
    <row r="3024" spans="1:13" x14ac:dyDescent="0.25">
      <c r="A3024" s="14"/>
      <c r="B3024" s="14"/>
      <c r="C3024" s="14"/>
      <c r="D3024" s="92"/>
      <c r="E3024" s="14"/>
      <c r="F3024" s="14"/>
      <c r="G3024" s="14"/>
      <c r="H3024" s="14"/>
      <c r="I3024" s="67"/>
      <c r="J3024" s="14"/>
      <c r="K3024" s="14"/>
      <c r="L3024" s="14"/>
      <c r="M3024" s="14"/>
    </row>
    <row r="3025" spans="1:13" x14ac:dyDescent="0.25">
      <c r="A3025" s="14"/>
      <c r="B3025" s="14"/>
      <c r="C3025" s="14"/>
      <c r="D3025" s="92"/>
      <c r="E3025" s="14"/>
      <c r="F3025" s="14"/>
      <c r="G3025" s="14"/>
      <c r="H3025" s="14"/>
      <c r="I3025" s="67"/>
      <c r="J3025" s="14"/>
      <c r="K3025" s="14"/>
      <c r="L3025" s="14"/>
      <c r="M3025" s="14"/>
    </row>
    <row r="3026" spans="1:13" x14ac:dyDescent="0.25">
      <c r="A3026" s="14"/>
      <c r="B3026" s="14"/>
      <c r="C3026" s="14"/>
      <c r="D3026" s="92"/>
      <c r="E3026" s="14"/>
      <c r="F3026" s="14"/>
      <c r="G3026" s="14"/>
      <c r="H3026" s="14"/>
      <c r="I3026" s="67"/>
      <c r="J3026" s="14"/>
      <c r="K3026" s="14"/>
      <c r="L3026" s="14"/>
      <c r="M3026" s="14"/>
    </row>
    <row r="3027" spans="1:13" x14ac:dyDescent="0.25">
      <c r="A3027" s="14"/>
      <c r="B3027" s="14"/>
      <c r="C3027" s="14"/>
      <c r="D3027" s="92"/>
      <c r="E3027" s="14"/>
      <c r="F3027" s="14"/>
      <c r="G3027" s="14"/>
      <c r="H3027" s="14"/>
      <c r="I3027" s="67"/>
      <c r="J3027" s="14"/>
      <c r="K3027" s="14"/>
      <c r="L3027" s="14"/>
      <c r="M3027" s="14"/>
    </row>
    <row r="3028" spans="1:13" x14ac:dyDescent="0.25">
      <c r="A3028" s="14"/>
      <c r="B3028" s="14"/>
      <c r="C3028" s="14"/>
      <c r="D3028" s="92"/>
      <c r="E3028" s="14"/>
      <c r="F3028" s="14"/>
      <c r="G3028" s="14"/>
      <c r="H3028" s="14"/>
      <c r="I3028" s="67"/>
      <c r="J3028" s="14"/>
      <c r="K3028" s="14"/>
      <c r="L3028" s="14"/>
      <c r="M3028" s="14"/>
    </row>
    <row r="3029" spans="1:13" x14ac:dyDescent="0.25">
      <c r="A3029" s="14"/>
      <c r="B3029" s="14"/>
      <c r="C3029" s="14"/>
      <c r="D3029" s="92"/>
      <c r="E3029" s="14"/>
      <c r="F3029" s="14"/>
      <c r="G3029" s="14"/>
      <c r="H3029" s="14"/>
      <c r="I3029" s="67"/>
      <c r="J3029" s="14"/>
      <c r="K3029" s="14"/>
      <c r="L3029" s="14"/>
      <c r="M3029" s="14"/>
    </row>
    <row r="3030" spans="1:13" x14ac:dyDescent="0.25">
      <c r="A3030" s="14"/>
      <c r="B3030" s="14"/>
      <c r="C3030" s="14"/>
      <c r="D3030" s="92"/>
      <c r="E3030" s="14"/>
      <c r="F3030" s="14"/>
      <c r="G3030" s="14"/>
      <c r="H3030" s="14"/>
      <c r="I3030" s="67"/>
      <c r="J3030" s="14"/>
      <c r="K3030" s="14"/>
      <c r="L3030" s="14"/>
      <c r="M3030" s="14"/>
    </row>
    <row r="3031" spans="1:13" x14ac:dyDescent="0.25">
      <c r="A3031" s="14"/>
      <c r="B3031" s="14"/>
      <c r="C3031" s="14"/>
      <c r="D3031" s="92"/>
      <c r="E3031" s="14"/>
      <c r="F3031" s="14"/>
      <c r="G3031" s="14"/>
      <c r="H3031" s="14"/>
      <c r="I3031" s="67"/>
      <c r="J3031" s="14"/>
      <c r="K3031" s="14"/>
      <c r="L3031" s="14"/>
      <c r="M3031" s="14"/>
    </row>
    <row r="3032" spans="1:13" x14ac:dyDescent="0.25">
      <c r="A3032" s="14"/>
      <c r="B3032" s="14"/>
      <c r="C3032" s="14"/>
      <c r="D3032" s="92"/>
      <c r="E3032" s="14"/>
      <c r="F3032" s="14"/>
      <c r="G3032" s="14"/>
      <c r="H3032" s="14"/>
      <c r="I3032" s="67"/>
      <c r="J3032" s="14"/>
      <c r="K3032" s="14"/>
      <c r="L3032" s="14"/>
      <c r="M3032" s="14"/>
    </row>
    <row r="3033" spans="1:13" x14ac:dyDescent="0.25">
      <c r="A3033" s="14"/>
      <c r="B3033" s="14"/>
      <c r="C3033" s="14"/>
      <c r="D3033" s="92"/>
      <c r="E3033" s="14"/>
      <c r="F3033" s="14"/>
      <c r="G3033" s="14"/>
      <c r="H3033" s="14"/>
      <c r="I3033" s="67"/>
      <c r="J3033" s="14"/>
      <c r="K3033" s="14"/>
      <c r="L3033" s="14"/>
      <c r="M3033" s="14"/>
    </row>
    <row r="3034" spans="1:13" x14ac:dyDescent="0.25">
      <c r="A3034" s="14"/>
      <c r="B3034" s="14"/>
      <c r="C3034" s="14"/>
      <c r="D3034" s="92"/>
      <c r="E3034" s="14"/>
      <c r="F3034" s="14"/>
      <c r="G3034" s="14"/>
      <c r="H3034" s="14"/>
      <c r="I3034" s="67"/>
      <c r="J3034" s="14"/>
      <c r="K3034" s="14"/>
      <c r="L3034" s="14"/>
      <c r="M3034" s="14"/>
    </row>
    <row r="3035" spans="1:13" x14ac:dyDescent="0.25">
      <c r="A3035" s="14"/>
      <c r="B3035" s="14"/>
      <c r="C3035" s="14"/>
      <c r="D3035" s="92"/>
      <c r="E3035" s="14"/>
      <c r="F3035" s="14"/>
      <c r="G3035" s="14"/>
      <c r="H3035" s="14"/>
      <c r="I3035" s="67"/>
      <c r="J3035" s="14"/>
      <c r="K3035" s="14"/>
      <c r="L3035" s="14"/>
      <c r="M3035" s="14"/>
    </row>
    <row r="3036" spans="1:13" x14ac:dyDescent="0.25">
      <c r="A3036" s="14"/>
      <c r="B3036" s="14"/>
      <c r="C3036" s="14"/>
      <c r="D3036" s="92"/>
      <c r="E3036" s="14"/>
      <c r="F3036" s="14"/>
      <c r="G3036" s="14"/>
      <c r="H3036" s="14"/>
      <c r="I3036" s="67"/>
      <c r="J3036" s="14"/>
      <c r="K3036" s="14"/>
      <c r="L3036" s="14"/>
      <c r="M3036" s="14"/>
    </row>
    <row r="3037" spans="1:13" x14ac:dyDescent="0.25">
      <c r="A3037" s="14"/>
      <c r="B3037" s="14"/>
      <c r="C3037" s="14"/>
      <c r="D3037" s="92"/>
      <c r="E3037" s="14"/>
      <c r="F3037" s="14"/>
      <c r="G3037" s="14"/>
      <c r="H3037" s="14"/>
      <c r="I3037" s="67"/>
      <c r="J3037" s="14"/>
      <c r="K3037" s="14"/>
      <c r="L3037" s="14"/>
      <c r="M3037" s="14"/>
    </row>
    <row r="3038" spans="1:13" x14ac:dyDescent="0.25">
      <c r="A3038" s="14"/>
      <c r="B3038" s="14"/>
      <c r="C3038" s="14"/>
      <c r="D3038" s="92"/>
      <c r="E3038" s="14"/>
      <c r="F3038" s="14"/>
      <c r="G3038" s="14"/>
      <c r="H3038" s="14"/>
      <c r="I3038" s="67"/>
      <c r="J3038" s="14"/>
      <c r="K3038" s="14"/>
      <c r="L3038" s="14"/>
      <c r="M3038" s="14"/>
    </row>
    <row r="3039" spans="1:13" x14ac:dyDescent="0.25">
      <c r="A3039" s="14"/>
      <c r="B3039" s="14"/>
      <c r="C3039" s="14"/>
      <c r="D3039" s="92"/>
      <c r="E3039" s="14"/>
      <c r="F3039" s="14"/>
      <c r="G3039" s="14"/>
      <c r="H3039" s="14"/>
      <c r="I3039" s="67"/>
      <c r="J3039" s="14"/>
      <c r="K3039" s="14"/>
      <c r="L3039" s="14"/>
      <c r="M3039" s="14"/>
    </row>
    <row r="3040" spans="1:13" x14ac:dyDescent="0.25">
      <c r="A3040" s="14"/>
      <c r="B3040" s="14"/>
      <c r="C3040" s="14"/>
      <c r="D3040" s="92"/>
      <c r="E3040" s="14"/>
      <c r="F3040" s="14"/>
      <c r="G3040" s="14"/>
      <c r="H3040" s="14"/>
      <c r="I3040" s="67"/>
      <c r="J3040" s="14"/>
      <c r="K3040" s="14"/>
      <c r="L3040" s="14"/>
      <c r="M3040" s="14"/>
    </row>
    <row r="3041" spans="1:13" x14ac:dyDescent="0.25">
      <c r="A3041" s="14"/>
      <c r="B3041" s="14"/>
      <c r="C3041" s="14"/>
      <c r="D3041" s="92"/>
      <c r="E3041" s="14"/>
      <c r="F3041" s="14"/>
      <c r="G3041" s="14"/>
      <c r="H3041" s="14"/>
      <c r="I3041" s="67"/>
      <c r="J3041" s="14"/>
      <c r="K3041" s="14"/>
      <c r="L3041" s="14"/>
      <c r="M3041" s="14"/>
    </row>
    <row r="3042" spans="1:13" x14ac:dyDescent="0.25">
      <c r="A3042" s="14"/>
      <c r="B3042" s="14"/>
      <c r="C3042" s="14"/>
      <c r="D3042" s="92"/>
      <c r="E3042" s="14"/>
      <c r="F3042" s="14"/>
      <c r="G3042" s="14"/>
      <c r="H3042" s="14"/>
      <c r="I3042" s="67"/>
      <c r="J3042" s="14"/>
      <c r="K3042" s="14"/>
      <c r="L3042" s="14"/>
      <c r="M3042" s="14"/>
    </row>
    <row r="3043" spans="1:13" x14ac:dyDescent="0.25">
      <c r="A3043" s="14"/>
      <c r="B3043" s="14"/>
      <c r="C3043" s="14"/>
      <c r="D3043" s="92"/>
      <c r="E3043" s="14"/>
      <c r="F3043" s="14"/>
      <c r="G3043" s="14"/>
      <c r="H3043" s="14"/>
      <c r="I3043" s="67"/>
      <c r="J3043" s="14"/>
      <c r="K3043" s="14"/>
      <c r="L3043" s="14"/>
      <c r="M3043" s="14"/>
    </row>
    <row r="3044" spans="1:13" x14ac:dyDescent="0.25">
      <c r="A3044" s="14"/>
      <c r="B3044" s="14"/>
      <c r="C3044" s="14"/>
      <c r="D3044" s="92"/>
      <c r="E3044" s="14"/>
      <c r="F3044" s="14"/>
      <c r="G3044" s="14"/>
      <c r="H3044" s="14"/>
      <c r="I3044" s="67"/>
      <c r="J3044" s="14"/>
      <c r="K3044" s="14"/>
      <c r="L3044" s="14"/>
      <c r="M3044" s="14"/>
    </row>
    <row r="3045" spans="1:13" x14ac:dyDescent="0.25">
      <c r="A3045" s="14"/>
      <c r="B3045" s="14"/>
      <c r="C3045" s="14"/>
      <c r="D3045" s="92"/>
      <c r="E3045" s="14"/>
      <c r="F3045" s="14"/>
      <c r="G3045" s="14"/>
      <c r="H3045" s="14"/>
      <c r="I3045" s="67"/>
      <c r="J3045" s="14"/>
      <c r="K3045" s="14"/>
      <c r="L3045" s="14"/>
      <c r="M3045" s="14"/>
    </row>
    <row r="3046" spans="1:13" x14ac:dyDescent="0.25">
      <c r="A3046" s="14"/>
      <c r="B3046" s="14"/>
      <c r="C3046" s="14"/>
      <c r="D3046" s="92"/>
      <c r="E3046" s="14"/>
      <c r="F3046" s="14"/>
      <c r="G3046" s="14"/>
      <c r="H3046" s="14"/>
      <c r="I3046" s="67"/>
      <c r="J3046" s="14"/>
      <c r="K3046" s="14"/>
      <c r="L3046" s="14"/>
      <c r="M3046" s="14"/>
    </row>
    <row r="3047" spans="1:13" x14ac:dyDescent="0.25">
      <c r="A3047" s="14"/>
      <c r="B3047" s="14"/>
      <c r="C3047" s="14"/>
      <c r="D3047" s="92"/>
      <c r="E3047" s="14"/>
      <c r="F3047" s="14"/>
      <c r="G3047" s="14"/>
      <c r="H3047" s="14"/>
      <c r="I3047" s="67"/>
      <c r="J3047" s="14"/>
      <c r="K3047" s="14"/>
      <c r="L3047" s="14"/>
      <c r="M3047" s="14"/>
    </row>
    <row r="3048" spans="1:13" x14ac:dyDescent="0.25">
      <c r="A3048" s="14"/>
      <c r="B3048" s="14"/>
      <c r="C3048" s="14"/>
      <c r="D3048" s="92"/>
      <c r="E3048" s="14"/>
      <c r="F3048" s="14"/>
      <c r="G3048" s="14"/>
      <c r="H3048" s="14"/>
      <c r="I3048" s="67"/>
      <c r="J3048" s="14"/>
      <c r="K3048" s="14"/>
      <c r="L3048" s="14"/>
      <c r="M3048" s="14"/>
    </row>
    <row r="3049" spans="1:13" x14ac:dyDescent="0.25">
      <c r="A3049" s="14"/>
      <c r="B3049" s="14"/>
      <c r="C3049" s="14"/>
      <c r="D3049" s="92"/>
      <c r="E3049" s="14"/>
      <c r="F3049" s="14"/>
      <c r="G3049" s="14"/>
      <c r="H3049" s="14"/>
      <c r="I3049" s="67"/>
      <c r="J3049" s="14"/>
      <c r="K3049" s="14"/>
      <c r="L3049" s="14"/>
      <c r="M3049" s="14"/>
    </row>
    <row r="3050" spans="1:13" x14ac:dyDescent="0.25">
      <c r="A3050" s="14"/>
      <c r="B3050" s="14"/>
      <c r="C3050" s="14"/>
      <c r="D3050" s="92"/>
      <c r="E3050" s="14"/>
      <c r="F3050" s="14"/>
      <c r="G3050" s="14"/>
      <c r="H3050" s="14"/>
      <c r="I3050" s="67"/>
      <c r="J3050" s="14"/>
      <c r="K3050" s="14"/>
      <c r="L3050" s="14"/>
      <c r="M3050" s="14"/>
    </row>
    <row r="3051" spans="1:13" x14ac:dyDescent="0.25">
      <c r="A3051" s="14"/>
      <c r="B3051" s="14"/>
      <c r="C3051" s="14"/>
      <c r="D3051" s="92"/>
      <c r="E3051" s="14"/>
      <c r="F3051" s="14"/>
      <c r="G3051" s="14"/>
      <c r="H3051" s="14"/>
      <c r="I3051" s="67"/>
      <c r="J3051" s="14"/>
      <c r="K3051" s="14"/>
      <c r="L3051" s="14"/>
      <c r="M3051" s="14"/>
    </row>
    <row r="3052" spans="1:13" x14ac:dyDescent="0.25">
      <c r="A3052" s="14"/>
      <c r="B3052" s="14"/>
      <c r="C3052" s="14"/>
      <c r="D3052" s="92"/>
      <c r="E3052" s="14"/>
      <c r="F3052" s="14"/>
      <c r="G3052" s="14"/>
      <c r="H3052" s="14"/>
      <c r="I3052" s="67"/>
      <c r="J3052" s="14"/>
      <c r="K3052" s="14"/>
      <c r="L3052" s="14"/>
      <c r="M3052" s="14"/>
    </row>
    <row r="3053" spans="1:13" x14ac:dyDescent="0.25">
      <c r="A3053" s="14"/>
      <c r="B3053" s="14"/>
      <c r="C3053" s="14"/>
      <c r="D3053" s="92"/>
      <c r="E3053" s="14"/>
      <c r="F3053" s="14"/>
      <c r="G3053" s="14"/>
      <c r="H3053" s="14"/>
      <c r="I3053" s="67"/>
      <c r="J3053" s="14"/>
      <c r="K3053" s="14"/>
      <c r="L3053" s="14"/>
      <c r="M3053" s="14"/>
    </row>
    <row r="3054" spans="1:13" x14ac:dyDescent="0.25">
      <c r="A3054" s="14"/>
      <c r="B3054" s="14"/>
      <c r="C3054" s="14"/>
      <c r="D3054" s="92"/>
      <c r="E3054" s="14"/>
      <c r="F3054" s="14"/>
      <c r="G3054" s="14"/>
      <c r="H3054" s="14"/>
      <c r="I3054" s="67"/>
      <c r="J3054" s="14"/>
      <c r="K3054" s="14"/>
      <c r="L3054" s="14"/>
      <c r="M3054" s="14"/>
    </row>
    <row r="3055" spans="1:13" x14ac:dyDescent="0.25">
      <c r="A3055" s="14"/>
      <c r="B3055" s="14"/>
      <c r="C3055" s="14"/>
      <c r="D3055" s="92"/>
      <c r="E3055" s="14"/>
      <c r="F3055" s="14"/>
      <c r="G3055" s="14"/>
      <c r="H3055" s="14"/>
      <c r="I3055" s="67"/>
      <c r="J3055" s="14"/>
      <c r="K3055" s="14"/>
      <c r="L3055" s="14"/>
      <c r="M3055" s="14"/>
    </row>
    <row r="3056" spans="1:13" x14ac:dyDescent="0.25">
      <c r="A3056" s="14"/>
      <c r="B3056" s="14"/>
      <c r="C3056" s="14"/>
      <c r="D3056" s="92"/>
      <c r="E3056" s="14"/>
      <c r="F3056" s="14"/>
      <c r="G3056" s="14"/>
      <c r="H3056" s="14"/>
      <c r="I3056" s="67"/>
      <c r="J3056" s="14"/>
      <c r="K3056" s="14"/>
      <c r="L3056" s="14"/>
      <c r="M3056" s="14"/>
    </row>
    <row r="3057" spans="1:13" x14ac:dyDescent="0.25">
      <c r="A3057" s="14"/>
      <c r="B3057" s="14"/>
      <c r="C3057" s="14"/>
      <c r="D3057" s="92"/>
      <c r="E3057" s="14"/>
      <c r="F3057" s="14"/>
      <c r="G3057" s="14"/>
      <c r="H3057" s="14"/>
      <c r="I3057" s="67"/>
      <c r="J3057" s="14"/>
      <c r="K3057" s="14"/>
      <c r="L3057" s="14"/>
      <c r="M3057" s="14"/>
    </row>
    <row r="3058" spans="1:13" x14ac:dyDescent="0.25">
      <c r="A3058" s="14"/>
      <c r="B3058" s="14"/>
      <c r="C3058" s="14"/>
      <c r="D3058" s="92"/>
      <c r="E3058" s="14"/>
      <c r="F3058" s="14"/>
      <c r="G3058" s="14"/>
      <c r="H3058" s="14"/>
      <c r="I3058" s="67"/>
      <c r="J3058" s="14"/>
      <c r="K3058" s="14"/>
      <c r="L3058" s="14"/>
      <c r="M3058" s="14"/>
    </row>
    <row r="3059" spans="1:13" x14ac:dyDescent="0.25">
      <c r="A3059" s="14"/>
      <c r="B3059" s="14"/>
      <c r="C3059" s="14"/>
      <c r="D3059" s="92"/>
      <c r="E3059" s="14"/>
      <c r="F3059" s="14"/>
      <c r="G3059" s="14"/>
      <c r="H3059" s="14"/>
      <c r="I3059" s="67"/>
      <c r="J3059" s="14"/>
      <c r="K3059" s="14"/>
      <c r="L3059" s="14"/>
      <c r="M3059" s="14"/>
    </row>
    <row r="3060" spans="1:13" x14ac:dyDescent="0.25">
      <c r="A3060" s="14"/>
      <c r="B3060" s="14"/>
      <c r="C3060" s="14"/>
      <c r="D3060" s="92"/>
      <c r="E3060" s="14"/>
      <c r="F3060" s="14"/>
      <c r="G3060" s="14"/>
      <c r="H3060" s="14"/>
      <c r="I3060" s="67"/>
      <c r="J3060" s="14"/>
      <c r="K3060" s="14"/>
      <c r="L3060" s="14"/>
      <c r="M3060" s="14"/>
    </row>
    <row r="3061" spans="1:13" x14ac:dyDescent="0.25">
      <c r="A3061" s="14"/>
      <c r="B3061" s="14"/>
      <c r="C3061" s="14"/>
      <c r="D3061" s="92"/>
      <c r="E3061" s="14"/>
      <c r="F3061" s="14"/>
      <c r="G3061" s="14"/>
      <c r="H3061" s="14"/>
      <c r="I3061" s="67"/>
      <c r="J3061" s="14"/>
      <c r="K3061" s="14"/>
      <c r="L3061" s="14"/>
      <c r="M3061" s="14"/>
    </row>
    <row r="3062" spans="1:13" x14ac:dyDescent="0.25">
      <c r="A3062" s="14"/>
      <c r="B3062" s="14"/>
      <c r="C3062" s="14"/>
      <c r="D3062" s="92"/>
      <c r="E3062" s="14"/>
      <c r="F3062" s="14"/>
      <c r="G3062" s="14"/>
      <c r="H3062" s="14"/>
      <c r="I3062" s="67"/>
      <c r="J3062" s="14"/>
      <c r="K3062" s="14"/>
      <c r="L3062" s="14"/>
      <c r="M3062" s="14"/>
    </row>
    <row r="3063" spans="1:13" x14ac:dyDescent="0.25">
      <c r="A3063" s="14"/>
      <c r="B3063" s="14"/>
      <c r="C3063" s="14"/>
      <c r="D3063" s="92"/>
      <c r="E3063" s="14"/>
      <c r="F3063" s="14"/>
      <c r="G3063" s="14"/>
      <c r="H3063" s="14"/>
      <c r="I3063" s="67"/>
      <c r="J3063" s="14"/>
      <c r="K3063" s="14"/>
      <c r="L3063" s="14"/>
      <c r="M3063" s="14"/>
    </row>
    <row r="3064" spans="1:13" x14ac:dyDescent="0.25">
      <c r="A3064" s="14"/>
      <c r="B3064" s="14"/>
      <c r="C3064" s="14"/>
      <c r="D3064" s="92"/>
      <c r="E3064" s="14"/>
      <c r="F3064" s="14"/>
      <c r="G3064" s="14"/>
      <c r="H3064" s="14"/>
      <c r="I3064" s="67"/>
      <c r="J3064" s="14"/>
      <c r="K3064" s="14"/>
      <c r="L3064" s="14"/>
      <c r="M3064" s="14"/>
    </row>
    <row r="3065" spans="1:13" x14ac:dyDescent="0.25">
      <c r="A3065" s="14"/>
      <c r="B3065" s="14"/>
      <c r="C3065" s="14"/>
      <c r="D3065" s="92"/>
      <c r="E3065" s="14"/>
      <c r="F3065" s="14"/>
      <c r="G3065" s="14"/>
      <c r="H3065" s="14"/>
      <c r="I3065" s="67"/>
      <c r="J3065" s="14"/>
      <c r="K3065" s="14"/>
      <c r="L3065" s="14"/>
      <c r="M3065" s="14"/>
    </row>
    <row r="3066" spans="1:13" x14ac:dyDescent="0.25">
      <c r="A3066" s="14"/>
      <c r="B3066" s="14"/>
      <c r="C3066" s="14"/>
      <c r="D3066" s="92"/>
      <c r="E3066" s="14"/>
      <c r="F3066" s="14"/>
      <c r="G3066" s="14"/>
      <c r="H3066" s="14"/>
      <c r="I3066" s="67"/>
      <c r="J3066" s="14"/>
      <c r="K3066" s="14"/>
      <c r="L3066" s="14"/>
      <c r="M3066" s="14"/>
    </row>
    <row r="3067" spans="1:13" x14ac:dyDescent="0.25">
      <c r="A3067" s="14"/>
      <c r="B3067" s="14"/>
      <c r="C3067" s="14"/>
      <c r="D3067" s="92"/>
      <c r="E3067" s="14"/>
      <c r="F3067" s="14"/>
      <c r="G3067" s="14"/>
      <c r="H3067" s="14"/>
      <c r="I3067" s="67"/>
      <c r="J3067" s="14"/>
      <c r="K3067" s="14"/>
      <c r="L3067" s="14"/>
      <c r="M3067" s="14"/>
    </row>
    <row r="3068" spans="1:13" x14ac:dyDescent="0.25">
      <c r="A3068" s="14"/>
      <c r="B3068" s="14"/>
      <c r="C3068" s="14"/>
      <c r="D3068" s="92"/>
      <c r="E3068" s="14"/>
      <c r="F3068" s="14"/>
      <c r="G3068" s="14"/>
      <c r="H3068" s="14"/>
      <c r="I3068" s="67"/>
      <c r="J3068" s="14"/>
      <c r="K3068" s="14"/>
      <c r="L3068" s="14"/>
      <c r="M3068" s="14"/>
    </row>
    <row r="3069" spans="1:13" x14ac:dyDescent="0.25">
      <c r="A3069" s="14"/>
      <c r="B3069" s="14"/>
      <c r="C3069" s="14"/>
      <c r="D3069" s="92"/>
      <c r="E3069" s="14"/>
      <c r="F3069" s="14"/>
      <c r="G3069" s="14"/>
      <c r="H3069" s="14"/>
      <c r="I3069" s="67"/>
      <c r="J3069" s="14"/>
      <c r="K3069" s="14"/>
      <c r="L3069" s="14"/>
      <c r="M3069" s="14"/>
    </row>
    <row r="3070" spans="1:13" x14ac:dyDescent="0.25">
      <c r="A3070" s="14"/>
      <c r="B3070" s="14"/>
      <c r="C3070" s="14"/>
      <c r="D3070" s="92"/>
      <c r="E3070" s="14"/>
      <c r="F3070" s="14"/>
      <c r="G3070" s="14"/>
      <c r="H3070" s="14"/>
      <c r="I3070" s="67"/>
      <c r="J3070" s="14"/>
      <c r="K3070" s="14"/>
      <c r="L3070" s="14"/>
      <c r="M3070" s="14"/>
    </row>
    <row r="3071" spans="1:13" x14ac:dyDescent="0.25">
      <c r="A3071" s="14"/>
      <c r="B3071" s="14"/>
      <c r="C3071" s="14"/>
      <c r="D3071" s="92"/>
      <c r="E3071" s="14"/>
      <c r="F3071" s="14"/>
      <c r="G3071" s="14"/>
      <c r="H3071" s="14"/>
      <c r="I3071" s="67"/>
      <c r="J3071" s="14"/>
      <c r="K3071" s="14"/>
      <c r="L3071" s="14"/>
      <c r="M3071" s="14"/>
    </row>
    <row r="3072" spans="1:13" x14ac:dyDescent="0.25">
      <c r="A3072" s="14"/>
      <c r="B3072" s="14"/>
      <c r="C3072" s="14"/>
      <c r="D3072" s="92"/>
      <c r="E3072" s="14"/>
      <c r="F3072" s="14"/>
      <c r="G3072" s="14"/>
      <c r="H3072" s="14"/>
      <c r="I3072" s="67"/>
      <c r="J3072" s="14"/>
      <c r="K3072" s="14"/>
      <c r="L3072" s="14"/>
      <c r="M3072" s="14"/>
    </row>
    <row r="3073" spans="1:13" x14ac:dyDescent="0.25">
      <c r="A3073" s="14"/>
      <c r="B3073" s="14"/>
      <c r="C3073" s="14"/>
      <c r="D3073" s="92"/>
      <c r="E3073" s="14"/>
      <c r="F3073" s="14"/>
      <c r="G3073" s="14"/>
      <c r="H3073" s="14"/>
      <c r="I3073" s="67"/>
      <c r="J3073" s="14"/>
      <c r="K3073" s="14"/>
      <c r="L3073" s="14"/>
      <c r="M3073" s="14"/>
    </row>
    <row r="3074" spans="1:13" x14ac:dyDescent="0.25">
      <c r="A3074" s="14"/>
      <c r="B3074" s="14"/>
      <c r="C3074" s="14"/>
      <c r="D3074" s="92"/>
      <c r="E3074" s="14"/>
      <c r="F3074" s="14"/>
      <c r="G3074" s="14"/>
      <c r="H3074" s="14"/>
      <c r="I3074" s="67"/>
      <c r="J3074" s="14"/>
      <c r="K3074" s="14"/>
      <c r="L3074" s="14"/>
      <c r="M3074" s="14"/>
    </row>
    <row r="3075" spans="1:13" x14ac:dyDescent="0.25">
      <c r="A3075" s="14"/>
      <c r="B3075" s="14"/>
      <c r="C3075" s="14"/>
      <c r="D3075" s="92"/>
      <c r="E3075" s="14"/>
      <c r="F3075" s="14"/>
      <c r="G3075" s="14"/>
      <c r="H3075" s="14"/>
      <c r="I3075" s="67"/>
      <c r="J3075" s="14"/>
      <c r="K3075" s="14"/>
      <c r="L3075" s="14"/>
      <c r="M3075" s="14"/>
    </row>
    <row r="3076" spans="1:13" x14ac:dyDescent="0.25">
      <c r="A3076" s="14"/>
      <c r="B3076" s="14"/>
      <c r="C3076" s="14"/>
      <c r="D3076" s="92"/>
      <c r="E3076" s="14"/>
      <c r="F3076" s="14"/>
      <c r="G3076" s="14"/>
      <c r="H3076" s="14"/>
      <c r="I3076" s="67"/>
      <c r="J3076" s="14"/>
      <c r="K3076" s="14"/>
      <c r="L3076" s="14"/>
      <c r="M3076" s="14"/>
    </row>
    <row r="3077" spans="1:13" x14ac:dyDescent="0.25">
      <c r="A3077" s="14"/>
      <c r="B3077" s="14"/>
      <c r="C3077" s="14"/>
      <c r="D3077" s="92"/>
      <c r="E3077" s="14"/>
      <c r="F3077" s="14"/>
      <c r="G3077" s="14"/>
      <c r="H3077" s="14"/>
      <c r="I3077" s="67"/>
      <c r="J3077" s="14"/>
      <c r="K3077" s="14"/>
      <c r="L3077" s="14"/>
      <c r="M3077" s="14"/>
    </row>
    <row r="3078" spans="1:13" x14ac:dyDescent="0.25">
      <c r="A3078" s="14"/>
      <c r="B3078" s="14"/>
      <c r="C3078" s="14"/>
      <c r="D3078" s="92"/>
      <c r="E3078" s="14"/>
      <c r="F3078" s="14"/>
      <c r="G3078" s="14"/>
      <c r="H3078" s="14"/>
      <c r="I3078" s="67"/>
      <c r="J3078" s="14"/>
      <c r="K3078" s="14"/>
      <c r="L3078" s="14"/>
      <c r="M3078" s="14"/>
    </row>
    <row r="3079" spans="1:13" x14ac:dyDescent="0.25">
      <c r="A3079" s="14"/>
      <c r="B3079" s="14"/>
      <c r="C3079" s="14"/>
      <c r="D3079" s="92"/>
      <c r="E3079" s="14"/>
      <c r="F3079" s="14"/>
      <c r="G3079" s="14"/>
      <c r="H3079" s="14"/>
      <c r="I3079" s="67"/>
      <c r="J3079" s="14"/>
      <c r="K3079" s="14"/>
      <c r="L3079" s="14"/>
      <c r="M3079" s="14"/>
    </row>
    <row r="3080" spans="1:13" x14ac:dyDescent="0.25">
      <c r="A3080" s="14"/>
      <c r="B3080" s="14"/>
      <c r="C3080" s="14"/>
      <c r="D3080" s="92"/>
      <c r="E3080" s="14"/>
      <c r="F3080" s="14"/>
      <c r="G3080" s="14"/>
      <c r="H3080" s="14"/>
      <c r="I3080" s="67"/>
      <c r="J3080" s="14"/>
      <c r="K3080" s="14"/>
      <c r="L3080" s="14"/>
      <c r="M3080" s="14"/>
    </row>
    <row r="3081" spans="1:13" x14ac:dyDescent="0.25">
      <c r="A3081" s="14"/>
      <c r="B3081" s="14"/>
      <c r="C3081" s="14"/>
      <c r="D3081" s="92"/>
      <c r="E3081" s="14"/>
      <c r="F3081" s="14"/>
      <c r="G3081" s="14"/>
      <c r="H3081" s="14"/>
      <c r="I3081" s="67"/>
      <c r="J3081" s="14"/>
      <c r="K3081" s="14"/>
      <c r="L3081" s="14"/>
      <c r="M3081" s="14"/>
    </row>
    <row r="3082" spans="1:13" x14ac:dyDescent="0.25">
      <c r="A3082" s="14"/>
      <c r="B3082" s="14"/>
      <c r="C3082" s="14"/>
      <c r="D3082" s="92"/>
      <c r="E3082" s="14"/>
      <c r="F3082" s="14"/>
      <c r="G3082" s="14"/>
      <c r="H3082" s="14"/>
      <c r="I3082" s="67"/>
      <c r="J3082" s="14"/>
      <c r="K3082" s="14"/>
      <c r="L3082" s="14"/>
      <c r="M3082" s="14"/>
    </row>
    <row r="3083" spans="1:13" x14ac:dyDescent="0.25">
      <c r="A3083" s="14"/>
      <c r="B3083" s="14"/>
      <c r="C3083" s="14"/>
      <c r="D3083" s="92"/>
      <c r="E3083" s="14"/>
      <c r="F3083" s="14"/>
      <c r="G3083" s="14"/>
      <c r="H3083" s="14"/>
      <c r="I3083" s="67"/>
      <c r="J3083" s="14"/>
      <c r="K3083" s="14"/>
      <c r="L3083" s="14"/>
      <c r="M3083" s="14"/>
    </row>
    <row r="3084" spans="1:13" x14ac:dyDescent="0.25">
      <c r="A3084" s="14"/>
      <c r="B3084" s="14"/>
      <c r="C3084" s="14"/>
      <c r="D3084" s="92"/>
      <c r="E3084" s="14"/>
      <c r="F3084" s="14"/>
      <c r="G3084" s="14"/>
      <c r="H3084" s="14"/>
      <c r="I3084" s="67"/>
      <c r="J3084" s="14"/>
      <c r="K3084" s="14"/>
      <c r="L3084" s="14"/>
      <c r="M3084" s="14"/>
    </row>
    <row r="3085" spans="1:13" x14ac:dyDescent="0.25">
      <c r="A3085" s="14"/>
      <c r="B3085" s="14"/>
      <c r="C3085" s="14"/>
      <c r="D3085" s="92"/>
      <c r="E3085" s="14"/>
      <c r="F3085" s="14"/>
      <c r="G3085" s="14"/>
      <c r="H3085" s="14"/>
      <c r="I3085" s="67"/>
      <c r="J3085" s="14"/>
      <c r="K3085" s="14"/>
      <c r="L3085" s="14"/>
      <c r="M3085" s="14"/>
    </row>
    <row r="3086" spans="1:13" x14ac:dyDescent="0.25">
      <c r="A3086" s="14"/>
      <c r="B3086" s="14"/>
      <c r="C3086" s="14"/>
      <c r="D3086" s="92"/>
      <c r="E3086" s="14"/>
      <c r="F3086" s="14"/>
      <c r="G3086" s="14"/>
      <c r="H3086" s="14"/>
      <c r="I3086" s="67"/>
      <c r="J3086" s="14"/>
      <c r="K3086" s="14"/>
      <c r="L3086" s="14"/>
      <c r="M3086" s="14"/>
    </row>
    <row r="3087" spans="1:13" x14ac:dyDescent="0.25">
      <c r="A3087" s="14"/>
      <c r="B3087" s="14"/>
      <c r="C3087" s="14"/>
      <c r="D3087" s="92"/>
      <c r="E3087" s="14"/>
      <c r="F3087" s="14"/>
      <c r="G3087" s="14"/>
      <c r="H3087" s="14"/>
      <c r="I3087" s="67"/>
      <c r="J3087" s="14"/>
      <c r="K3087" s="14"/>
      <c r="L3087" s="14"/>
      <c r="M3087" s="14"/>
    </row>
    <row r="3088" spans="1:13" x14ac:dyDescent="0.25">
      <c r="A3088" s="14"/>
      <c r="B3088" s="14"/>
      <c r="C3088" s="14"/>
      <c r="D3088" s="92"/>
      <c r="E3088" s="14"/>
      <c r="F3088" s="14"/>
      <c r="G3088" s="14"/>
      <c r="H3088" s="14"/>
      <c r="I3088" s="67"/>
      <c r="J3088" s="14"/>
      <c r="K3088" s="14"/>
      <c r="L3088" s="14"/>
      <c r="M3088" s="14"/>
    </row>
    <row r="3089" spans="1:13" x14ac:dyDescent="0.25">
      <c r="A3089" s="14"/>
      <c r="B3089" s="14"/>
      <c r="C3089" s="14"/>
      <c r="D3089" s="92"/>
      <c r="E3089" s="14"/>
      <c r="F3089" s="14"/>
      <c r="G3089" s="14"/>
      <c r="H3089" s="14"/>
      <c r="I3089" s="67"/>
      <c r="J3089" s="14"/>
      <c r="K3089" s="14"/>
      <c r="L3089" s="14"/>
      <c r="M3089" s="14"/>
    </row>
    <row r="3090" spans="1:13" x14ac:dyDescent="0.25">
      <c r="A3090" s="14"/>
      <c r="B3090" s="14"/>
      <c r="C3090" s="14"/>
      <c r="D3090" s="92"/>
      <c r="E3090" s="14"/>
      <c r="F3090" s="14"/>
      <c r="G3090" s="14"/>
      <c r="H3090" s="14"/>
      <c r="I3090" s="67"/>
      <c r="J3090" s="14"/>
      <c r="K3090" s="14"/>
      <c r="L3090" s="14"/>
      <c r="M3090" s="14"/>
    </row>
    <row r="3091" spans="1:13" x14ac:dyDescent="0.25">
      <c r="A3091" s="14"/>
      <c r="B3091" s="14"/>
      <c r="C3091" s="14"/>
      <c r="D3091" s="92"/>
      <c r="E3091" s="14"/>
      <c r="F3091" s="14"/>
      <c r="G3091" s="14"/>
      <c r="H3091" s="14"/>
      <c r="I3091" s="67"/>
      <c r="J3091" s="14"/>
      <c r="K3091" s="14"/>
      <c r="L3091" s="14"/>
      <c r="M3091" s="14"/>
    </row>
    <row r="3092" spans="1:13" x14ac:dyDescent="0.25">
      <c r="A3092" s="14"/>
      <c r="B3092" s="14"/>
      <c r="C3092" s="14"/>
      <c r="D3092" s="92"/>
      <c r="E3092" s="14"/>
      <c r="F3092" s="14"/>
      <c r="G3092" s="14"/>
      <c r="H3092" s="14"/>
      <c r="I3092" s="67"/>
      <c r="J3092" s="14"/>
      <c r="K3092" s="14"/>
      <c r="L3092" s="14"/>
      <c r="M3092" s="14"/>
    </row>
    <row r="3093" spans="1:13" x14ac:dyDescent="0.25">
      <c r="A3093" s="14"/>
      <c r="B3093" s="14"/>
      <c r="C3093" s="14"/>
      <c r="D3093" s="92"/>
      <c r="E3093" s="14"/>
      <c r="F3093" s="14"/>
      <c r="G3093" s="14"/>
      <c r="H3093" s="14"/>
      <c r="I3093" s="67"/>
      <c r="J3093" s="14"/>
      <c r="K3093" s="14"/>
      <c r="L3093" s="14"/>
      <c r="M3093" s="14"/>
    </row>
    <row r="3094" spans="1:13" x14ac:dyDescent="0.25">
      <c r="A3094" s="14"/>
      <c r="B3094" s="14"/>
      <c r="C3094" s="14"/>
      <c r="D3094" s="92"/>
      <c r="E3094" s="14"/>
      <c r="F3094" s="14"/>
      <c r="G3094" s="14"/>
      <c r="H3094" s="14"/>
      <c r="I3094" s="67"/>
      <c r="J3094" s="14"/>
      <c r="K3094" s="14"/>
      <c r="L3094" s="14"/>
      <c r="M3094" s="14"/>
    </row>
    <row r="3095" spans="1:13" x14ac:dyDescent="0.25">
      <c r="A3095" s="14"/>
      <c r="B3095" s="14"/>
      <c r="C3095" s="14"/>
      <c r="D3095" s="92"/>
      <c r="E3095" s="14"/>
      <c r="F3095" s="14"/>
      <c r="G3095" s="14"/>
      <c r="H3095" s="14"/>
      <c r="I3095" s="67"/>
      <c r="J3095" s="14"/>
      <c r="K3095" s="14"/>
      <c r="L3095" s="14"/>
      <c r="M3095" s="14"/>
    </row>
    <row r="3096" spans="1:13" x14ac:dyDescent="0.25">
      <c r="A3096" s="14"/>
      <c r="B3096" s="14"/>
      <c r="C3096" s="14"/>
      <c r="D3096" s="92"/>
      <c r="E3096" s="14"/>
      <c r="F3096" s="14"/>
      <c r="G3096" s="14"/>
      <c r="H3096" s="14"/>
      <c r="I3096" s="67"/>
      <c r="J3096" s="14"/>
      <c r="K3096" s="14"/>
      <c r="L3096" s="14"/>
      <c r="M3096" s="14"/>
    </row>
    <row r="3097" spans="1:13" x14ac:dyDescent="0.25">
      <c r="A3097" s="14"/>
      <c r="B3097" s="14"/>
      <c r="C3097" s="14"/>
      <c r="D3097" s="92"/>
      <c r="E3097" s="14"/>
      <c r="F3097" s="14"/>
      <c r="G3097" s="14"/>
      <c r="H3097" s="14"/>
      <c r="I3097" s="67"/>
      <c r="J3097" s="14"/>
      <c r="K3097" s="14"/>
      <c r="L3097" s="14"/>
      <c r="M3097" s="14"/>
    </row>
    <row r="3098" spans="1:13" x14ac:dyDescent="0.25">
      <c r="A3098" s="14"/>
      <c r="B3098" s="14"/>
      <c r="C3098" s="14"/>
      <c r="D3098" s="92"/>
      <c r="E3098" s="14"/>
      <c r="F3098" s="14"/>
      <c r="G3098" s="14"/>
      <c r="H3098" s="14"/>
      <c r="I3098" s="67"/>
      <c r="J3098" s="14"/>
      <c r="K3098" s="14"/>
      <c r="L3098" s="14"/>
      <c r="M3098" s="14"/>
    </row>
    <row r="3099" spans="1:13" x14ac:dyDescent="0.25">
      <c r="A3099" s="14"/>
      <c r="B3099" s="14"/>
      <c r="C3099" s="14"/>
      <c r="D3099" s="92"/>
      <c r="E3099" s="14"/>
      <c r="F3099" s="14"/>
      <c r="G3099" s="14"/>
      <c r="H3099" s="14"/>
      <c r="I3099" s="67"/>
      <c r="J3099" s="14"/>
      <c r="K3099" s="14"/>
      <c r="L3099" s="14"/>
      <c r="M3099" s="14"/>
    </row>
    <row r="3100" spans="1:13" x14ac:dyDescent="0.25">
      <c r="A3100" s="14"/>
      <c r="B3100" s="14"/>
      <c r="C3100" s="14"/>
      <c r="D3100" s="92"/>
      <c r="E3100" s="14"/>
      <c r="F3100" s="14"/>
      <c r="G3100" s="14"/>
      <c r="H3100" s="14"/>
      <c r="I3100" s="67"/>
      <c r="J3100" s="14"/>
      <c r="K3100" s="14"/>
      <c r="L3100" s="14"/>
      <c r="M3100" s="14"/>
    </row>
    <row r="3101" spans="1:13" x14ac:dyDescent="0.25">
      <c r="A3101" s="14"/>
      <c r="B3101" s="14"/>
      <c r="C3101" s="14"/>
      <c r="D3101" s="92"/>
      <c r="E3101" s="14"/>
      <c r="F3101" s="14"/>
      <c r="G3101" s="14"/>
      <c r="H3101" s="14"/>
      <c r="I3101" s="67"/>
      <c r="J3101" s="14"/>
      <c r="K3101" s="14"/>
      <c r="L3101" s="14"/>
      <c r="M3101" s="14"/>
    </row>
    <row r="3102" spans="1:13" x14ac:dyDescent="0.25">
      <c r="A3102" s="14"/>
      <c r="B3102" s="14"/>
      <c r="C3102" s="14"/>
      <c r="D3102" s="92"/>
      <c r="E3102" s="14"/>
      <c r="F3102" s="14"/>
      <c r="G3102" s="14"/>
      <c r="H3102" s="14"/>
      <c r="I3102" s="67"/>
      <c r="J3102" s="14"/>
      <c r="K3102" s="14"/>
      <c r="L3102" s="14"/>
      <c r="M3102" s="14"/>
    </row>
    <row r="3103" spans="1:13" x14ac:dyDescent="0.25">
      <c r="A3103" s="14"/>
      <c r="B3103" s="14"/>
      <c r="C3103" s="14"/>
      <c r="D3103" s="92"/>
      <c r="E3103" s="14"/>
      <c r="F3103" s="14"/>
      <c r="G3103" s="14"/>
      <c r="H3103" s="14"/>
      <c r="I3103" s="67"/>
      <c r="J3103" s="14"/>
      <c r="K3103" s="14"/>
      <c r="L3103" s="14"/>
      <c r="M3103" s="14"/>
    </row>
    <row r="3104" spans="1:13" x14ac:dyDescent="0.25">
      <c r="A3104" s="14"/>
      <c r="B3104" s="14"/>
      <c r="C3104" s="14"/>
      <c r="D3104" s="92"/>
      <c r="E3104" s="14"/>
      <c r="F3104" s="14"/>
      <c r="G3104" s="14"/>
      <c r="H3104" s="14"/>
      <c r="I3104" s="67"/>
      <c r="J3104" s="14"/>
      <c r="K3104" s="14"/>
      <c r="L3104" s="14"/>
      <c r="M3104" s="14"/>
    </row>
    <row r="3105" spans="1:13" x14ac:dyDescent="0.25">
      <c r="A3105" s="14"/>
      <c r="B3105" s="14"/>
      <c r="C3105" s="14"/>
      <c r="D3105" s="92"/>
      <c r="E3105" s="14"/>
      <c r="F3105" s="14"/>
      <c r="G3105" s="14"/>
      <c r="H3105" s="14"/>
      <c r="I3105" s="67"/>
      <c r="J3105" s="14"/>
      <c r="K3105" s="14"/>
      <c r="L3105" s="14"/>
      <c r="M3105" s="14"/>
    </row>
    <row r="3106" spans="1:13" x14ac:dyDescent="0.25">
      <c r="A3106" s="14"/>
      <c r="B3106" s="14"/>
      <c r="C3106" s="14"/>
      <c r="D3106" s="92"/>
      <c r="E3106" s="14"/>
      <c r="F3106" s="14"/>
      <c r="G3106" s="14"/>
      <c r="H3106" s="14"/>
      <c r="I3106" s="67"/>
      <c r="J3106" s="14"/>
      <c r="K3106" s="14"/>
      <c r="L3106" s="14"/>
      <c r="M3106" s="14"/>
    </row>
    <row r="3107" spans="1:13" x14ac:dyDescent="0.25">
      <c r="A3107" s="14"/>
      <c r="B3107" s="14"/>
      <c r="C3107" s="14"/>
      <c r="D3107" s="92"/>
      <c r="E3107" s="14"/>
      <c r="F3107" s="14"/>
      <c r="G3107" s="14"/>
      <c r="H3107" s="14"/>
      <c r="I3107" s="67"/>
      <c r="J3107" s="14"/>
      <c r="K3107" s="14"/>
      <c r="L3107" s="14"/>
      <c r="M3107" s="14"/>
    </row>
    <row r="3108" spans="1:13" x14ac:dyDescent="0.25">
      <c r="A3108" s="14"/>
      <c r="B3108" s="14"/>
      <c r="C3108" s="14"/>
      <c r="D3108" s="92"/>
      <c r="E3108" s="14"/>
      <c r="F3108" s="14"/>
      <c r="G3108" s="14"/>
      <c r="H3108" s="14"/>
      <c r="I3108" s="67"/>
      <c r="J3108" s="14"/>
      <c r="K3108" s="14"/>
      <c r="L3108" s="14"/>
      <c r="M3108" s="14"/>
    </row>
    <row r="3109" spans="1:13" x14ac:dyDescent="0.25">
      <c r="A3109" s="14"/>
      <c r="B3109" s="14"/>
      <c r="C3109" s="14"/>
      <c r="D3109" s="92"/>
      <c r="E3109" s="14"/>
      <c r="F3109" s="14"/>
      <c r="G3109" s="14"/>
      <c r="H3109" s="14"/>
      <c r="I3109" s="67"/>
      <c r="J3109" s="14"/>
      <c r="K3109" s="14"/>
      <c r="L3109" s="14"/>
      <c r="M3109" s="14"/>
    </row>
    <row r="3110" spans="1:13" x14ac:dyDescent="0.25">
      <c r="A3110" s="14"/>
      <c r="B3110" s="14"/>
      <c r="C3110" s="14"/>
      <c r="D3110" s="92"/>
      <c r="E3110" s="14"/>
      <c r="F3110" s="14"/>
      <c r="G3110" s="14"/>
      <c r="H3110" s="14"/>
      <c r="I3110" s="67"/>
      <c r="J3110" s="14"/>
      <c r="K3110" s="14"/>
      <c r="L3110" s="14"/>
      <c r="M3110" s="14"/>
    </row>
    <row r="3111" spans="1:13" x14ac:dyDescent="0.25">
      <c r="A3111" s="14"/>
      <c r="B3111" s="14"/>
      <c r="C3111" s="14"/>
      <c r="D3111" s="92"/>
      <c r="E3111" s="14"/>
      <c r="F3111" s="14"/>
      <c r="G3111" s="14"/>
      <c r="H3111" s="14"/>
      <c r="I3111" s="67"/>
      <c r="J3111" s="14"/>
      <c r="K3111" s="14"/>
      <c r="L3111" s="14"/>
      <c r="M3111" s="14"/>
    </row>
    <row r="3112" spans="1:13" x14ac:dyDescent="0.25">
      <c r="A3112" s="14"/>
      <c r="B3112" s="14"/>
      <c r="C3112" s="14"/>
      <c r="D3112" s="92"/>
      <c r="E3112" s="14"/>
      <c r="F3112" s="14"/>
      <c r="G3112" s="14"/>
      <c r="H3112" s="14"/>
      <c r="I3112" s="67"/>
      <c r="J3112" s="14"/>
      <c r="K3112" s="14"/>
      <c r="L3112" s="14"/>
      <c r="M3112" s="14"/>
    </row>
    <row r="3113" spans="1:13" x14ac:dyDescent="0.25">
      <c r="A3113" s="14"/>
      <c r="B3113" s="14"/>
      <c r="C3113" s="14"/>
      <c r="D3113" s="92"/>
      <c r="E3113" s="14"/>
      <c r="F3113" s="14"/>
      <c r="G3113" s="14"/>
      <c r="H3113" s="14"/>
      <c r="I3113" s="67"/>
      <c r="J3113" s="14"/>
      <c r="K3113" s="14"/>
      <c r="L3113" s="14"/>
      <c r="M3113" s="14"/>
    </row>
    <row r="3114" spans="1:13" x14ac:dyDescent="0.25">
      <c r="A3114" s="14"/>
      <c r="B3114" s="14"/>
      <c r="C3114" s="14"/>
      <c r="D3114" s="92"/>
      <c r="E3114" s="14"/>
      <c r="F3114" s="14"/>
      <c r="G3114" s="14"/>
      <c r="H3114" s="14"/>
      <c r="I3114" s="67"/>
      <c r="J3114" s="14"/>
      <c r="K3114" s="14"/>
      <c r="L3114" s="14"/>
      <c r="M3114" s="14"/>
    </row>
    <row r="3115" spans="1:13" x14ac:dyDescent="0.25">
      <c r="A3115" s="14"/>
      <c r="B3115" s="14"/>
      <c r="C3115" s="14"/>
      <c r="D3115" s="92"/>
      <c r="E3115" s="14"/>
      <c r="F3115" s="14"/>
      <c r="G3115" s="14"/>
      <c r="H3115" s="14"/>
      <c r="I3115" s="67"/>
      <c r="J3115" s="14"/>
      <c r="K3115" s="14"/>
      <c r="L3115" s="14"/>
      <c r="M3115" s="14"/>
    </row>
    <row r="3116" spans="1:13" x14ac:dyDescent="0.25">
      <c r="A3116" s="14"/>
      <c r="B3116" s="14"/>
      <c r="C3116" s="14"/>
      <c r="D3116" s="92"/>
      <c r="E3116" s="14"/>
      <c r="F3116" s="14"/>
      <c r="G3116" s="14"/>
      <c r="H3116" s="14"/>
      <c r="I3116" s="67"/>
      <c r="J3116" s="14"/>
      <c r="K3116" s="14"/>
      <c r="L3116" s="14"/>
      <c r="M3116" s="14"/>
    </row>
    <row r="3117" spans="1:13" x14ac:dyDescent="0.25">
      <c r="A3117" s="14"/>
      <c r="B3117" s="14"/>
      <c r="C3117" s="14"/>
      <c r="D3117" s="92"/>
      <c r="E3117" s="14"/>
      <c r="F3117" s="14"/>
      <c r="G3117" s="14"/>
      <c r="H3117" s="14"/>
      <c r="I3117" s="67"/>
      <c r="J3117" s="14"/>
      <c r="K3117" s="14"/>
      <c r="L3117" s="14"/>
      <c r="M3117" s="14"/>
    </row>
    <row r="3118" spans="1:13" x14ac:dyDescent="0.25">
      <c r="A3118" s="14"/>
      <c r="B3118" s="14"/>
      <c r="C3118" s="14"/>
      <c r="D3118" s="92"/>
      <c r="E3118" s="14"/>
      <c r="F3118" s="14"/>
      <c r="G3118" s="14"/>
      <c r="H3118" s="14"/>
      <c r="I3118" s="67"/>
      <c r="J3118" s="14"/>
      <c r="K3118" s="14"/>
      <c r="L3118" s="14"/>
      <c r="M3118" s="14"/>
    </row>
    <row r="3119" spans="1:13" x14ac:dyDescent="0.25">
      <c r="A3119" s="14"/>
      <c r="B3119" s="14"/>
      <c r="C3119" s="14"/>
      <c r="D3119" s="92"/>
      <c r="E3119" s="14"/>
      <c r="F3119" s="14"/>
      <c r="G3119" s="14"/>
      <c r="H3119" s="14"/>
      <c r="I3119" s="67"/>
      <c r="J3119" s="14"/>
      <c r="K3119" s="14"/>
      <c r="L3119" s="14"/>
      <c r="M3119" s="14"/>
    </row>
    <row r="3120" spans="1:13" x14ac:dyDescent="0.25">
      <c r="A3120" s="14"/>
      <c r="B3120" s="14"/>
      <c r="C3120" s="14"/>
      <c r="D3120" s="92"/>
      <c r="E3120" s="14"/>
      <c r="F3120" s="14"/>
      <c r="G3120" s="14"/>
      <c r="H3120" s="14"/>
      <c r="I3120" s="67"/>
      <c r="J3120" s="14"/>
      <c r="K3120" s="14"/>
      <c r="L3120" s="14"/>
      <c r="M3120" s="14"/>
    </row>
    <row r="3121" spans="1:13" x14ac:dyDescent="0.25">
      <c r="A3121" s="14"/>
      <c r="B3121" s="14"/>
      <c r="C3121" s="14"/>
      <c r="D3121" s="92"/>
      <c r="E3121" s="14"/>
      <c r="F3121" s="14"/>
      <c r="G3121" s="14"/>
      <c r="H3121" s="14"/>
      <c r="I3121" s="67"/>
      <c r="J3121" s="14"/>
      <c r="K3121" s="14"/>
      <c r="L3121" s="14"/>
      <c r="M3121" s="14"/>
    </row>
    <row r="3122" spans="1:13" x14ac:dyDescent="0.25">
      <c r="A3122" s="14"/>
      <c r="B3122" s="14"/>
      <c r="C3122" s="14"/>
      <c r="D3122" s="92"/>
      <c r="E3122" s="14"/>
      <c r="F3122" s="14"/>
      <c r="G3122" s="14"/>
      <c r="H3122" s="14"/>
      <c r="I3122" s="67"/>
      <c r="J3122" s="14"/>
      <c r="K3122" s="14"/>
      <c r="L3122" s="14"/>
      <c r="M3122" s="14"/>
    </row>
    <row r="3123" spans="1:13" x14ac:dyDescent="0.25">
      <c r="A3123" s="14"/>
      <c r="B3123" s="14"/>
      <c r="C3123" s="14"/>
      <c r="D3123" s="92"/>
      <c r="E3123" s="14"/>
      <c r="F3123" s="14"/>
      <c r="G3123" s="14"/>
      <c r="H3123" s="14"/>
      <c r="I3123" s="67"/>
      <c r="J3123" s="14"/>
      <c r="K3123" s="14"/>
      <c r="L3123" s="14"/>
      <c r="M3123" s="14"/>
    </row>
    <row r="3124" spans="1:13" x14ac:dyDescent="0.25">
      <c r="A3124" s="14"/>
      <c r="B3124" s="14"/>
      <c r="C3124" s="14"/>
      <c r="D3124" s="92"/>
      <c r="E3124" s="14"/>
      <c r="F3124" s="14"/>
      <c r="G3124" s="14"/>
      <c r="H3124" s="14"/>
      <c r="I3124" s="67"/>
      <c r="J3124" s="14"/>
      <c r="K3124" s="14"/>
      <c r="L3124" s="14"/>
      <c r="M3124" s="14"/>
    </row>
    <row r="3125" spans="1:13" x14ac:dyDescent="0.25">
      <c r="A3125" s="14"/>
      <c r="B3125" s="14"/>
      <c r="C3125" s="14"/>
      <c r="D3125" s="92"/>
      <c r="E3125" s="14"/>
      <c r="F3125" s="14"/>
      <c r="G3125" s="14"/>
      <c r="H3125" s="14"/>
      <c r="I3125" s="67"/>
      <c r="J3125" s="14"/>
      <c r="K3125" s="14"/>
      <c r="L3125" s="14"/>
      <c r="M3125" s="14"/>
    </row>
    <row r="3126" spans="1:13" x14ac:dyDescent="0.25">
      <c r="A3126" s="14"/>
      <c r="B3126" s="14"/>
      <c r="C3126" s="14"/>
      <c r="D3126" s="92"/>
      <c r="E3126" s="14"/>
      <c r="F3126" s="14"/>
      <c r="G3126" s="14"/>
      <c r="H3126" s="14"/>
      <c r="I3126" s="67"/>
      <c r="J3126" s="14"/>
      <c r="K3126" s="14"/>
      <c r="L3126" s="14"/>
      <c r="M3126" s="14"/>
    </row>
    <row r="3127" spans="1:13" x14ac:dyDescent="0.25">
      <c r="A3127" s="14"/>
      <c r="B3127" s="14"/>
      <c r="C3127" s="14"/>
      <c r="D3127" s="92"/>
      <c r="E3127" s="14"/>
      <c r="F3127" s="14"/>
      <c r="G3127" s="14"/>
      <c r="H3127" s="14"/>
      <c r="I3127" s="67"/>
      <c r="J3127" s="14"/>
      <c r="K3127" s="14"/>
      <c r="L3127" s="14"/>
      <c r="M3127" s="14"/>
    </row>
    <row r="3128" spans="1:13" x14ac:dyDescent="0.25">
      <c r="A3128" s="14"/>
      <c r="B3128" s="14"/>
      <c r="C3128" s="14"/>
      <c r="D3128" s="92"/>
      <c r="E3128" s="14"/>
      <c r="F3128" s="14"/>
      <c r="G3128" s="14"/>
      <c r="H3128" s="14"/>
      <c r="I3128" s="67"/>
      <c r="J3128" s="14"/>
      <c r="K3128" s="14"/>
      <c r="L3128" s="14"/>
      <c r="M3128" s="14"/>
    </row>
    <row r="3129" spans="1:13" x14ac:dyDescent="0.25">
      <c r="A3129" s="14"/>
      <c r="B3129" s="14"/>
      <c r="C3129" s="14"/>
      <c r="D3129" s="92"/>
      <c r="E3129" s="14"/>
      <c r="F3129" s="14"/>
      <c r="G3129" s="14"/>
      <c r="H3129" s="14"/>
      <c r="I3129" s="67"/>
      <c r="J3129" s="14"/>
      <c r="K3129" s="14"/>
      <c r="L3129" s="14"/>
      <c r="M3129" s="14"/>
    </row>
    <row r="3130" spans="1:13" x14ac:dyDescent="0.25">
      <c r="A3130" s="14"/>
      <c r="B3130" s="14"/>
      <c r="C3130" s="14"/>
      <c r="D3130" s="92"/>
      <c r="E3130" s="14"/>
      <c r="F3130" s="14"/>
      <c r="G3130" s="14"/>
      <c r="H3130" s="14"/>
      <c r="I3130" s="67"/>
      <c r="J3130" s="14"/>
      <c r="K3130" s="14"/>
      <c r="L3130" s="14"/>
      <c r="M3130" s="14"/>
    </row>
    <row r="3131" spans="1:13" x14ac:dyDescent="0.25">
      <c r="A3131" s="14"/>
      <c r="B3131" s="14"/>
      <c r="C3131" s="14"/>
      <c r="D3131" s="92"/>
      <c r="E3131" s="14"/>
      <c r="F3131" s="14"/>
      <c r="G3131" s="14"/>
      <c r="H3131" s="14"/>
      <c r="I3131" s="67"/>
      <c r="J3131" s="14"/>
      <c r="K3131" s="14"/>
      <c r="L3131" s="14"/>
      <c r="M3131" s="14"/>
    </row>
    <row r="3132" spans="1:13" x14ac:dyDescent="0.25">
      <c r="A3132" s="14"/>
      <c r="B3132" s="14"/>
      <c r="C3132" s="14"/>
      <c r="D3132" s="92"/>
      <c r="E3132" s="14"/>
      <c r="F3132" s="14"/>
      <c r="G3132" s="14"/>
      <c r="H3132" s="14"/>
      <c r="I3132" s="67"/>
      <c r="J3132" s="14"/>
      <c r="K3132" s="14"/>
      <c r="L3132" s="14"/>
      <c r="M3132" s="14"/>
    </row>
    <row r="3133" spans="1:13" x14ac:dyDescent="0.25">
      <c r="A3133" s="14"/>
      <c r="B3133" s="14"/>
      <c r="C3133" s="14"/>
      <c r="D3133" s="92"/>
      <c r="E3133" s="14"/>
      <c r="F3133" s="14"/>
      <c r="G3133" s="14"/>
      <c r="H3133" s="14"/>
      <c r="I3133" s="67"/>
      <c r="J3133" s="14"/>
      <c r="K3133" s="14"/>
      <c r="L3133" s="14"/>
      <c r="M3133" s="14"/>
    </row>
    <row r="3134" spans="1:13" x14ac:dyDescent="0.25">
      <c r="A3134" s="14"/>
      <c r="B3134" s="14"/>
      <c r="C3134" s="14"/>
      <c r="D3134" s="92"/>
      <c r="E3134" s="14"/>
      <c r="F3134" s="14"/>
      <c r="G3134" s="14"/>
      <c r="H3134" s="14"/>
      <c r="I3134" s="67"/>
      <c r="J3134" s="14"/>
      <c r="K3134" s="14"/>
      <c r="L3134" s="14"/>
      <c r="M3134" s="14"/>
    </row>
    <row r="3135" spans="1:13" x14ac:dyDescent="0.25">
      <c r="A3135" s="14"/>
      <c r="B3135" s="14"/>
      <c r="C3135" s="14"/>
      <c r="D3135" s="92"/>
      <c r="E3135" s="14"/>
      <c r="F3135" s="14"/>
      <c r="G3135" s="14"/>
      <c r="H3135" s="14"/>
      <c r="I3135" s="67"/>
      <c r="J3135" s="14"/>
      <c r="K3135" s="14"/>
      <c r="L3135" s="14"/>
      <c r="M3135" s="14"/>
    </row>
    <row r="3136" spans="1:13" x14ac:dyDescent="0.25">
      <c r="A3136" s="14"/>
      <c r="B3136" s="14"/>
      <c r="C3136" s="14"/>
      <c r="D3136" s="92"/>
      <c r="E3136" s="14"/>
      <c r="F3136" s="14"/>
      <c r="G3136" s="14"/>
      <c r="H3136" s="14"/>
      <c r="I3136" s="67"/>
      <c r="J3136" s="14"/>
      <c r="K3136" s="14"/>
      <c r="L3136" s="14"/>
      <c r="M3136" s="14"/>
    </row>
    <row r="3137" spans="1:13" x14ac:dyDescent="0.25">
      <c r="A3137" s="14"/>
      <c r="B3137" s="14"/>
      <c r="C3137" s="14"/>
      <c r="D3137" s="92"/>
      <c r="E3137" s="14"/>
      <c r="F3137" s="14"/>
      <c r="G3137" s="14"/>
      <c r="H3137" s="14"/>
      <c r="I3137" s="67"/>
      <c r="J3137" s="14"/>
      <c r="K3137" s="14"/>
      <c r="L3137" s="14"/>
      <c r="M3137" s="14"/>
    </row>
    <row r="3138" spans="1:13" x14ac:dyDescent="0.25">
      <c r="A3138" s="14"/>
      <c r="B3138" s="14"/>
      <c r="C3138" s="14"/>
      <c r="D3138" s="92"/>
      <c r="E3138" s="14"/>
      <c r="F3138" s="14"/>
      <c r="G3138" s="14"/>
      <c r="H3138" s="14"/>
      <c r="I3138" s="67"/>
      <c r="J3138" s="14"/>
      <c r="K3138" s="14"/>
      <c r="L3138" s="14"/>
      <c r="M3138" s="14"/>
    </row>
    <row r="3139" spans="1:13" x14ac:dyDescent="0.25">
      <c r="A3139" s="14"/>
      <c r="B3139" s="14"/>
      <c r="C3139" s="14"/>
      <c r="D3139" s="92"/>
      <c r="E3139" s="14"/>
      <c r="F3139" s="14"/>
      <c r="G3139" s="14"/>
      <c r="H3139" s="14"/>
      <c r="I3139" s="67"/>
      <c r="J3139" s="14"/>
      <c r="K3139" s="14"/>
      <c r="L3139" s="14"/>
      <c r="M3139" s="14"/>
    </row>
    <row r="3140" spans="1:13" x14ac:dyDescent="0.25">
      <c r="A3140" s="14"/>
      <c r="B3140" s="14"/>
      <c r="C3140" s="14"/>
      <c r="D3140" s="92"/>
      <c r="E3140" s="14"/>
      <c r="F3140" s="14"/>
      <c r="G3140" s="14"/>
      <c r="H3140" s="14"/>
      <c r="I3140" s="67"/>
      <c r="J3140" s="14"/>
      <c r="K3140" s="14"/>
      <c r="L3140" s="14"/>
      <c r="M3140" s="14"/>
    </row>
    <row r="3141" spans="1:13" x14ac:dyDescent="0.25">
      <c r="A3141" s="14"/>
      <c r="B3141" s="14"/>
      <c r="C3141" s="14"/>
      <c r="D3141" s="92"/>
      <c r="E3141" s="14"/>
      <c r="F3141" s="14"/>
      <c r="G3141" s="14"/>
      <c r="H3141" s="14"/>
      <c r="I3141" s="67"/>
      <c r="J3141" s="14"/>
      <c r="K3141" s="14"/>
      <c r="L3141" s="14"/>
      <c r="M3141" s="14"/>
    </row>
    <row r="3142" spans="1:13" x14ac:dyDescent="0.25">
      <c r="A3142" s="14"/>
      <c r="B3142" s="14"/>
      <c r="C3142" s="14"/>
      <c r="D3142" s="92"/>
      <c r="E3142" s="14"/>
      <c r="F3142" s="14"/>
      <c r="G3142" s="14"/>
      <c r="H3142" s="14"/>
      <c r="I3142" s="67"/>
      <c r="J3142" s="14"/>
      <c r="K3142" s="14"/>
      <c r="L3142" s="14"/>
      <c r="M3142" s="14"/>
    </row>
    <row r="3143" spans="1:13" x14ac:dyDescent="0.25">
      <c r="A3143" s="14"/>
      <c r="B3143" s="14"/>
      <c r="C3143" s="14"/>
      <c r="D3143" s="92"/>
      <c r="E3143" s="14"/>
      <c r="F3143" s="14"/>
      <c r="G3143" s="14"/>
      <c r="H3143" s="14"/>
      <c r="I3143" s="67"/>
      <c r="J3143" s="14"/>
      <c r="K3143" s="14"/>
      <c r="L3143" s="14"/>
      <c r="M3143" s="14"/>
    </row>
    <row r="3144" spans="1:13" x14ac:dyDescent="0.25">
      <c r="A3144" s="14"/>
      <c r="B3144" s="14"/>
      <c r="C3144" s="14"/>
      <c r="D3144" s="92"/>
      <c r="E3144" s="14"/>
      <c r="F3144" s="14"/>
      <c r="G3144" s="14"/>
      <c r="H3144" s="14"/>
      <c r="I3144" s="67"/>
      <c r="J3144" s="14"/>
      <c r="K3144" s="14"/>
      <c r="L3144" s="14"/>
      <c r="M3144" s="14"/>
    </row>
    <row r="3145" spans="1:13" x14ac:dyDescent="0.25">
      <c r="A3145" s="14"/>
      <c r="B3145" s="14"/>
      <c r="C3145" s="14"/>
      <c r="D3145" s="92"/>
      <c r="E3145" s="14"/>
      <c r="F3145" s="14"/>
      <c r="G3145" s="14"/>
      <c r="H3145" s="14"/>
      <c r="I3145" s="67"/>
      <c r="J3145" s="14"/>
      <c r="K3145" s="14"/>
      <c r="L3145" s="14"/>
      <c r="M3145" s="14"/>
    </row>
    <row r="3146" spans="1:13" x14ac:dyDescent="0.25">
      <c r="A3146" s="14"/>
      <c r="B3146" s="14"/>
      <c r="C3146" s="14"/>
      <c r="D3146" s="92"/>
      <c r="E3146" s="14"/>
      <c r="F3146" s="14"/>
      <c r="G3146" s="14"/>
      <c r="H3146" s="14"/>
      <c r="I3146" s="67"/>
      <c r="J3146" s="14"/>
      <c r="K3146" s="14"/>
      <c r="L3146" s="14"/>
      <c r="M3146" s="14"/>
    </row>
    <row r="3147" spans="1:13" x14ac:dyDescent="0.25">
      <c r="A3147" s="14"/>
      <c r="B3147" s="14"/>
      <c r="C3147" s="14"/>
      <c r="D3147" s="92"/>
      <c r="E3147" s="14"/>
      <c r="F3147" s="14"/>
      <c r="G3147" s="14"/>
      <c r="H3147" s="14"/>
      <c r="I3147" s="67"/>
      <c r="J3147" s="14"/>
      <c r="K3147" s="14"/>
      <c r="L3147" s="14"/>
      <c r="M3147" s="14"/>
    </row>
    <row r="3148" spans="1:13" x14ac:dyDescent="0.25">
      <c r="A3148" s="14"/>
      <c r="B3148" s="14"/>
      <c r="C3148" s="14"/>
      <c r="D3148" s="92"/>
      <c r="E3148" s="14"/>
      <c r="F3148" s="14"/>
      <c r="G3148" s="14"/>
      <c r="H3148" s="14"/>
      <c r="I3148" s="67"/>
      <c r="J3148" s="14"/>
      <c r="K3148" s="14"/>
      <c r="L3148" s="14"/>
      <c r="M3148" s="14"/>
    </row>
    <row r="3149" spans="1:13" x14ac:dyDescent="0.25">
      <c r="A3149" s="14"/>
      <c r="B3149" s="14"/>
      <c r="C3149" s="14"/>
      <c r="D3149" s="92"/>
      <c r="E3149" s="14"/>
      <c r="F3149" s="14"/>
      <c r="G3149" s="14"/>
      <c r="H3149" s="14"/>
      <c r="I3149" s="67"/>
      <c r="J3149" s="14"/>
      <c r="K3149" s="14"/>
      <c r="L3149" s="14"/>
      <c r="M3149" s="14"/>
    </row>
    <row r="3150" spans="1:13" x14ac:dyDescent="0.25">
      <c r="A3150" s="14"/>
      <c r="B3150" s="14"/>
      <c r="C3150" s="14"/>
      <c r="D3150" s="92"/>
      <c r="E3150" s="14"/>
      <c r="F3150" s="14"/>
      <c r="G3150" s="14"/>
      <c r="H3150" s="14"/>
      <c r="I3150" s="67"/>
      <c r="J3150" s="14"/>
      <c r="K3150" s="14"/>
      <c r="L3150" s="14"/>
      <c r="M3150" s="14"/>
    </row>
    <row r="3151" spans="1:13" x14ac:dyDescent="0.25">
      <c r="A3151" s="14"/>
      <c r="B3151" s="14"/>
      <c r="C3151" s="14"/>
      <c r="D3151" s="92"/>
      <c r="E3151" s="14"/>
      <c r="F3151" s="14"/>
      <c r="G3151" s="14"/>
      <c r="H3151" s="14"/>
      <c r="I3151" s="67"/>
      <c r="J3151" s="14"/>
      <c r="K3151" s="14"/>
      <c r="L3151" s="14"/>
      <c r="M3151" s="14"/>
    </row>
    <row r="3152" spans="1:13" x14ac:dyDescent="0.25">
      <c r="A3152" s="14"/>
      <c r="B3152" s="14"/>
      <c r="C3152" s="14"/>
      <c r="D3152" s="92"/>
      <c r="E3152" s="14"/>
      <c r="F3152" s="14"/>
      <c r="G3152" s="14"/>
      <c r="H3152" s="14"/>
      <c r="I3152" s="67"/>
      <c r="J3152" s="14"/>
      <c r="K3152" s="14"/>
      <c r="L3152" s="14"/>
      <c r="M3152" s="14"/>
    </row>
    <row r="3153" spans="1:13" x14ac:dyDescent="0.25">
      <c r="A3153" s="14"/>
      <c r="B3153" s="14"/>
      <c r="C3153" s="14"/>
      <c r="D3153" s="92"/>
      <c r="E3153" s="14"/>
      <c r="F3153" s="14"/>
      <c r="G3153" s="14"/>
      <c r="H3153" s="14"/>
      <c r="I3153" s="67"/>
      <c r="J3153" s="14"/>
      <c r="K3153" s="14"/>
      <c r="L3153" s="14"/>
      <c r="M3153" s="14"/>
    </row>
    <row r="3154" spans="1:13" x14ac:dyDescent="0.25">
      <c r="A3154" s="14"/>
      <c r="B3154" s="14"/>
      <c r="C3154" s="14"/>
      <c r="D3154" s="92"/>
      <c r="E3154" s="14"/>
      <c r="F3154" s="14"/>
      <c r="G3154" s="14"/>
      <c r="H3154" s="14"/>
      <c r="I3154" s="67"/>
      <c r="J3154" s="14"/>
      <c r="K3154" s="14"/>
      <c r="L3154" s="14"/>
      <c r="M3154" s="14"/>
    </row>
    <row r="3155" spans="1:13" x14ac:dyDescent="0.25">
      <c r="A3155" s="14"/>
      <c r="B3155" s="14"/>
      <c r="C3155" s="14"/>
      <c r="D3155" s="92"/>
      <c r="E3155" s="14"/>
      <c r="F3155" s="14"/>
      <c r="G3155" s="14"/>
      <c r="H3155" s="14"/>
      <c r="I3155" s="67"/>
      <c r="J3155" s="14"/>
      <c r="K3155" s="14"/>
      <c r="L3155" s="14"/>
      <c r="M3155" s="14"/>
    </row>
    <row r="3156" spans="1:13" x14ac:dyDescent="0.25">
      <c r="A3156" s="14"/>
      <c r="B3156" s="14"/>
      <c r="C3156" s="14"/>
      <c r="D3156" s="92"/>
      <c r="E3156" s="14"/>
      <c r="F3156" s="14"/>
      <c r="G3156" s="14"/>
      <c r="H3156" s="14"/>
      <c r="I3156" s="67"/>
      <c r="J3156" s="14"/>
      <c r="K3156" s="14"/>
      <c r="L3156" s="14"/>
      <c r="M3156" s="14"/>
    </row>
    <row r="3157" spans="1:13" x14ac:dyDescent="0.25">
      <c r="A3157" s="14"/>
      <c r="B3157" s="14"/>
      <c r="C3157" s="14"/>
      <c r="D3157" s="92"/>
      <c r="E3157" s="14"/>
      <c r="F3157" s="14"/>
      <c r="G3157" s="14"/>
      <c r="H3157" s="14"/>
      <c r="I3157" s="67"/>
      <c r="J3157" s="14"/>
      <c r="K3157" s="14"/>
      <c r="L3157" s="14"/>
      <c r="M3157" s="14"/>
    </row>
    <row r="3158" spans="1:13" x14ac:dyDescent="0.25">
      <c r="A3158" s="14"/>
      <c r="B3158" s="14"/>
      <c r="C3158" s="14"/>
      <c r="D3158" s="92"/>
      <c r="E3158" s="14"/>
      <c r="F3158" s="14"/>
      <c r="G3158" s="14"/>
      <c r="H3158" s="14"/>
      <c r="I3158" s="67"/>
      <c r="J3158" s="14"/>
      <c r="K3158" s="14"/>
      <c r="L3158" s="14"/>
      <c r="M3158" s="14"/>
    </row>
    <row r="3159" spans="1:13" x14ac:dyDescent="0.25">
      <c r="A3159" s="14"/>
      <c r="B3159" s="14"/>
      <c r="C3159" s="14"/>
      <c r="D3159" s="92"/>
      <c r="E3159" s="14"/>
      <c r="F3159" s="14"/>
      <c r="G3159" s="14"/>
      <c r="H3159" s="14"/>
      <c r="I3159" s="67"/>
      <c r="J3159" s="14"/>
      <c r="K3159" s="14"/>
      <c r="L3159" s="14"/>
      <c r="M3159" s="14"/>
    </row>
    <row r="3160" spans="1:13" x14ac:dyDescent="0.25">
      <c r="A3160" s="14"/>
      <c r="B3160" s="14"/>
      <c r="C3160" s="14"/>
      <c r="D3160" s="92"/>
      <c r="E3160" s="14"/>
      <c r="F3160" s="14"/>
      <c r="G3160" s="14"/>
      <c r="H3160" s="14"/>
      <c r="I3160" s="67"/>
      <c r="J3160" s="14"/>
      <c r="K3160" s="14"/>
      <c r="L3160" s="14"/>
      <c r="M3160" s="14"/>
    </row>
    <row r="3161" spans="1:13" x14ac:dyDescent="0.25">
      <c r="A3161" s="14"/>
      <c r="B3161" s="14"/>
      <c r="C3161" s="14"/>
      <c r="D3161" s="92"/>
      <c r="E3161" s="14"/>
      <c r="F3161" s="14"/>
      <c r="G3161" s="14"/>
      <c r="H3161" s="14"/>
      <c r="I3161" s="67"/>
      <c r="J3161" s="14"/>
      <c r="K3161" s="14"/>
      <c r="L3161" s="14"/>
      <c r="M3161" s="14"/>
    </row>
    <row r="3162" spans="1:13" x14ac:dyDescent="0.25">
      <c r="A3162" s="14"/>
      <c r="B3162" s="14"/>
      <c r="C3162" s="14"/>
      <c r="D3162" s="92"/>
      <c r="E3162" s="14"/>
      <c r="F3162" s="14"/>
      <c r="G3162" s="14"/>
      <c r="H3162" s="14"/>
      <c r="I3162" s="67"/>
      <c r="J3162" s="14"/>
      <c r="K3162" s="14"/>
      <c r="L3162" s="14"/>
      <c r="M3162" s="14"/>
    </row>
    <row r="3163" spans="1:13" x14ac:dyDescent="0.25">
      <c r="A3163" s="14"/>
      <c r="B3163" s="14"/>
      <c r="C3163" s="14"/>
      <c r="D3163" s="92"/>
      <c r="E3163" s="14"/>
      <c r="F3163" s="14"/>
      <c r="G3163" s="14"/>
      <c r="H3163" s="14"/>
      <c r="I3163" s="67"/>
      <c r="J3163" s="14"/>
      <c r="K3163" s="14"/>
      <c r="L3163" s="14"/>
      <c r="M3163" s="14"/>
    </row>
    <row r="3164" spans="1:13" x14ac:dyDescent="0.25">
      <c r="A3164" s="14"/>
      <c r="B3164" s="14"/>
      <c r="C3164" s="14"/>
      <c r="D3164" s="92"/>
      <c r="E3164" s="14"/>
      <c r="F3164" s="14"/>
      <c r="G3164" s="14"/>
      <c r="H3164" s="14"/>
      <c r="I3164" s="67"/>
      <c r="J3164" s="14"/>
      <c r="K3164" s="14"/>
      <c r="L3164" s="14"/>
      <c r="M3164" s="14"/>
    </row>
    <row r="3165" spans="1:13" x14ac:dyDescent="0.25">
      <c r="A3165" s="14"/>
      <c r="B3165" s="14"/>
      <c r="C3165" s="14"/>
      <c r="D3165" s="92"/>
      <c r="E3165" s="14"/>
      <c r="F3165" s="14"/>
      <c r="G3165" s="14"/>
      <c r="H3165" s="14"/>
      <c r="I3165" s="67"/>
      <c r="J3165" s="14"/>
      <c r="K3165" s="14"/>
      <c r="L3165" s="14"/>
      <c r="M3165" s="14"/>
    </row>
    <row r="3166" spans="1:13" x14ac:dyDescent="0.25">
      <c r="A3166" s="14"/>
      <c r="B3166" s="14"/>
      <c r="C3166" s="14"/>
      <c r="D3166" s="92"/>
      <c r="E3166" s="14"/>
      <c r="F3166" s="14"/>
      <c r="G3166" s="14"/>
      <c r="H3166" s="14"/>
      <c r="I3166" s="67"/>
      <c r="J3166" s="14"/>
      <c r="K3166" s="14"/>
      <c r="L3166" s="14"/>
      <c r="M3166" s="14"/>
    </row>
    <row r="3167" spans="1:13" x14ac:dyDescent="0.25">
      <c r="A3167" s="14"/>
      <c r="B3167" s="14"/>
      <c r="C3167" s="14"/>
      <c r="D3167" s="92"/>
      <c r="E3167" s="14"/>
      <c r="F3167" s="14"/>
      <c r="G3167" s="14"/>
      <c r="H3167" s="14"/>
      <c r="I3167" s="67"/>
      <c r="J3167" s="14"/>
      <c r="K3167" s="14"/>
      <c r="L3167" s="14"/>
      <c r="M3167" s="14"/>
    </row>
    <row r="3168" spans="1:13" x14ac:dyDescent="0.25">
      <c r="A3168" s="14"/>
      <c r="B3168" s="14"/>
      <c r="C3168" s="14"/>
      <c r="D3168" s="92"/>
      <c r="E3168" s="14"/>
      <c r="F3168" s="14"/>
      <c r="G3168" s="14"/>
      <c r="H3168" s="14"/>
      <c r="I3168" s="67"/>
      <c r="J3168" s="14"/>
      <c r="K3168" s="14"/>
      <c r="L3168" s="14"/>
      <c r="M3168" s="14"/>
    </row>
    <row r="3169" spans="1:13" x14ac:dyDescent="0.25">
      <c r="A3169" s="14"/>
      <c r="B3169" s="14"/>
      <c r="C3169" s="14"/>
      <c r="D3169" s="92"/>
      <c r="E3169" s="14"/>
      <c r="F3169" s="14"/>
      <c r="G3169" s="14"/>
      <c r="H3169" s="14"/>
      <c r="I3169" s="67"/>
      <c r="J3169" s="14"/>
      <c r="K3169" s="14"/>
      <c r="L3169" s="14"/>
      <c r="M3169" s="14"/>
    </row>
    <row r="3170" spans="1:13" x14ac:dyDescent="0.25">
      <c r="A3170" s="14"/>
      <c r="B3170" s="14"/>
      <c r="C3170" s="14"/>
      <c r="D3170" s="92"/>
      <c r="E3170" s="14"/>
      <c r="F3170" s="14"/>
      <c r="G3170" s="14"/>
      <c r="H3170" s="14"/>
      <c r="I3170" s="67"/>
      <c r="J3170" s="14"/>
      <c r="K3170" s="14"/>
      <c r="L3170" s="14"/>
      <c r="M3170" s="14"/>
    </row>
    <row r="3171" spans="1:13" x14ac:dyDescent="0.25">
      <c r="A3171" s="14"/>
      <c r="B3171" s="14"/>
      <c r="C3171" s="14"/>
      <c r="D3171" s="92"/>
      <c r="E3171" s="14"/>
      <c r="F3171" s="14"/>
      <c r="G3171" s="14"/>
      <c r="H3171" s="14"/>
      <c r="I3171" s="67"/>
      <c r="J3171" s="14"/>
      <c r="K3171" s="14"/>
      <c r="L3171" s="14"/>
      <c r="M3171" s="14"/>
    </row>
    <row r="3172" spans="1:13" x14ac:dyDescent="0.25">
      <c r="A3172" s="14"/>
      <c r="B3172" s="14"/>
      <c r="C3172" s="14"/>
      <c r="D3172" s="92"/>
      <c r="E3172" s="14"/>
      <c r="F3172" s="14"/>
      <c r="G3172" s="14"/>
      <c r="H3172" s="14"/>
      <c r="I3172" s="67"/>
      <c r="J3172" s="14"/>
      <c r="K3172" s="14"/>
      <c r="L3172" s="14"/>
      <c r="M3172" s="14"/>
    </row>
    <row r="3173" spans="1:13" x14ac:dyDescent="0.25">
      <c r="A3173" s="14"/>
      <c r="B3173" s="14"/>
      <c r="C3173" s="14"/>
      <c r="D3173" s="92"/>
      <c r="E3173" s="14"/>
      <c r="F3173" s="14"/>
      <c r="G3173" s="14"/>
      <c r="H3173" s="14"/>
      <c r="I3173" s="67"/>
      <c r="J3173" s="14"/>
      <c r="K3173" s="14"/>
      <c r="L3173" s="14"/>
      <c r="M3173" s="14"/>
    </row>
    <row r="3174" spans="1:13" x14ac:dyDescent="0.25">
      <c r="A3174" s="14"/>
      <c r="B3174" s="14"/>
      <c r="C3174" s="14"/>
      <c r="D3174" s="92"/>
      <c r="E3174" s="14"/>
      <c r="F3174" s="14"/>
      <c r="G3174" s="14"/>
      <c r="H3174" s="14"/>
      <c r="I3174" s="67"/>
      <c r="J3174" s="14"/>
      <c r="K3174" s="14"/>
      <c r="L3174" s="14"/>
      <c r="M3174" s="14"/>
    </row>
    <row r="3175" spans="1:13" x14ac:dyDescent="0.25">
      <c r="A3175" s="14"/>
      <c r="B3175" s="14"/>
      <c r="C3175" s="14"/>
      <c r="D3175" s="92"/>
      <c r="E3175" s="14"/>
      <c r="F3175" s="14"/>
      <c r="G3175" s="14"/>
      <c r="H3175" s="14"/>
      <c r="I3175" s="67"/>
      <c r="J3175" s="14"/>
      <c r="K3175" s="14"/>
      <c r="L3175" s="14"/>
      <c r="M3175" s="14"/>
    </row>
    <row r="3176" spans="1:13" x14ac:dyDescent="0.25">
      <c r="A3176" s="14"/>
      <c r="B3176" s="14"/>
      <c r="C3176" s="14"/>
      <c r="D3176" s="92"/>
      <c r="E3176" s="14"/>
      <c r="F3176" s="14"/>
      <c r="G3176" s="14"/>
      <c r="H3176" s="14"/>
      <c r="I3176" s="67"/>
      <c r="J3176" s="14"/>
      <c r="K3176" s="14"/>
      <c r="L3176" s="14"/>
      <c r="M3176" s="14"/>
    </row>
    <row r="3177" spans="1:13" x14ac:dyDescent="0.25">
      <c r="A3177" s="14"/>
      <c r="B3177" s="14"/>
      <c r="C3177" s="14"/>
      <c r="D3177" s="92"/>
      <c r="E3177" s="14"/>
      <c r="F3177" s="14"/>
      <c r="G3177" s="14"/>
      <c r="H3177" s="14"/>
      <c r="I3177" s="67"/>
      <c r="J3177" s="14"/>
      <c r="K3177" s="14"/>
      <c r="L3177" s="14"/>
      <c r="M3177" s="14"/>
    </row>
    <row r="3178" spans="1:13" x14ac:dyDescent="0.25">
      <c r="A3178" s="14"/>
      <c r="B3178" s="14"/>
      <c r="C3178" s="14"/>
      <c r="D3178" s="92"/>
      <c r="E3178" s="14"/>
      <c r="F3178" s="14"/>
      <c r="G3178" s="14"/>
      <c r="H3178" s="14"/>
      <c r="I3178" s="67"/>
      <c r="J3178" s="14"/>
      <c r="K3178" s="14"/>
      <c r="L3178" s="14"/>
      <c r="M3178" s="14"/>
    </row>
    <row r="3179" spans="1:13" x14ac:dyDescent="0.25">
      <c r="A3179" s="14"/>
      <c r="B3179" s="14"/>
      <c r="C3179" s="14"/>
      <c r="D3179" s="92"/>
      <c r="E3179" s="14"/>
      <c r="F3179" s="14"/>
      <c r="G3179" s="14"/>
      <c r="H3179" s="14"/>
      <c r="I3179" s="67"/>
      <c r="J3179" s="14"/>
      <c r="K3179" s="14"/>
      <c r="L3179" s="14"/>
      <c r="M3179" s="14"/>
    </row>
    <row r="3180" spans="1:13" x14ac:dyDescent="0.25">
      <c r="A3180" s="14"/>
      <c r="B3180" s="14"/>
      <c r="C3180" s="14"/>
      <c r="D3180" s="92"/>
      <c r="E3180" s="14"/>
      <c r="F3180" s="14"/>
      <c r="G3180" s="14"/>
      <c r="H3180" s="14"/>
      <c r="I3180" s="67"/>
      <c r="J3180" s="14"/>
      <c r="K3180" s="14"/>
      <c r="L3180" s="14"/>
      <c r="M3180" s="14"/>
    </row>
    <row r="3181" spans="1:13" x14ac:dyDescent="0.25">
      <c r="A3181" s="14"/>
      <c r="B3181" s="14"/>
      <c r="C3181" s="14"/>
      <c r="D3181" s="92"/>
      <c r="E3181" s="14"/>
      <c r="F3181" s="14"/>
      <c r="G3181" s="14"/>
      <c r="H3181" s="14"/>
      <c r="I3181" s="67"/>
      <c r="J3181" s="14"/>
      <c r="K3181" s="14"/>
      <c r="L3181" s="14"/>
      <c r="M3181" s="14"/>
    </row>
    <row r="3182" spans="1:13" x14ac:dyDescent="0.25">
      <c r="A3182" s="14"/>
      <c r="B3182" s="14"/>
      <c r="C3182" s="14"/>
      <c r="D3182" s="92"/>
      <c r="E3182" s="14"/>
      <c r="F3182" s="14"/>
      <c r="G3182" s="14"/>
      <c r="H3182" s="14"/>
      <c r="I3182" s="67"/>
      <c r="J3182" s="14"/>
      <c r="K3182" s="14"/>
      <c r="L3182" s="14"/>
      <c r="M3182" s="14"/>
    </row>
    <row r="3183" spans="1:13" x14ac:dyDescent="0.25">
      <c r="A3183" s="14"/>
      <c r="B3183" s="14"/>
      <c r="C3183" s="14"/>
      <c r="D3183" s="92"/>
      <c r="E3183" s="14"/>
      <c r="F3183" s="14"/>
      <c r="G3183" s="14"/>
      <c r="H3183" s="14"/>
      <c r="I3183" s="67"/>
      <c r="J3183" s="14"/>
      <c r="K3183" s="14"/>
      <c r="L3183" s="14"/>
      <c r="M3183" s="14"/>
    </row>
    <row r="3184" spans="1:13" x14ac:dyDescent="0.25">
      <c r="A3184" s="14"/>
      <c r="B3184" s="14"/>
      <c r="C3184" s="14"/>
      <c r="D3184" s="92"/>
      <c r="E3184" s="14"/>
      <c r="F3184" s="14"/>
      <c r="G3184" s="14"/>
      <c r="H3184" s="14"/>
      <c r="I3184" s="67"/>
      <c r="J3184" s="14"/>
      <c r="K3184" s="14"/>
      <c r="L3184" s="14"/>
      <c r="M3184" s="14"/>
    </row>
    <row r="3185" spans="1:13" x14ac:dyDescent="0.25">
      <c r="A3185" s="14"/>
      <c r="B3185" s="14"/>
      <c r="C3185" s="14"/>
      <c r="D3185" s="92"/>
      <c r="E3185" s="14"/>
      <c r="F3185" s="14"/>
      <c r="G3185" s="14"/>
      <c r="H3185" s="14"/>
      <c r="I3185" s="67"/>
      <c r="J3185" s="14"/>
      <c r="K3185" s="14"/>
      <c r="L3185" s="14"/>
      <c r="M3185" s="14"/>
    </row>
    <row r="3186" spans="1:13" x14ac:dyDescent="0.25">
      <c r="A3186" s="14"/>
      <c r="B3186" s="14"/>
      <c r="C3186" s="14"/>
      <c r="D3186" s="92"/>
      <c r="E3186" s="14"/>
      <c r="F3186" s="14"/>
      <c r="G3186" s="14"/>
      <c r="H3186" s="14"/>
      <c r="I3186" s="67"/>
      <c r="J3186" s="14"/>
      <c r="K3186" s="14"/>
      <c r="L3186" s="14"/>
      <c r="M3186" s="14"/>
    </row>
    <row r="3187" spans="1:13" x14ac:dyDescent="0.25">
      <c r="A3187" s="14"/>
      <c r="B3187" s="14"/>
      <c r="C3187" s="14"/>
      <c r="D3187" s="92"/>
      <c r="E3187" s="14"/>
      <c r="F3187" s="14"/>
      <c r="G3187" s="14"/>
      <c r="H3187" s="14"/>
      <c r="I3187" s="67"/>
      <c r="J3187" s="14"/>
      <c r="K3187" s="14"/>
      <c r="L3187" s="14"/>
      <c r="M3187" s="14"/>
    </row>
    <row r="3188" spans="1:13" x14ac:dyDescent="0.25">
      <c r="A3188" s="14"/>
      <c r="B3188" s="14"/>
      <c r="C3188" s="14"/>
      <c r="D3188" s="92"/>
      <c r="E3188" s="14"/>
      <c r="F3188" s="14"/>
      <c r="G3188" s="14"/>
      <c r="H3188" s="14"/>
      <c r="I3188" s="67"/>
      <c r="J3188" s="14"/>
      <c r="K3188" s="14"/>
      <c r="L3188" s="14"/>
      <c r="M3188" s="14"/>
    </row>
    <row r="3189" spans="1:13" x14ac:dyDescent="0.25">
      <c r="A3189" s="14"/>
      <c r="B3189" s="14"/>
      <c r="C3189" s="14"/>
      <c r="D3189" s="92"/>
      <c r="E3189" s="14"/>
      <c r="F3189" s="14"/>
      <c r="G3189" s="14"/>
      <c r="H3189" s="14"/>
      <c r="I3189" s="67"/>
      <c r="J3189" s="14"/>
      <c r="K3189" s="14"/>
      <c r="L3189" s="14"/>
      <c r="M3189" s="14"/>
    </row>
    <row r="3190" spans="1:13" x14ac:dyDescent="0.25">
      <c r="A3190" s="14"/>
      <c r="B3190" s="14"/>
      <c r="C3190" s="14"/>
      <c r="D3190" s="92"/>
      <c r="E3190" s="14"/>
      <c r="F3190" s="14"/>
      <c r="G3190" s="14"/>
      <c r="H3190" s="14"/>
      <c r="I3190" s="67"/>
      <c r="J3190" s="14"/>
      <c r="K3190" s="14"/>
      <c r="L3190" s="14"/>
      <c r="M3190" s="14"/>
    </row>
    <row r="3191" spans="1:13" x14ac:dyDescent="0.25">
      <c r="A3191" s="14"/>
      <c r="B3191" s="14"/>
      <c r="C3191" s="14"/>
      <c r="D3191" s="92"/>
      <c r="E3191" s="14"/>
      <c r="F3191" s="14"/>
      <c r="G3191" s="14"/>
      <c r="H3191" s="14"/>
      <c r="I3191" s="67"/>
      <c r="J3191" s="14"/>
      <c r="K3191" s="14"/>
      <c r="L3191" s="14"/>
      <c r="M3191" s="14"/>
    </row>
    <row r="3192" spans="1:13" x14ac:dyDescent="0.25">
      <c r="A3192" s="14"/>
      <c r="B3192" s="14"/>
      <c r="C3192" s="14"/>
      <c r="D3192" s="92"/>
      <c r="E3192" s="14"/>
      <c r="F3192" s="14"/>
      <c r="G3192" s="14"/>
      <c r="H3192" s="14"/>
      <c r="I3192" s="67"/>
      <c r="J3192" s="14"/>
      <c r="K3192" s="14"/>
      <c r="L3192" s="14"/>
      <c r="M3192" s="14"/>
    </row>
    <row r="3193" spans="1:13" x14ac:dyDescent="0.25">
      <c r="A3193" s="14"/>
      <c r="B3193" s="14"/>
      <c r="C3193" s="14"/>
      <c r="D3193" s="92"/>
      <c r="E3193" s="14"/>
      <c r="F3193" s="14"/>
      <c r="G3193" s="14"/>
      <c r="H3193" s="14"/>
      <c r="I3193" s="67"/>
      <c r="J3193" s="14"/>
      <c r="K3193" s="14"/>
      <c r="L3193" s="14"/>
      <c r="M3193" s="14"/>
    </row>
    <row r="3194" spans="1:13" x14ac:dyDescent="0.25">
      <c r="A3194" s="14"/>
      <c r="B3194" s="14"/>
      <c r="C3194" s="14"/>
      <c r="D3194" s="92"/>
      <c r="E3194" s="14"/>
      <c r="F3194" s="14"/>
      <c r="G3194" s="14"/>
      <c r="H3194" s="14"/>
      <c r="I3194" s="67"/>
      <c r="J3194" s="14"/>
      <c r="K3194" s="14"/>
      <c r="L3194" s="14"/>
      <c r="M3194" s="14"/>
    </row>
    <row r="3195" spans="1:13" x14ac:dyDescent="0.25">
      <c r="A3195" s="14"/>
      <c r="B3195" s="14"/>
      <c r="C3195" s="14"/>
      <c r="D3195" s="92"/>
      <c r="E3195" s="14"/>
      <c r="F3195" s="14"/>
      <c r="G3195" s="14"/>
      <c r="H3195" s="14"/>
      <c r="I3195" s="67"/>
      <c r="J3195" s="14"/>
      <c r="K3195" s="14"/>
      <c r="L3195" s="14"/>
      <c r="M3195" s="14"/>
    </row>
    <row r="3196" spans="1:13" x14ac:dyDescent="0.25">
      <c r="A3196" s="14"/>
      <c r="B3196" s="14"/>
      <c r="C3196" s="14"/>
      <c r="D3196" s="92"/>
      <c r="E3196" s="14"/>
      <c r="F3196" s="14"/>
      <c r="G3196" s="14"/>
      <c r="H3196" s="14"/>
      <c r="I3196" s="67"/>
      <c r="J3196" s="14"/>
      <c r="K3196" s="14"/>
      <c r="L3196" s="14"/>
      <c r="M3196" s="14"/>
    </row>
    <row r="3197" spans="1:13" x14ac:dyDescent="0.25">
      <c r="A3197" s="14"/>
      <c r="B3197" s="14"/>
      <c r="C3197" s="14"/>
      <c r="D3197" s="92"/>
      <c r="E3197" s="14"/>
      <c r="F3197" s="14"/>
      <c r="G3197" s="14"/>
      <c r="H3197" s="14"/>
      <c r="I3197" s="67"/>
      <c r="J3197" s="14"/>
      <c r="K3197" s="14"/>
      <c r="L3197" s="14"/>
      <c r="M3197" s="14"/>
    </row>
    <row r="3198" spans="1:13" x14ac:dyDescent="0.25">
      <c r="A3198" s="14"/>
      <c r="B3198" s="14"/>
      <c r="C3198" s="14"/>
      <c r="D3198" s="92"/>
      <c r="E3198" s="14"/>
      <c r="F3198" s="14"/>
      <c r="G3198" s="14"/>
      <c r="H3198" s="14"/>
      <c r="I3198" s="67"/>
      <c r="J3198" s="14"/>
      <c r="K3198" s="14"/>
      <c r="L3198" s="14"/>
      <c r="M3198" s="14"/>
    </row>
    <row r="3199" spans="1:13" x14ac:dyDescent="0.25">
      <c r="A3199" s="14"/>
      <c r="B3199" s="14"/>
      <c r="C3199" s="14"/>
      <c r="D3199" s="92"/>
      <c r="E3199" s="14"/>
      <c r="F3199" s="14"/>
      <c r="G3199" s="14"/>
      <c r="H3199" s="14"/>
      <c r="I3199" s="67"/>
      <c r="J3199" s="14"/>
      <c r="K3199" s="14"/>
      <c r="L3199" s="14"/>
      <c r="M3199" s="14"/>
    </row>
    <row r="3200" spans="1:13" x14ac:dyDescent="0.25">
      <c r="A3200" s="14"/>
      <c r="B3200" s="14"/>
      <c r="C3200" s="14"/>
      <c r="D3200" s="92"/>
      <c r="E3200" s="14"/>
      <c r="F3200" s="14"/>
      <c r="G3200" s="14"/>
      <c r="H3200" s="14"/>
      <c r="I3200" s="67"/>
      <c r="J3200" s="14"/>
      <c r="K3200" s="14"/>
      <c r="L3200" s="14"/>
      <c r="M3200" s="14"/>
    </row>
    <row r="3201" spans="1:13" x14ac:dyDescent="0.25">
      <c r="A3201" s="14"/>
      <c r="B3201" s="14"/>
      <c r="C3201" s="14"/>
      <c r="D3201" s="92"/>
      <c r="E3201" s="14"/>
      <c r="F3201" s="14"/>
      <c r="G3201" s="14"/>
      <c r="H3201" s="14"/>
      <c r="I3201" s="67"/>
      <c r="J3201" s="14"/>
      <c r="K3201" s="14"/>
      <c r="L3201" s="14"/>
      <c r="M3201" s="14"/>
    </row>
    <row r="3202" spans="1:13" x14ac:dyDescent="0.25">
      <c r="A3202" s="14"/>
      <c r="B3202" s="14"/>
      <c r="C3202" s="14"/>
      <c r="D3202" s="92"/>
      <c r="E3202" s="14"/>
      <c r="F3202" s="14"/>
      <c r="G3202" s="14"/>
      <c r="H3202" s="14"/>
      <c r="I3202" s="67"/>
      <c r="J3202" s="14"/>
      <c r="K3202" s="14"/>
      <c r="L3202" s="14"/>
      <c r="M3202" s="14"/>
    </row>
    <row r="3203" spans="1:13" x14ac:dyDescent="0.25">
      <c r="A3203" s="14"/>
      <c r="B3203" s="14"/>
      <c r="C3203" s="14"/>
      <c r="D3203" s="92"/>
      <c r="E3203" s="14"/>
      <c r="F3203" s="14"/>
      <c r="G3203" s="14"/>
      <c r="H3203" s="14"/>
      <c r="I3203" s="67"/>
      <c r="J3203" s="14"/>
      <c r="K3203" s="14"/>
      <c r="L3203" s="14"/>
      <c r="M3203" s="14"/>
    </row>
    <row r="3204" spans="1:13" x14ac:dyDescent="0.25">
      <c r="A3204" s="14"/>
      <c r="B3204" s="14"/>
      <c r="C3204" s="14"/>
      <c r="D3204" s="92"/>
      <c r="E3204" s="14"/>
      <c r="F3204" s="14"/>
      <c r="G3204" s="14"/>
      <c r="H3204" s="14"/>
      <c r="I3204" s="67"/>
      <c r="J3204" s="14"/>
      <c r="K3204" s="14"/>
      <c r="L3204" s="14"/>
      <c r="M3204" s="14"/>
    </row>
    <row r="3205" spans="1:13" x14ac:dyDescent="0.25">
      <c r="A3205" s="14"/>
      <c r="B3205" s="14"/>
      <c r="C3205" s="14"/>
      <c r="D3205" s="92"/>
      <c r="E3205" s="14"/>
      <c r="F3205" s="14"/>
      <c r="G3205" s="14"/>
      <c r="H3205" s="14"/>
      <c r="I3205" s="67"/>
      <c r="J3205" s="14"/>
      <c r="K3205" s="14"/>
      <c r="L3205" s="14"/>
      <c r="M3205" s="14"/>
    </row>
    <row r="3206" spans="1:13" x14ac:dyDescent="0.25">
      <c r="A3206" s="14"/>
      <c r="B3206" s="14"/>
      <c r="C3206" s="14"/>
      <c r="D3206" s="92"/>
      <c r="E3206" s="14"/>
      <c r="F3206" s="14"/>
      <c r="G3206" s="14"/>
      <c r="H3206" s="14"/>
      <c r="I3206" s="67"/>
      <c r="J3206" s="14"/>
      <c r="K3206" s="14"/>
      <c r="L3206" s="14"/>
      <c r="M3206" s="14"/>
    </row>
    <row r="3207" spans="1:13" x14ac:dyDescent="0.25">
      <c r="A3207" s="14"/>
      <c r="B3207" s="14"/>
      <c r="C3207" s="14"/>
      <c r="D3207" s="92"/>
      <c r="E3207" s="14"/>
      <c r="F3207" s="14"/>
      <c r="G3207" s="14"/>
      <c r="H3207" s="14"/>
      <c r="I3207" s="67"/>
      <c r="J3207" s="14"/>
      <c r="K3207" s="14"/>
      <c r="L3207" s="14"/>
      <c r="M3207" s="14"/>
    </row>
    <row r="3208" spans="1:13" x14ac:dyDescent="0.25">
      <c r="A3208" s="14"/>
      <c r="B3208" s="14"/>
      <c r="C3208" s="14"/>
      <c r="D3208" s="92"/>
      <c r="E3208" s="14"/>
      <c r="F3208" s="14"/>
      <c r="G3208" s="14"/>
      <c r="H3208" s="14"/>
      <c r="I3208" s="67"/>
      <c r="J3208" s="14"/>
      <c r="K3208" s="14"/>
      <c r="L3208" s="14"/>
      <c r="M3208" s="14"/>
    </row>
    <row r="3209" spans="1:13" x14ac:dyDescent="0.25">
      <c r="A3209" s="14"/>
      <c r="B3209" s="14"/>
      <c r="C3209" s="14"/>
      <c r="D3209" s="92"/>
      <c r="E3209" s="14"/>
      <c r="F3209" s="14"/>
      <c r="G3209" s="14"/>
      <c r="H3209" s="14"/>
      <c r="I3209" s="67"/>
      <c r="J3209" s="14"/>
      <c r="K3209" s="14"/>
      <c r="L3209" s="14"/>
      <c r="M3209" s="14"/>
    </row>
    <row r="3210" spans="1:13" x14ac:dyDescent="0.25">
      <c r="A3210" s="14"/>
      <c r="B3210" s="14"/>
      <c r="C3210" s="14"/>
      <c r="D3210" s="92"/>
      <c r="E3210" s="14"/>
      <c r="F3210" s="14"/>
      <c r="G3210" s="14"/>
      <c r="H3210" s="14"/>
      <c r="I3210" s="67"/>
      <c r="J3210" s="14"/>
      <c r="K3210" s="14"/>
      <c r="L3210" s="14"/>
      <c r="M3210" s="14"/>
    </row>
    <row r="3211" spans="1:13" x14ac:dyDescent="0.25">
      <c r="A3211" s="14"/>
      <c r="B3211" s="14"/>
      <c r="C3211" s="14"/>
      <c r="D3211" s="92"/>
      <c r="E3211" s="14"/>
      <c r="F3211" s="14"/>
      <c r="G3211" s="14"/>
      <c r="H3211" s="14"/>
      <c r="I3211" s="67"/>
      <c r="J3211" s="14"/>
      <c r="K3211" s="14"/>
      <c r="L3211" s="14"/>
      <c r="M3211" s="14"/>
    </row>
    <row r="3212" spans="1:13" x14ac:dyDescent="0.25">
      <c r="A3212" s="14"/>
      <c r="B3212" s="14"/>
      <c r="C3212" s="14"/>
      <c r="D3212" s="92"/>
      <c r="E3212" s="14"/>
      <c r="F3212" s="14"/>
      <c r="G3212" s="14"/>
      <c r="H3212" s="14"/>
      <c r="I3212" s="67"/>
      <c r="J3212" s="14"/>
      <c r="K3212" s="14"/>
      <c r="L3212" s="14"/>
      <c r="M3212" s="14"/>
    </row>
    <row r="3213" spans="1:13" x14ac:dyDescent="0.25">
      <c r="A3213" s="14"/>
      <c r="B3213" s="14"/>
      <c r="C3213" s="14"/>
      <c r="D3213" s="92"/>
      <c r="E3213" s="14"/>
      <c r="F3213" s="14"/>
      <c r="G3213" s="14"/>
      <c r="H3213" s="14"/>
      <c r="I3213" s="67"/>
      <c r="J3213" s="14"/>
      <c r="K3213" s="14"/>
      <c r="L3213" s="14"/>
      <c r="M3213" s="14"/>
    </row>
    <row r="3214" spans="1:13" x14ac:dyDescent="0.25">
      <c r="A3214" s="14"/>
      <c r="B3214" s="14"/>
      <c r="C3214" s="14"/>
      <c r="D3214" s="92"/>
      <c r="E3214" s="14"/>
      <c r="F3214" s="14"/>
      <c r="G3214" s="14"/>
      <c r="H3214" s="14"/>
      <c r="I3214" s="67"/>
      <c r="J3214" s="14"/>
      <c r="K3214" s="14"/>
      <c r="L3214" s="14"/>
      <c r="M3214" s="14"/>
    </row>
    <row r="3215" spans="1:13" x14ac:dyDescent="0.25">
      <c r="A3215" s="14"/>
      <c r="B3215" s="14"/>
      <c r="C3215" s="14"/>
      <c r="D3215" s="92"/>
      <c r="E3215" s="14"/>
      <c r="F3215" s="14"/>
      <c r="G3215" s="14"/>
      <c r="H3215" s="14"/>
      <c r="I3215" s="67"/>
      <c r="J3215" s="14"/>
      <c r="K3215" s="14"/>
      <c r="L3215" s="14"/>
      <c r="M3215" s="14"/>
    </row>
    <row r="3216" spans="1:13" x14ac:dyDescent="0.25">
      <c r="A3216" s="14"/>
      <c r="B3216" s="14"/>
      <c r="C3216" s="14"/>
      <c r="D3216" s="92"/>
      <c r="E3216" s="14"/>
      <c r="F3216" s="14"/>
      <c r="G3216" s="14"/>
      <c r="H3216" s="14"/>
      <c r="I3216" s="67"/>
      <c r="J3216" s="14"/>
      <c r="K3216" s="14"/>
      <c r="L3216" s="14"/>
      <c r="M3216" s="14"/>
    </row>
    <row r="3217" spans="1:13" x14ac:dyDescent="0.25">
      <c r="A3217" s="14"/>
      <c r="B3217" s="14"/>
      <c r="C3217" s="14"/>
      <c r="D3217" s="92"/>
      <c r="E3217" s="14"/>
      <c r="F3217" s="14"/>
      <c r="G3217" s="14"/>
      <c r="H3217" s="14"/>
      <c r="I3217" s="67"/>
      <c r="J3217" s="14"/>
      <c r="K3217" s="14"/>
      <c r="L3217" s="14"/>
      <c r="M3217" s="14"/>
    </row>
    <row r="3218" spans="1:13" x14ac:dyDescent="0.25">
      <c r="A3218" s="14"/>
      <c r="B3218" s="14"/>
      <c r="C3218" s="14"/>
      <c r="D3218" s="92"/>
      <c r="E3218" s="14"/>
      <c r="F3218" s="14"/>
      <c r="G3218" s="14"/>
      <c r="H3218" s="14"/>
      <c r="I3218" s="67"/>
      <c r="J3218" s="14"/>
      <c r="K3218" s="14"/>
      <c r="L3218" s="14"/>
      <c r="M3218" s="14"/>
    </row>
    <row r="3219" spans="1:13" x14ac:dyDescent="0.25">
      <c r="A3219" s="14"/>
      <c r="B3219" s="14"/>
      <c r="C3219" s="14"/>
      <c r="D3219" s="92"/>
      <c r="E3219" s="14"/>
      <c r="F3219" s="14"/>
      <c r="G3219" s="14"/>
      <c r="H3219" s="14"/>
      <c r="I3219" s="67"/>
      <c r="J3219" s="14"/>
      <c r="K3219" s="14"/>
      <c r="L3219" s="14"/>
      <c r="M3219" s="14"/>
    </row>
    <row r="3220" spans="1:13" x14ac:dyDescent="0.25">
      <c r="A3220" s="14"/>
      <c r="B3220" s="14"/>
      <c r="C3220" s="14"/>
      <c r="D3220" s="92"/>
      <c r="E3220" s="14"/>
      <c r="F3220" s="14"/>
      <c r="G3220" s="14"/>
      <c r="H3220" s="14"/>
      <c r="I3220" s="67"/>
      <c r="J3220" s="14"/>
      <c r="K3220" s="14"/>
      <c r="L3220" s="14"/>
      <c r="M3220" s="14"/>
    </row>
    <row r="3221" spans="1:13" x14ac:dyDescent="0.25">
      <c r="A3221" s="14"/>
      <c r="B3221" s="14"/>
      <c r="C3221" s="14"/>
      <c r="D3221" s="92"/>
      <c r="E3221" s="14"/>
      <c r="F3221" s="14"/>
      <c r="G3221" s="14"/>
      <c r="H3221" s="14"/>
      <c r="I3221" s="67"/>
      <c r="J3221" s="14"/>
      <c r="K3221" s="14"/>
      <c r="L3221" s="14"/>
      <c r="M3221" s="14"/>
    </row>
    <row r="3222" spans="1:13" x14ac:dyDescent="0.25">
      <c r="A3222" s="14"/>
      <c r="B3222" s="14"/>
      <c r="C3222" s="14"/>
      <c r="D3222" s="92"/>
      <c r="E3222" s="14"/>
      <c r="F3222" s="14"/>
      <c r="G3222" s="14"/>
      <c r="H3222" s="14"/>
      <c r="I3222" s="67"/>
      <c r="J3222" s="14"/>
      <c r="K3222" s="14"/>
      <c r="L3222" s="14"/>
      <c r="M3222" s="14"/>
    </row>
    <row r="3223" spans="1:13" x14ac:dyDescent="0.25">
      <c r="A3223" s="14"/>
      <c r="B3223" s="14"/>
      <c r="C3223" s="14"/>
      <c r="D3223" s="92"/>
      <c r="E3223" s="14"/>
      <c r="F3223" s="14"/>
      <c r="G3223" s="14"/>
      <c r="H3223" s="14"/>
      <c r="I3223" s="67"/>
      <c r="J3223" s="14"/>
      <c r="K3223" s="14"/>
      <c r="L3223" s="14"/>
      <c r="M3223" s="14"/>
    </row>
    <row r="3224" spans="1:13" x14ac:dyDescent="0.25">
      <c r="A3224" s="14"/>
      <c r="B3224" s="14"/>
      <c r="C3224" s="14"/>
      <c r="D3224" s="92"/>
      <c r="E3224" s="14"/>
      <c r="F3224" s="14"/>
      <c r="G3224" s="14"/>
      <c r="H3224" s="14"/>
      <c r="I3224" s="67"/>
      <c r="J3224" s="14"/>
      <c r="K3224" s="14"/>
      <c r="L3224" s="14"/>
      <c r="M3224" s="14"/>
    </row>
    <row r="3225" spans="1:13" x14ac:dyDescent="0.25">
      <c r="A3225" s="14"/>
      <c r="B3225" s="14"/>
      <c r="C3225" s="14"/>
      <c r="D3225" s="92"/>
      <c r="E3225" s="14"/>
      <c r="F3225" s="14"/>
      <c r="G3225" s="14"/>
      <c r="H3225" s="14"/>
      <c r="I3225" s="67"/>
      <c r="J3225" s="14"/>
      <c r="K3225" s="14"/>
      <c r="L3225" s="14"/>
      <c r="M3225" s="14"/>
    </row>
    <row r="3226" spans="1:13" x14ac:dyDescent="0.25">
      <c r="A3226" s="14"/>
      <c r="B3226" s="14"/>
      <c r="C3226" s="14"/>
      <c r="D3226" s="92"/>
      <c r="E3226" s="14"/>
      <c r="F3226" s="14"/>
      <c r="G3226" s="14"/>
      <c r="H3226" s="14"/>
      <c r="I3226" s="67"/>
      <c r="J3226" s="14"/>
      <c r="K3226" s="14"/>
      <c r="L3226" s="14"/>
      <c r="M3226" s="14"/>
    </row>
    <row r="3227" spans="1:13" x14ac:dyDescent="0.25">
      <c r="A3227" s="14"/>
      <c r="B3227" s="14"/>
      <c r="C3227" s="14"/>
      <c r="D3227" s="92"/>
      <c r="E3227" s="14"/>
      <c r="F3227" s="14"/>
      <c r="G3227" s="14"/>
      <c r="H3227" s="14"/>
      <c r="I3227" s="67"/>
      <c r="J3227" s="14"/>
      <c r="K3227" s="14"/>
      <c r="L3227" s="14"/>
      <c r="M3227" s="14"/>
    </row>
    <row r="3228" spans="1:13" x14ac:dyDescent="0.25">
      <c r="A3228" s="14"/>
      <c r="B3228" s="14"/>
      <c r="C3228" s="14"/>
      <c r="D3228" s="92"/>
      <c r="E3228" s="14"/>
      <c r="F3228" s="14"/>
      <c r="G3228" s="14"/>
      <c r="H3228" s="14"/>
      <c r="I3228" s="67"/>
      <c r="J3228" s="14"/>
      <c r="K3228" s="14"/>
      <c r="L3228" s="14"/>
      <c r="M3228" s="14"/>
    </row>
    <row r="3229" spans="1:13" x14ac:dyDescent="0.25">
      <c r="A3229" s="14"/>
      <c r="B3229" s="14"/>
      <c r="C3229" s="14"/>
      <c r="D3229" s="92"/>
      <c r="E3229" s="14"/>
      <c r="F3229" s="14"/>
      <c r="G3229" s="14"/>
      <c r="H3229" s="14"/>
      <c r="I3229" s="67"/>
      <c r="J3229" s="14"/>
      <c r="K3229" s="14"/>
      <c r="L3229" s="14"/>
      <c r="M3229" s="14"/>
    </row>
    <row r="3230" spans="1:13" x14ac:dyDescent="0.25">
      <c r="A3230" s="14"/>
      <c r="B3230" s="14"/>
      <c r="C3230" s="14"/>
      <c r="D3230" s="92"/>
      <c r="E3230" s="14"/>
      <c r="F3230" s="14"/>
      <c r="G3230" s="14"/>
      <c r="H3230" s="14"/>
      <c r="I3230" s="67"/>
      <c r="J3230" s="14"/>
      <c r="K3230" s="14"/>
      <c r="L3230" s="14"/>
      <c r="M3230" s="14"/>
    </row>
    <row r="3231" spans="1:13" x14ac:dyDescent="0.25">
      <c r="A3231" s="14"/>
      <c r="B3231" s="14"/>
      <c r="C3231" s="14"/>
      <c r="D3231" s="92"/>
      <c r="E3231" s="14"/>
      <c r="F3231" s="14"/>
      <c r="G3231" s="14"/>
      <c r="H3231" s="14"/>
      <c r="I3231" s="67"/>
      <c r="J3231" s="14"/>
      <c r="K3231" s="14"/>
      <c r="L3231" s="14"/>
      <c r="M3231" s="14"/>
    </row>
    <row r="3232" spans="1:13" x14ac:dyDescent="0.25">
      <c r="A3232" s="14"/>
      <c r="B3232" s="14"/>
      <c r="C3232" s="14"/>
      <c r="D3232" s="92"/>
      <c r="E3232" s="14"/>
      <c r="F3232" s="14"/>
      <c r="G3232" s="14"/>
      <c r="H3232" s="14"/>
      <c r="I3232" s="67"/>
      <c r="J3232" s="14"/>
      <c r="K3232" s="14"/>
      <c r="L3232" s="14"/>
      <c r="M3232" s="14"/>
    </row>
    <row r="3233" spans="1:13" x14ac:dyDescent="0.25">
      <c r="A3233" s="14"/>
      <c r="B3233" s="14"/>
      <c r="C3233" s="14"/>
      <c r="D3233" s="92"/>
      <c r="E3233" s="14"/>
      <c r="F3233" s="14"/>
      <c r="G3233" s="14"/>
      <c r="H3233" s="14"/>
      <c r="I3233" s="67"/>
      <c r="J3233" s="14"/>
      <c r="K3233" s="14"/>
      <c r="L3233" s="14"/>
      <c r="M3233" s="14"/>
    </row>
    <row r="3234" spans="1:13" x14ac:dyDescent="0.25">
      <c r="A3234" s="14"/>
      <c r="B3234" s="14"/>
      <c r="C3234" s="14"/>
      <c r="D3234" s="92"/>
      <c r="E3234" s="14"/>
      <c r="F3234" s="14"/>
      <c r="G3234" s="14"/>
      <c r="H3234" s="14"/>
      <c r="I3234" s="67"/>
      <c r="J3234" s="14"/>
      <c r="K3234" s="14"/>
      <c r="L3234" s="14"/>
      <c r="M3234" s="14"/>
    </row>
    <row r="3235" spans="1:13" x14ac:dyDescent="0.25">
      <c r="A3235" s="14"/>
      <c r="B3235" s="14"/>
      <c r="C3235" s="14"/>
      <c r="D3235" s="92"/>
      <c r="E3235" s="14"/>
      <c r="F3235" s="14"/>
      <c r="G3235" s="14"/>
      <c r="H3235" s="14"/>
      <c r="I3235" s="67"/>
      <c r="J3235" s="14"/>
      <c r="K3235" s="14"/>
      <c r="L3235" s="14"/>
      <c r="M3235" s="14"/>
    </row>
    <row r="3236" spans="1:13" x14ac:dyDescent="0.25">
      <c r="A3236" s="14"/>
      <c r="B3236" s="14"/>
      <c r="C3236" s="14"/>
      <c r="D3236" s="92"/>
      <c r="E3236" s="14"/>
      <c r="F3236" s="14"/>
      <c r="G3236" s="14"/>
      <c r="H3236" s="14"/>
      <c r="I3236" s="67"/>
      <c r="J3236" s="14"/>
      <c r="K3236" s="14"/>
      <c r="L3236" s="14"/>
      <c r="M3236" s="14"/>
    </row>
    <row r="3237" spans="1:13" x14ac:dyDescent="0.25">
      <c r="A3237" s="14"/>
      <c r="B3237" s="14"/>
      <c r="C3237" s="14"/>
      <c r="D3237" s="92"/>
      <c r="E3237" s="14"/>
      <c r="F3237" s="14"/>
      <c r="G3237" s="14"/>
      <c r="H3237" s="14"/>
      <c r="I3237" s="67"/>
      <c r="J3237" s="14"/>
      <c r="K3237" s="14"/>
      <c r="L3237" s="14"/>
      <c r="M3237" s="14"/>
    </row>
    <row r="3238" spans="1:13" x14ac:dyDescent="0.25">
      <c r="A3238" s="14"/>
      <c r="B3238" s="14"/>
      <c r="C3238" s="14"/>
      <c r="D3238" s="92"/>
      <c r="E3238" s="14"/>
      <c r="F3238" s="14"/>
      <c r="G3238" s="14"/>
      <c r="H3238" s="14"/>
      <c r="I3238" s="67"/>
      <c r="J3238" s="14"/>
      <c r="K3238" s="14"/>
      <c r="L3238" s="14"/>
      <c r="M3238" s="14"/>
    </row>
    <row r="3239" spans="1:13" x14ac:dyDescent="0.25">
      <c r="A3239" s="14"/>
      <c r="B3239" s="14"/>
      <c r="C3239" s="14"/>
      <c r="D3239" s="92"/>
      <c r="E3239" s="14"/>
      <c r="F3239" s="14"/>
      <c r="G3239" s="14"/>
      <c r="H3239" s="14"/>
      <c r="I3239" s="67"/>
      <c r="J3239" s="14"/>
      <c r="K3239" s="14"/>
      <c r="L3239" s="14"/>
      <c r="M3239" s="14"/>
    </row>
    <row r="3240" spans="1:13" x14ac:dyDescent="0.25">
      <c r="A3240" s="14"/>
      <c r="B3240" s="14"/>
      <c r="C3240" s="14"/>
      <c r="D3240" s="92"/>
      <c r="E3240" s="14"/>
      <c r="F3240" s="14"/>
      <c r="G3240" s="14"/>
      <c r="H3240" s="14"/>
      <c r="I3240" s="67"/>
      <c r="J3240" s="14"/>
      <c r="K3240" s="14"/>
      <c r="L3240" s="14"/>
      <c r="M3240" s="14"/>
    </row>
    <row r="3241" spans="1:13" x14ac:dyDescent="0.25">
      <c r="A3241" s="14"/>
      <c r="B3241" s="14"/>
      <c r="C3241" s="14"/>
      <c r="D3241" s="92"/>
      <c r="E3241" s="14"/>
      <c r="F3241" s="14"/>
      <c r="G3241" s="14"/>
      <c r="H3241" s="14"/>
      <c r="I3241" s="67"/>
      <c r="J3241" s="14"/>
      <c r="K3241" s="14"/>
      <c r="L3241" s="14"/>
      <c r="M3241" s="14"/>
    </row>
    <row r="3242" spans="1:13" x14ac:dyDescent="0.25">
      <c r="A3242" s="14"/>
      <c r="B3242" s="14"/>
      <c r="C3242" s="14"/>
      <c r="D3242" s="92"/>
      <c r="E3242" s="14"/>
      <c r="F3242" s="14"/>
      <c r="G3242" s="14"/>
      <c r="H3242" s="14"/>
      <c r="I3242" s="67"/>
      <c r="J3242" s="14"/>
      <c r="K3242" s="14"/>
      <c r="L3242" s="14"/>
      <c r="M3242" s="14"/>
    </row>
    <row r="3243" spans="1:13" x14ac:dyDescent="0.25">
      <c r="A3243" s="14"/>
      <c r="B3243" s="14"/>
      <c r="C3243" s="14"/>
      <c r="D3243" s="92"/>
      <c r="E3243" s="14"/>
      <c r="F3243" s="14"/>
      <c r="G3243" s="14"/>
      <c r="H3243" s="14"/>
      <c r="I3243" s="67"/>
      <c r="J3243" s="14"/>
      <c r="K3243" s="14"/>
      <c r="L3243" s="14"/>
      <c r="M3243" s="14"/>
    </row>
    <row r="3244" spans="1:13" x14ac:dyDescent="0.25">
      <c r="A3244" s="14"/>
      <c r="B3244" s="14"/>
      <c r="C3244" s="14"/>
      <c r="D3244" s="92"/>
      <c r="E3244" s="14"/>
      <c r="F3244" s="14"/>
      <c r="G3244" s="14"/>
      <c r="H3244" s="14"/>
      <c r="I3244" s="67"/>
      <c r="J3244" s="14"/>
      <c r="K3244" s="14"/>
      <c r="L3244" s="14"/>
      <c r="M3244" s="14"/>
    </row>
    <row r="3245" spans="1:13" x14ac:dyDescent="0.25">
      <c r="A3245" s="14"/>
      <c r="B3245" s="14"/>
      <c r="C3245" s="14"/>
      <c r="D3245" s="92"/>
      <c r="E3245" s="14"/>
      <c r="F3245" s="14"/>
      <c r="G3245" s="14"/>
      <c r="H3245" s="14"/>
      <c r="I3245" s="67"/>
      <c r="J3245" s="14"/>
      <c r="K3245" s="14"/>
      <c r="L3245" s="14"/>
      <c r="M3245" s="14"/>
    </row>
    <row r="3246" spans="1:13" x14ac:dyDescent="0.25">
      <c r="A3246" s="14"/>
      <c r="B3246" s="14"/>
      <c r="C3246" s="14"/>
      <c r="D3246" s="92"/>
      <c r="E3246" s="14"/>
      <c r="F3246" s="14"/>
      <c r="G3246" s="14"/>
      <c r="H3246" s="14"/>
      <c r="I3246" s="67"/>
      <c r="J3246" s="14"/>
      <c r="K3246" s="14"/>
      <c r="L3246" s="14"/>
      <c r="M3246" s="14"/>
    </row>
    <row r="3247" spans="1:13" x14ac:dyDescent="0.25">
      <c r="A3247" s="14"/>
      <c r="B3247" s="14"/>
      <c r="C3247" s="14"/>
      <c r="D3247" s="92"/>
      <c r="E3247" s="14"/>
      <c r="F3247" s="14"/>
      <c r="G3247" s="14"/>
      <c r="H3247" s="14"/>
      <c r="I3247" s="67"/>
      <c r="J3247" s="14"/>
      <c r="K3247" s="14"/>
      <c r="L3247" s="14"/>
      <c r="M3247" s="14"/>
    </row>
    <row r="3248" spans="1:13" x14ac:dyDescent="0.25">
      <c r="A3248" s="14"/>
      <c r="B3248" s="14"/>
      <c r="C3248" s="14"/>
      <c r="D3248" s="92"/>
      <c r="E3248" s="14"/>
      <c r="F3248" s="14"/>
      <c r="G3248" s="14"/>
      <c r="H3248" s="14"/>
      <c r="I3248" s="67"/>
      <c r="J3248" s="14"/>
      <c r="K3248" s="14"/>
      <c r="L3248" s="14"/>
      <c r="M3248" s="14"/>
    </row>
    <row r="3249" spans="1:13" x14ac:dyDescent="0.25">
      <c r="A3249" s="14"/>
      <c r="B3249" s="14"/>
      <c r="C3249" s="14"/>
      <c r="D3249" s="92"/>
      <c r="E3249" s="14"/>
      <c r="F3249" s="14"/>
      <c r="G3249" s="14"/>
      <c r="H3249" s="14"/>
      <c r="I3249" s="67"/>
      <c r="J3249" s="14"/>
      <c r="K3249" s="14"/>
      <c r="L3249" s="14"/>
      <c r="M3249" s="14"/>
    </row>
    <row r="3250" spans="1:13" x14ac:dyDescent="0.25">
      <c r="A3250" s="14"/>
      <c r="B3250" s="14"/>
      <c r="C3250" s="14"/>
      <c r="D3250" s="92"/>
      <c r="E3250" s="14"/>
      <c r="F3250" s="14"/>
      <c r="G3250" s="14"/>
      <c r="H3250" s="14"/>
      <c r="I3250" s="67"/>
      <c r="J3250" s="14"/>
      <c r="K3250" s="14"/>
      <c r="L3250" s="14"/>
      <c r="M3250" s="14"/>
    </row>
    <row r="3251" spans="1:13" x14ac:dyDescent="0.25">
      <c r="A3251" s="14"/>
      <c r="B3251" s="14"/>
      <c r="C3251" s="14"/>
      <c r="D3251" s="92"/>
      <c r="E3251" s="14"/>
      <c r="F3251" s="14"/>
      <c r="G3251" s="14"/>
      <c r="H3251" s="14"/>
      <c r="I3251" s="67"/>
      <c r="J3251" s="14"/>
      <c r="K3251" s="14"/>
      <c r="L3251" s="14"/>
      <c r="M3251" s="14"/>
    </row>
    <row r="3252" spans="1:13" x14ac:dyDescent="0.25">
      <c r="A3252" s="14"/>
      <c r="B3252" s="14"/>
      <c r="C3252" s="14"/>
      <c r="D3252" s="92"/>
      <c r="E3252" s="14"/>
      <c r="F3252" s="14"/>
      <c r="G3252" s="14"/>
      <c r="H3252" s="14"/>
      <c r="I3252" s="67"/>
      <c r="J3252" s="14"/>
      <c r="K3252" s="14"/>
      <c r="L3252" s="14"/>
      <c r="M3252" s="14"/>
    </row>
    <row r="3253" spans="1:13" x14ac:dyDescent="0.25">
      <c r="A3253" s="14"/>
      <c r="B3253" s="14"/>
      <c r="C3253" s="14"/>
      <c r="D3253" s="92"/>
      <c r="E3253" s="14"/>
      <c r="F3253" s="14"/>
      <c r="G3253" s="14"/>
      <c r="H3253" s="14"/>
      <c r="I3253" s="67"/>
      <c r="J3253" s="14"/>
      <c r="K3253" s="14"/>
      <c r="L3253" s="14"/>
      <c r="M3253" s="14"/>
    </row>
    <row r="3254" spans="1:13" x14ac:dyDescent="0.25">
      <c r="A3254" s="14"/>
      <c r="B3254" s="14"/>
      <c r="C3254" s="14"/>
      <c r="D3254" s="92"/>
      <c r="E3254" s="14"/>
      <c r="F3254" s="14"/>
      <c r="G3254" s="14"/>
      <c r="H3254" s="14"/>
      <c r="I3254" s="67"/>
      <c r="J3254" s="14"/>
      <c r="K3254" s="14"/>
      <c r="L3254" s="14"/>
      <c r="M3254" s="14"/>
    </row>
    <row r="3255" spans="1:13" x14ac:dyDescent="0.25">
      <c r="A3255" s="14"/>
      <c r="B3255" s="14"/>
      <c r="C3255" s="14"/>
      <c r="D3255" s="92"/>
      <c r="E3255" s="14"/>
      <c r="F3255" s="14"/>
      <c r="G3255" s="14"/>
      <c r="H3255" s="14"/>
      <c r="I3255" s="67"/>
      <c r="J3255" s="14"/>
      <c r="K3255" s="14"/>
      <c r="L3255" s="14"/>
      <c r="M3255" s="14"/>
    </row>
    <row r="3256" spans="1:13" x14ac:dyDescent="0.25">
      <c r="A3256" s="14"/>
      <c r="B3256" s="14"/>
      <c r="C3256" s="14"/>
      <c r="D3256" s="92"/>
      <c r="E3256" s="14"/>
      <c r="F3256" s="14"/>
      <c r="G3256" s="14"/>
      <c r="H3256" s="14"/>
      <c r="I3256" s="67"/>
      <c r="J3256" s="14"/>
      <c r="K3256" s="14"/>
      <c r="L3256" s="14"/>
      <c r="M3256" s="14"/>
    </row>
    <row r="3257" spans="1:13" x14ac:dyDescent="0.25">
      <c r="A3257" s="14"/>
      <c r="B3257" s="14"/>
      <c r="C3257" s="14"/>
      <c r="D3257" s="92"/>
      <c r="E3257" s="14"/>
      <c r="F3257" s="14"/>
      <c r="G3257" s="14"/>
      <c r="H3257" s="14"/>
      <c r="I3257" s="67"/>
      <c r="J3257" s="14"/>
      <c r="K3257" s="14"/>
      <c r="L3257" s="14"/>
      <c r="M3257" s="14"/>
    </row>
    <row r="3258" spans="1:13" x14ac:dyDescent="0.25">
      <c r="A3258" s="14"/>
      <c r="B3258" s="14"/>
      <c r="C3258" s="14"/>
      <c r="D3258" s="92"/>
      <c r="E3258" s="14"/>
      <c r="F3258" s="14"/>
      <c r="G3258" s="14"/>
      <c r="H3258" s="14"/>
      <c r="I3258" s="67"/>
      <c r="J3258" s="14"/>
      <c r="K3258" s="14"/>
      <c r="L3258" s="14"/>
      <c r="M3258" s="14"/>
    </row>
    <row r="3259" spans="1:13" x14ac:dyDescent="0.25">
      <c r="A3259" s="14"/>
      <c r="B3259" s="14"/>
      <c r="C3259" s="14"/>
      <c r="D3259" s="92"/>
      <c r="E3259" s="14"/>
      <c r="F3259" s="14"/>
      <c r="G3259" s="14"/>
      <c r="H3259" s="14"/>
      <c r="I3259" s="67"/>
      <c r="J3259" s="14"/>
      <c r="K3259" s="14"/>
      <c r="L3259" s="14"/>
      <c r="M3259" s="14"/>
    </row>
    <row r="3260" spans="1:13" x14ac:dyDescent="0.25">
      <c r="A3260" s="14"/>
      <c r="B3260" s="14"/>
      <c r="C3260" s="14"/>
      <c r="D3260" s="92"/>
      <c r="E3260" s="14"/>
      <c r="F3260" s="14"/>
      <c r="G3260" s="14"/>
      <c r="H3260" s="14"/>
      <c r="I3260" s="67"/>
      <c r="J3260" s="14"/>
      <c r="K3260" s="14"/>
      <c r="L3260" s="14"/>
      <c r="M3260" s="14"/>
    </row>
    <row r="3261" spans="1:13" x14ac:dyDescent="0.25">
      <c r="A3261" s="14"/>
      <c r="B3261" s="14"/>
      <c r="C3261" s="14"/>
      <c r="D3261" s="92"/>
      <c r="E3261" s="14"/>
      <c r="F3261" s="14"/>
      <c r="G3261" s="14"/>
      <c r="H3261" s="14"/>
      <c r="I3261" s="67"/>
      <c r="J3261" s="14"/>
      <c r="K3261" s="14"/>
      <c r="L3261" s="14"/>
      <c r="M3261" s="14"/>
    </row>
    <row r="3262" spans="1:13" x14ac:dyDescent="0.25">
      <c r="A3262" s="14"/>
      <c r="B3262" s="14"/>
      <c r="C3262" s="14"/>
      <c r="D3262" s="92"/>
      <c r="E3262" s="14"/>
      <c r="F3262" s="14"/>
      <c r="G3262" s="14"/>
      <c r="H3262" s="14"/>
      <c r="I3262" s="67"/>
      <c r="J3262" s="14"/>
      <c r="K3262" s="14"/>
      <c r="L3262" s="14"/>
      <c r="M3262" s="14"/>
    </row>
    <row r="3263" spans="1:13" x14ac:dyDescent="0.25">
      <c r="A3263" s="14"/>
      <c r="B3263" s="14"/>
      <c r="C3263" s="14"/>
      <c r="D3263" s="92"/>
      <c r="E3263" s="14"/>
      <c r="F3263" s="14"/>
      <c r="G3263" s="14"/>
      <c r="H3263" s="14"/>
      <c r="I3263" s="67"/>
      <c r="J3263" s="14"/>
      <c r="K3263" s="14"/>
      <c r="L3263" s="14"/>
      <c r="M3263" s="14"/>
    </row>
    <row r="3264" spans="1:13" x14ac:dyDescent="0.25">
      <c r="A3264" s="14"/>
      <c r="B3264" s="14"/>
      <c r="C3264" s="14"/>
      <c r="D3264" s="92"/>
      <c r="E3264" s="14"/>
      <c r="F3264" s="14"/>
      <c r="G3264" s="14"/>
      <c r="H3264" s="14"/>
      <c r="I3264" s="67"/>
      <c r="J3264" s="14"/>
      <c r="K3264" s="14"/>
      <c r="L3264" s="14"/>
      <c r="M3264" s="14"/>
    </row>
    <row r="3265" spans="1:13" x14ac:dyDescent="0.25">
      <c r="A3265" s="14"/>
      <c r="B3265" s="14"/>
      <c r="C3265" s="14"/>
      <c r="D3265" s="92"/>
      <c r="E3265" s="14"/>
      <c r="F3265" s="14"/>
      <c r="G3265" s="14"/>
      <c r="H3265" s="14"/>
      <c r="I3265" s="67"/>
      <c r="J3265" s="14"/>
      <c r="K3265" s="14"/>
      <c r="L3265" s="14"/>
      <c r="M3265" s="14"/>
    </row>
    <row r="3266" spans="1:13" x14ac:dyDescent="0.25">
      <c r="A3266" s="14"/>
      <c r="B3266" s="14"/>
      <c r="C3266" s="14"/>
      <c r="D3266" s="92"/>
      <c r="E3266" s="14"/>
      <c r="F3266" s="14"/>
      <c r="G3266" s="14"/>
      <c r="H3266" s="14"/>
      <c r="I3266" s="67"/>
      <c r="J3266" s="14"/>
      <c r="K3266" s="14"/>
      <c r="L3266" s="14"/>
      <c r="M3266" s="14"/>
    </row>
    <row r="3267" spans="1:13" x14ac:dyDescent="0.25">
      <c r="A3267" s="14"/>
      <c r="B3267" s="14"/>
      <c r="C3267" s="14"/>
      <c r="D3267" s="92"/>
      <c r="E3267" s="14"/>
      <c r="F3267" s="14"/>
      <c r="G3267" s="14"/>
      <c r="H3267" s="14"/>
      <c r="I3267" s="67"/>
      <c r="J3267" s="14"/>
      <c r="K3267" s="14"/>
      <c r="L3267" s="14"/>
      <c r="M3267" s="14"/>
    </row>
    <row r="3268" spans="1:13" x14ac:dyDescent="0.25">
      <c r="A3268" s="14"/>
      <c r="B3268" s="14"/>
      <c r="C3268" s="14"/>
      <c r="D3268" s="92"/>
      <c r="E3268" s="14"/>
      <c r="F3268" s="14"/>
      <c r="G3268" s="14"/>
      <c r="H3268" s="14"/>
      <c r="I3268" s="67"/>
      <c r="J3268" s="14"/>
      <c r="K3268" s="14"/>
      <c r="L3268" s="14"/>
      <c r="M3268" s="14"/>
    </row>
    <row r="3269" spans="1:13" x14ac:dyDescent="0.25">
      <c r="A3269" s="14"/>
      <c r="B3269" s="14"/>
      <c r="C3269" s="14"/>
      <c r="D3269" s="92"/>
      <c r="E3269" s="14"/>
      <c r="F3269" s="14"/>
      <c r="G3269" s="14"/>
      <c r="H3269" s="14"/>
      <c r="I3269" s="67"/>
      <c r="J3269" s="14"/>
      <c r="K3269" s="14"/>
      <c r="L3269" s="14"/>
      <c r="M3269" s="14"/>
    </row>
    <row r="3270" spans="1:13" x14ac:dyDescent="0.25">
      <c r="A3270" s="14"/>
      <c r="B3270" s="14"/>
      <c r="C3270" s="14"/>
      <c r="D3270" s="92"/>
      <c r="E3270" s="14"/>
      <c r="F3270" s="14"/>
      <c r="G3270" s="14"/>
      <c r="H3270" s="14"/>
      <c r="I3270" s="67"/>
      <c r="J3270" s="14"/>
      <c r="K3270" s="14"/>
      <c r="L3270" s="14"/>
      <c r="M3270" s="14"/>
    </row>
    <row r="3271" spans="1:13" x14ac:dyDescent="0.25">
      <c r="A3271" s="14"/>
      <c r="B3271" s="14"/>
      <c r="C3271" s="14"/>
      <c r="D3271" s="92"/>
      <c r="E3271" s="14"/>
      <c r="F3271" s="14"/>
      <c r="G3271" s="14"/>
      <c r="H3271" s="14"/>
      <c r="I3271" s="67"/>
      <c r="J3271" s="14"/>
      <c r="K3271" s="14"/>
      <c r="L3271" s="14"/>
      <c r="M3271" s="14"/>
    </row>
    <row r="3272" spans="1:13" x14ac:dyDescent="0.25">
      <c r="A3272" s="14"/>
      <c r="B3272" s="14"/>
      <c r="C3272" s="14"/>
      <c r="D3272" s="92"/>
      <c r="E3272" s="14"/>
      <c r="F3272" s="14"/>
      <c r="G3272" s="14"/>
      <c r="H3272" s="14"/>
      <c r="I3272" s="67"/>
      <c r="J3272" s="14"/>
      <c r="K3272" s="14"/>
      <c r="L3272" s="14"/>
      <c r="M3272" s="14"/>
    </row>
    <row r="3273" spans="1:13" x14ac:dyDescent="0.25">
      <c r="A3273" s="14"/>
      <c r="B3273" s="14"/>
      <c r="C3273" s="14"/>
      <c r="D3273" s="92"/>
      <c r="E3273" s="14"/>
      <c r="F3273" s="14"/>
      <c r="G3273" s="14"/>
      <c r="H3273" s="14"/>
      <c r="I3273" s="67"/>
      <c r="J3273" s="14"/>
      <c r="K3273" s="14"/>
      <c r="L3273" s="14"/>
      <c r="M3273" s="14"/>
    </row>
    <row r="3274" spans="1:13" x14ac:dyDescent="0.25">
      <c r="A3274" s="14"/>
      <c r="B3274" s="14"/>
      <c r="C3274" s="14"/>
      <c r="D3274" s="92"/>
      <c r="E3274" s="14"/>
      <c r="F3274" s="14"/>
      <c r="G3274" s="14"/>
      <c r="H3274" s="14"/>
      <c r="I3274" s="67"/>
      <c r="J3274" s="14"/>
      <c r="K3274" s="14"/>
      <c r="L3274" s="14"/>
      <c r="M3274" s="14"/>
    </row>
    <row r="3275" spans="1:13" x14ac:dyDescent="0.25">
      <c r="A3275" s="14"/>
      <c r="B3275" s="14"/>
      <c r="C3275" s="14"/>
      <c r="D3275" s="92"/>
      <c r="E3275" s="14"/>
      <c r="F3275" s="14"/>
      <c r="G3275" s="14"/>
      <c r="H3275" s="14"/>
      <c r="I3275" s="67"/>
      <c r="J3275" s="14"/>
      <c r="K3275" s="14"/>
      <c r="L3275" s="14"/>
      <c r="M3275" s="14"/>
    </row>
    <row r="3276" spans="1:13" x14ac:dyDescent="0.25">
      <c r="A3276" s="14"/>
      <c r="B3276" s="14"/>
      <c r="C3276" s="14"/>
      <c r="D3276" s="92"/>
      <c r="E3276" s="14"/>
      <c r="F3276" s="14"/>
      <c r="G3276" s="14"/>
      <c r="H3276" s="14"/>
      <c r="I3276" s="67"/>
      <c r="J3276" s="14"/>
      <c r="K3276" s="14"/>
      <c r="L3276" s="14"/>
      <c r="M3276" s="14"/>
    </row>
    <row r="3277" spans="1:13" x14ac:dyDescent="0.25">
      <c r="A3277" s="14"/>
      <c r="B3277" s="14"/>
      <c r="C3277" s="14"/>
      <c r="D3277" s="92"/>
      <c r="E3277" s="14"/>
      <c r="F3277" s="14"/>
      <c r="G3277" s="14"/>
      <c r="H3277" s="14"/>
      <c r="I3277" s="67"/>
      <c r="J3277" s="14"/>
      <c r="K3277" s="14"/>
      <c r="L3277" s="14"/>
      <c r="M3277" s="14"/>
    </row>
    <row r="3278" spans="1:13" x14ac:dyDescent="0.25">
      <c r="A3278" s="14"/>
      <c r="B3278" s="14"/>
      <c r="C3278" s="14"/>
      <c r="D3278" s="92"/>
      <c r="E3278" s="14"/>
      <c r="F3278" s="14"/>
      <c r="G3278" s="14"/>
      <c r="H3278" s="14"/>
      <c r="I3278" s="67"/>
      <c r="J3278" s="14"/>
      <c r="K3278" s="14"/>
      <c r="L3278" s="14"/>
      <c r="M3278" s="14"/>
    </row>
    <row r="3279" spans="1:13" x14ac:dyDescent="0.25">
      <c r="A3279" s="14"/>
      <c r="B3279" s="14"/>
      <c r="C3279" s="14"/>
      <c r="D3279" s="92"/>
      <c r="E3279" s="14"/>
      <c r="F3279" s="14"/>
      <c r="G3279" s="14"/>
      <c r="H3279" s="14"/>
      <c r="I3279" s="67"/>
      <c r="J3279" s="14"/>
      <c r="K3279" s="14"/>
      <c r="L3279" s="14"/>
      <c r="M3279" s="14"/>
    </row>
    <row r="3280" spans="1:13" x14ac:dyDescent="0.25">
      <c r="A3280" s="14"/>
      <c r="B3280" s="14"/>
      <c r="C3280" s="14"/>
      <c r="D3280" s="92"/>
      <c r="E3280" s="14"/>
      <c r="F3280" s="14"/>
      <c r="G3280" s="14"/>
      <c r="H3280" s="14"/>
      <c r="I3280" s="67"/>
      <c r="J3280" s="14"/>
      <c r="K3280" s="14"/>
      <c r="L3280" s="14"/>
      <c r="M3280" s="14"/>
    </row>
    <row r="3281" spans="1:13" x14ac:dyDescent="0.25">
      <c r="A3281" s="14"/>
      <c r="B3281" s="14"/>
      <c r="C3281" s="14"/>
      <c r="D3281" s="92"/>
      <c r="E3281" s="14"/>
      <c r="F3281" s="14"/>
      <c r="G3281" s="14"/>
      <c r="H3281" s="14"/>
      <c r="I3281" s="67"/>
      <c r="J3281" s="14"/>
      <c r="K3281" s="14"/>
      <c r="L3281" s="14"/>
      <c r="M3281" s="14"/>
    </row>
    <row r="3282" spans="1:13" x14ac:dyDescent="0.25">
      <c r="A3282" s="14"/>
      <c r="B3282" s="14"/>
      <c r="C3282" s="14"/>
      <c r="D3282" s="92"/>
      <c r="E3282" s="14"/>
      <c r="F3282" s="14"/>
      <c r="G3282" s="14"/>
      <c r="H3282" s="14"/>
      <c r="I3282" s="67"/>
      <c r="J3282" s="14"/>
      <c r="K3282" s="14"/>
      <c r="L3282" s="14"/>
      <c r="M3282" s="14"/>
    </row>
    <row r="3283" spans="1:13" x14ac:dyDescent="0.25">
      <c r="A3283" s="14"/>
      <c r="B3283" s="14"/>
      <c r="C3283" s="14"/>
      <c r="D3283" s="92"/>
      <c r="E3283" s="14"/>
      <c r="F3283" s="14"/>
      <c r="G3283" s="14"/>
      <c r="H3283" s="14"/>
      <c r="I3283" s="67"/>
      <c r="J3283" s="14"/>
      <c r="K3283" s="14"/>
      <c r="L3283" s="14"/>
      <c r="M3283" s="14"/>
    </row>
    <row r="3284" spans="1:13" x14ac:dyDescent="0.25">
      <c r="A3284" s="14"/>
      <c r="B3284" s="14"/>
      <c r="C3284" s="14"/>
      <c r="D3284" s="92"/>
      <c r="E3284" s="14"/>
      <c r="F3284" s="14"/>
      <c r="G3284" s="14"/>
      <c r="H3284" s="14"/>
      <c r="I3284" s="67"/>
      <c r="J3284" s="14"/>
      <c r="K3284" s="14"/>
      <c r="L3284" s="14"/>
      <c r="M3284" s="14"/>
    </row>
    <row r="3285" spans="1:13" x14ac:dyDescent="0.25">
      <c r="A3285" s="14"/>
      <c r="B3285" s="14"/>
      <c r="C3285" s="14"/>
      <c r="D3285" s="92"/>
      <c r="E3285" s="14"/>
      <c r="F3285" s="14"/>
      <c r="G3285" s="14"/>
      <c r="H3285" s="14"/>
      <c r="I3285" s="67"/>
      <c r="J3285" s="14"/>
      <c r="K3285" s="14"/>
      <c r="L3285" s="14"/>
      <c r="M3285" s="14"/>
    </row>
    <row r="3286" spans="1:13" x14ac:dyDescent="0.25">
      <c r="A3286" s="14"/>
      <c r="B3286" s="14"/>
      <c r="C3286" s="14"/>
      <c r="D3286" s="92"/>
      <c r="E3286" s="14"/>
      <c r="F3286" s="14"/>
      <c r="G3286" s="14"/>
      <c r="H3286" s="14"/>
      <c r="I3286" s="67"/>
      <c r="J3286" s="14"/>
      <c r="K3286" s="14"/>
      <c r="L3286" s="14"/>
      <c r="M3286" s="14"/>
    </row>
    <row r="3287" spans="1:13" x14ac:dyDescent="0.25">
      <c r="A3287" s="14"/>
      <c r="B3287" s="14"/>
      <c r="C3287" s="14"/>
      <c r="D3287" s="92"/>
      <c r="E3287" s="14"/>
      <c r="F3287" s="14"/>
      <c r="G3287" s="14"/>
      <c r="H3287" s="14"/>
      <c r="I3287" s="67"/>
      <c r="J3287" s="14"/>
      <c r="K3287" s="14"/>
      <c r="L3287" s="14"/>
      <c r="M3287" s="14"/>
    </row>
    <row r="3288" spans="1:13" x14ac:dyDescent="0.25">
      <c r="A3288" s="14"/>
      <c r="B3288" s="14"/>
      <c r="C3288" s="14"/>
      <c r="D3288" s="92"/>
      <c r="E3288" s="14"/>
      <c r="F3288" s="14"/>
      <c r="G3288" s="14"/>
      <c r="H3288" s="14"/>
      <c r="I3288" s="67"/>
      <c r="J3288" s="14"/>
      <c r="K3288" s="14"/>
      <c r="L3288" s="14"/>
      <c r="M3288" s="14"/>
    </row>
    <row r="3289" spans="1:13" x14ac:dyDescent="0.25">
      <c r="A3289" s="14"/>
      <c r="B3289" s="14"/>
      <c r="C3289" s="14"/>
      <c r="D3289" s="92"/>
      <c r="E3289" s="14"/>
      <c r="F3289" s="14"/>
      <c r="G3289" s="14"/>
      <c r="H3289" s="14"/>
      <c r="I3289" s="67"/>
      <c r="J3289" s="14"/>
      <c r="K3289" s="14"/>
      <c r="L3289" s="14"/>
      <c r="M3289" s="14"/>
    </row>
    <row r="3290" spans="1:13" x14ac:dyDescent="0.25">
      <c r="A3290" s="14"/>
      <c r="B3290" s="14"/>
      <c r="C3290" s="14"/>
      <c r="D3290" s="92"/>
      <c r="E3290" s="14"/>
      <c r="F3290" s="14"/>
      <c r="G3290" s="14"/>
      <c r="H3290" s="14"/>
      <c r="I3290" s="67"/>
      <c r="J3290" s="14"/>
      <c r="K3290" s="14"/>
      <c r="L3290" s="14"/>
      <c r="M3290" s="14"/>
    </row>
    <row r="3291" spans="1:13" x14ac:dyDescent="0.25">
      <c r="A3291" s="14"/>
      <c r="B3291" s="14"/>
      <c r="C3291" s="14"/>
      <c r="D3291" s="92"/>
      <c r="E3291" s="14"/>
      <c r="F3291" s="14"/>
      <c r="G3291" s="14"/>
      <c r="H3291" s="14"/>
      <c r="I3291" s="67"/>
      <c r="J3291" s="14"/>
      <c r="K3291" s="14"/>
      <c r="L3291" s="14"/>
      <c r="M3291" s="14"/>
    </row>
    <row r="3292" spans="1:13" x14ac:dyDescent="0.25">
      <c r="A3292" s="14"/>
      <c r="B3292" s="14"/>
      <c r="C3292" s="14"/>
      <c r="D3292" s="92"/>
      <c r="E3292" s="14"/>
      <c r="F3292" s="14"/>
      <c r="G3292" s="14"/>
      <c r="H3292" s="14"/>
      <c r="I3292" s="67"/>
      <c r="J3292" s="14"/>
      <c r="K3292" s="14"/>
      <c r="L3292" s="14"/>
      <c r="M3292" s="14"/>
    </row>
    <row r="3293" spans="1:13" x14ac:dyDescent="0.25">
      <c r="A3293" s="14"/>
      <c r="B3293" s="14"/>
      <c r="C3293" s="14"/>
      <c r="D3293" s="92"/>
      <c r="E3293" s="14"/>
      <c r="F3293" s="14"/>
      <c r="G3293" s="14"/>
      <c r="H3293" s="14"/>
      <c r="I3293" s="67"/>
      <c r="J3293" s="14"/>
      <c r="K3293" s="14"/>
      <c r="L3293" s="14"/>
      <c r="M3293" s="14"/>
    </row>
    <row r="3294" spans="1:13" x14ac:dyDescent="0.25">
      <c r="A3294" s="14"/>
      <c r="B3294" s="14"/>
      <c r="C3294" s="14"/>
      <c r="D3294" s="92"/>
      <c r="E3294" s="14"/>
      <c r="F3294" s="14"/>
      <c r="G3294" s="14"/>
      <c r="H3294" s="14"/>
      <c r="I3294" s="67"/>
      <c r="J3294" s="14"/>
      <c r="K3294" s="14"/>
      <c r="L3294" s="14"/>
      <c r="M3294" s="14"/>
    </row>
  </sheetData>
  <dataConsolidate/>
  <mergeCells count="10">
    <mergeCell ref="B69:B79"/>
    <mergeCell ref="B4:B9"/>
    <mergeCell ref="B65:B68"/>
    <mergeCell ref="B43:B44"/>
    <mergeCell ref="B38:B39"/>
    <mergeCell ref="B40:B42"/>
    <mergeCell ref="B45:B64"/>
    <mergeCell ref="B14:B18"/>
    <mergeCell ref="B10:B13"/>
    <mergeCell ref="B19:B37"/>
  </mergeCells>
  <pageMargins left="0.75" right="0.75" top="1" bottom="1" header="0.5" footer="0.5"/>
  <pageSetup orientation="portrait" horizontalDpi="4294967292" verticalDpi="4294967292"/>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21" sqref="B21"/>
    </sheetView>
  </sheetViews>
  <sheetFormatPr defaultColWidth="11" defaultRowHeight="15.75" x14ac:dyDescent="0.25"/>
  <cols>
    <col min="1" max="1" width="10.625" customWidth="1"/>
    <col min="2" max="2" width="40.5" customWidth="1"/>
  </cols>
  <sheetData>
    <row r="1" spans="1:3" s="2" customFormat="1" x14ac:dyDescent="0.25">
      <c r="A1" s="34" t="s">
        <v>171</v>
      </c>
      <c r="B1" s="34" t="s">
        <v>172</v>
      </c>
      <c r="C1" s="34" t="s">
        <v>173</v>
      </c>
    </row>
    <row r="2" spans="1:3" x14ac:dyDescent="0.25">
      <c r="A2" s="11" t="s">
        <v>174</v>
      </c>
      <c r="B2" s="11" t="s">
        <v>188</v>
      </c>
      <c r="C2" s="11" t="s">
        <v>174</v>
      </c>
    </row>
    <row r="3" spans="1:3" x14ac:dyDescent="0.25">
      <c r="A3" s="3" t="s">
        <v>205</v>
      </c>
      <c r="B3" s="3" t="s">
        <v>189</v>
      </c>
      <c r="C3" s="35" t="s">
        <v>175</v>
      </c>
    </row>
    <row r="4" spans="1:3" x14ac:dyDescent="0.25">
      <c r="A4" s="19" t="s">
        <v>206</v>
      </c>
      <c r="B4" s="19" t="s">
        <v>190</v>
      </c>
      <c r="C4" s="19" t="s">
        <v>175</v>
      </c>
    </row>
    <row r="5" spans="1:3" x14ac:dyDescent="0.25">
      <c r="A5" s="3" t="s">
        <v>176</v>
      </c>
      <c r="B5" s="3" t="s">
        <v>191</v>
      </c>
      <c r="C5" s="3" t="s">
        <v>176</v>
      </c>
    </row>
    <row r="6" spans="1:3" x14ac:dyDescent="0.25">
      <c r="A6" s="32" t="s">
        <v>166</v>
      </c>
      <c r="B6" s="32" t="s">
        <v>192</v>
      </c>
      <c r="C6" s="51" t="s">
        <v>166</v>
      </c>
    </row>
    <row r="7" spans="1:3" x14ac:dyDescent="0.25">
      <c r="A7" s="93" t="s">
        <v>177</v>
      </c>
      <c r="B7" s="93" t="s">
        <v>193</v>
      </c>
      <c r="C7" s="85" t="s">
        <v>177</v>
      </c>
    </row>
    <row r="8" spans="1:3" x14ac:dyDescent="0.25">
      <c r="A8" s="41" t="s">
        <v>178</v>
      </c>
      <c r="B8" s="41" t="s">
        <v>194</v>
      </c>
      <c r="C8" s="42" t="s">
        <v>178</v>
      </c>
    </row>
    <row r="9" spans="1:3" s="88" customFormat="1" x14ac:dyDescent="0.25">
      <c r="A9" s="97" t="s">
        <v>423</v>
      </c>
      <c r="B9" s="97" t="s">
        <v>424</v>
      </c>
      <c r="C9" s="87" t="s">
        <v>425</v>
      </c>
    </row>
    <row r="10" spans="1:3" x14ac:dyDescent="0.25">
      <c r="A10" s="3" t="s">
        <v>179</v>
      </c>
      <c r="B10" s="3" t="s">
        <v>195</v>
      </c>
      <c r="C10" s="3" t="s">
        <v>179</v>
      </c>
    </row>
    <row r="11" spans="1:3" x14ac:dyDescent="0.25">
      <c r="A11" s="11" t="s">
        <v>207</v>
      </c>
      <c r="B11" s="11" t="s">
        <v>196</v>
      </c>
      <c r="C11" s="11" t="s">
        <v>180</v>
      </c>
    </row>
    <row r="12" spans="1:3" x14ac:dyDescent="0.25">
      <c r="A12" s="38" t="s">
        <v>208</v>
      </c>
      <c r="B12" s="38" t="s">
        <v>197</v>
      </c>
      <c r="C12" s="39" t="s">
        <v>181</v>
      </c>
    </row>
    <row r="13" spans="1:3" x14ac:dyDescent="0.25">
      <c r="A13" s="16" t="s">
        <v>182</v>
      </c>
      <c r="B13" s="16" t="s">
        <v>198</v>
      </c>
      <c r="C13" s="16" t="s">
        <v>182</v>
      </c>
    </row>
    <row r="14" spans="1:3" x14ac:dyDescent="0.25">
      <c r="A14" s="19" t="s">
        <v>183</v>
      </c>
      <c r="B14" s="19" t="s">
        <v>199</v>
      </c>
      <c r="C14" s="19" t="s">
        <v>183</v>
      </c>
    </row>
    <row r="15" spans="1:3" s="88" customFormat="1" x14ac:dyDescent="0.25">
      <c r="A15" s="97" t="s">
        <v>421</v>
      </c>
      <c r="B15" s="97" t="s">
        <v>422</v>
      </c>
      <c r="C15" s="86" t="s">
        <v>426</v>
      </c>
    </row>
    <row r="16" spans="1:3" x14ac:dyDescent="0.25">
      <c r="A16" s="48" t="s">
        <v>184</v>
      </c>
      <c r="B16" s="48" t="s">
        <v>200</v>
      </c>
      <c r="C16" s="50" t="s">
        <v>184</v>
      </c>
    </row>
    <row r="17" spans="1:3" x14ac:dyDescent="0.25">
      <c r="A17" s="26" t="s">
        <v>185</v>
      </c>
      <c r="B17" s="26" t="s">
        <v>201</v>
      </c>
      <c r="C17" s="26" t="s">
        <v>185</v>
      </c>
    </row>
    <row r="18" spans="1:3" x14ac:dyDescent="0.25">
      <c r="A18" s="26" t="s">
        <v>420</v>
      </c>
      <c r="B18" s="26" t="s">
        <v>202</v>
      </c>
      <c r="C18" s="36" t="s">
        <v>185</v>
      </c>
    </row>
    <row r="19" spans="1:3" x14ac:dyDescent="0.25">
      <c r="A19" s="27" t="s">
        <v>186</v>
      </c>
      <c r="B19" s="27" t="s">
        <v>203</v>
      </c>
      <c r="C19" s="49" t="s">
        <v>186</v>
      </c>
    </row>
    <row r="20" spans="1:3" x14ac:dyDescent="0.25">
      <c r="A20" s="16" t="s">
        <v>187</v>
      </c>
      <c r="B20" s="16" t="s">
        <v>204</v>
      </c>
      <c r="C20" s="37" t="s">
        <v>187</v>
      </c>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7"/>
  <sheetViews>
    <sheetView workbookViewId="0">
      <selection activeCell="C7" sqref="C7"/>
    </sheetView>
  </sheetViews>
  <sheetFormatPr defaultColWidth="11" defaultRowHeight="15.75" x14ac:dyDescent="0.25"/>
  <sheetData>
    <row r="1" spans="1:47" s="2" customFormat="1" ht="75.75" thickBot="1" x14ac:dyDescent="0.3">
      <c r="A1" s="6" t="s">
        <v>149</v>
      </c>
      <c r="B1" s="12" t="s">
        <v>146</v>
      </c>
      <c r="C1" s="12" t="s">
        <v>147</v>
      </c>
      <c r="D1" s="12" t="s">
        <v>0</v>
      </c>
      <c r="E1" s="12" t="s">
        <v>3</v>
      </c>
      <c r="F1" s="69" t="s">
        <v>259</v>
      </c>
      <c r="G1" s="69" t="s">
        <v>270</v>
      </c>
      <c r="H1" s="57" t="s">
        <v>220</v>
      </c>
      <c r="I1" s="64" t="s">
        <v>222</v>
      </c>
      <c r="J1" s="7" t="s">
        <v>221</v>
      </c>
      <c r="K1" s="7" t="s">
        <v>223</v>
      </c>
      <c r="L1" s="7" t="s">
        <v>230</v>
      </c>
      <c r="M1" s="7" t="s">
        <v>150</v>
      </c>
      <c r="N1" s="22" t="s">
        <v>4</v>
      </c>
      <c r="O1" s="18" t="s">
        <v>153</v>
      </c>
      <c r="P1" s="63" t="s">
        <v>5</v>
      </c>
      <c r="Q1" s="63" t="s">
        <v>6</v>
      </c>
      <c r="R1" s="63" t="s">
        <v>7</v>
      </c>
      <c r="S1" s="18" t="s">
        <v>154</v>
      </c>
      <c r="T1" s="18" t="s">
        <v>231</v>
      </c>
      <c r="U1" s="18" t="s">
        <v>232</v>
      </c>
      <c r="V1" s="18" t="s">
        <v>233</v>
      </c>
      <c r="W1" s="18" t="s">
        <v>234</v>
      </c>
      <c r="X1" s="18" t="s">
        <v>235</v>
      </c>
      <c r="Y1" s="18" t="s">
        <v>271</v>
      </c>
      <c r="Z1" s="18" t="s">
        <v>236</v>
      </c>
      <c r="AA1" s="15" t="s">
        <v>151</v>
      </c>
      <c r="AB1" s="73" t="s">
        <v>152</v>
      </c>
      <c r="AC1" s="73" t="s">
        <v>324</v>
      </c>
      <c r="AD1" s="15" t="s">
        <v>224</v>
      </c>
      <c r="AE1" s="22" t="s">
        <v>1</v>
      </c>
      <c r="AF1" s="22" t="s">
        <v>2</v>
      </c>
      <c r="AG1" s="52" t="s">
        <v>155</v>
      </c>
      <c r="AH1" s="53" t="s">
        <v>156</v>
      </c>
      <c r="AI1" s="53" t="s">
        <v>225</v>
      </c>
      <c r="AJ1" s="53" t="s">
        <v>226</v>
      </c>
      <c r="AK1" s="53" t="s">
        <v>227</v>
      </c>
      <c r="AL1" s="53" t="s">
        <v>228</v>
      </c>
      <c r="AM1" s="53" t="s">
        <v>229</v>
      </c>
      <c r="AN1" s="53" t="s">
        <v>157</v>
      </c>
      <c r="AO1" s="46" t="s">
        <v>257</v>
      </c>
      <c r="AP1" s="54" t="s">
        <v>158</v>
      </c>
      <c r="AQ1" s="54" t="s">
        <v>159</v>
      </c>
      <c r="AR1" s="54" t="s">
        <v>160</v>
      </c>
      <c r="AS1" s="25" t="s">
        <v>161</v>
      </c>
      <c r="AT1" s="25" t="s">
        <v>162</v>
      </c>
    </row>
    <row r="2" spans="1:47" x14ac:dyDescent="0.25">
      <c r="A2" s="4"/>
      <c r="B2" s="377" t="s">
        <v>141</v>
      </c>
      <c r="C2" s="5" t="s">
        <v>142</v>
      </c>
      <c r="D2" s="76" t="s">
        <v>264</v>
      </c>
      <c r="E2" s="1"/>
      <c r="F2" s="62" t="s">
        <v>286</v>
      </c>
      <c r="G2" s="9">
        <f>(2300000+1000000)/2</f>
        <v>1650000</v>
      </c>
      <c r="H2" s="11">
        <v>2</v>
      </c>
      <c r="I2" s="65">
        <v>10</v>
      </c>
      <c r="J2" s="9">
        <f>(I2/100)*H2</f>
        <v>0.2</v>
      </c>
      <c r="K2" s="9">
        <f>IF((H2-J2)&lt;1,1,H2-J2)</f>
        <v>1.8</v>
      </c>
      <c r="L2" s="9">
        <f>IF((H2+J2)&gt;5,5,H2+J2)</f>
        <v>2.2000000000000002</v>
      </c>
      <c r="M2" s="72" t="s">
        <v>280</v>
      </c>
      <c r="N2" s="21"/>
      <c r="O2" s="62"/>
      <c r="P2" s="20"/>
      <c r="Q2" s="20"/>
      <c r="R2" s="20"/>
      <c r="S2" s="19">
        <f>(O2/G2)*100</f>
        <v>0</v>
      </c>
      <c r="T2" s="20"/>
      <c r="U2" s="20"/>
      <c r="V2" s="20"/>
      <c r="W2" s="20"/>
      <c r="X2" s="20"/>
      <c r="Y2" s="20"/>
      <c r="Z2" s="20"/>
      <c r="AA2" s="70">
        <v>1</v>
      </c>
      <c r="AB2" s="70"/>
      <c r="AC2" s="70"/>
      <c r="AD2" s="17"/>
      <c r="AE2" s="17"/>
      <c r="AF2" s="17"/>
      <c r="AG2" s="17"/>
      <c r="AH2" s="27"/>
      <c r="AI2" s="27"/>
      <c r="AJ2" s="27"/>
      <c r="AK2" s="27"/>
      <c r="AL2" s="27"/>
      <c r="AM2" s="27"/>
      <c r="AN2" s="27"/>
      <c r="AO2" s="27"/>
      <c r="AP2" s="61"/>
      <c r="AQ2" s="19"/>
      <c r="AR2" s="19"/>
      <c r="AS2" s="19"/>
      <c r="AT2" s="3"/>
      <c r="AU2" s="3"/>
    </row>
    <row r="3" spans="1:47" x14ac:dyDescent="0.25">
      <c r="A3" s="4"/>
      <c r="B3" s="377"/>
      <c r="C3" s="5" t="s">
        <v>143</v>
      </c>
      <c r="D3" s="76" t="s">
        <v>265</v>
      </c>
      <c r="E3" s="1"/>
      <c r="F3" s="8" t="s">
        <v>316</v>
      </c>
      <c r="G3" s="8">
        <f>(1200000+1410000)/2</f>
        <v>1305000</v>
      </c>
      <c r="H3" s="11">
        <v>2</v>
      </c>
      <c r="I3" s="65">
        <v>25</v>
      </c>
      <c r="J3" s="9">
        <f>(I3/100)*H3</f>
        <v>0.5</v>
      </c>
      <c r="K3" s="9">
        <f>IF((H3-J3)&lt;1,1,H3-J3)</f>
        <v>1.5</v>
      </c>
      <c r="L3" s="9">
        <f>IF((H3+J3)&gt;5,5,H3+J3)</f>
        <v>2.5</v>
      </c>
      <c r="M3" s="9" t="s">
        <v>317</v>
      </c>
      <c r="N3" s="21"/>
      <c r="O3" s="62"/>
      <c r="P3" s="20"/>
      <c r="Q3" s="20"/>
      <c r="R3" s="20"/>
      <c r="S3" s="19">
        <f>(O3/G3)*100</f>
        <v>0</v>
      </c>
      <c r="T3" s="20"/>
      <c r="U3" s="20"/>
      <c r="V3" s="20"/>
      <c r="W3" s="20"/>
      <c r="X3" s="20"/>
      <c r="Y3" s="20"/>
      <c r="Z3" s="20"/>
      <c r="AA3" s="70">
        <v>1</v>
      </c>
      <c r="AB3" s="70"/>
      <c r="AC3" s="70"/>
      <c r="AD3" s="17"/>
      <c r="AE3" s="17"/>
      <c r="AF3" s="17"/>
      <c r="AG3" s="17"/>
      <c r="AH3" s="27"/>
      <c r="AI3" s="27"/>
      <c r="AJ3" s="27"/>
      <c r="AK3" s="27"/>
      <c r="AL3" s="27"/>
      <c r="AM3" s="27"/>
      <c r="AN3" s="27"/>
      <c r="AO3" s="27"/>
      <c r="AP3" s="61"/>
      <c r="AQ3" s="19"/>
      <c r="AR3" s="19"/>
      <c r="AS3" s="19"/>
      <c r="AT3" s="3"/>
      <c r="AU3" s="3"/>
    </row>
    <row r="4" spans="1:47" x14ac:dyDescent="0.25">
      <c r="A4" s="4"/>
      <c r="B4" s="377"/>
      <c r="C4" s="62" t="s">
        <v>326</v>
      </c>
      <c r="D4" s="76"/>
      <c r="E4" s="1"/>
      <c r="F4" s="8"/>
      <c r="G4" s="8"/>
      <c r="H4" s="11"/>
      <c r="I4" s="65"/>
      <c r="J4" s="9"/>
      <c r="K4" s="9"/>
      <c r="L4" s="9"/>
      <c r="M4" s="9"/>
      <c r="N4" s="21"/>
      <c r="O4" s="62"/>
      <c r="P4" s="20"/>
      <c r="Q4" s="20"/>
      <c r="R4" s="20"/>
      <c r="S4" s="19"/>
      <c r="T4" s="20"/>
      <c r="U4" s="20"/>
      <c r="V4" s="20"/>
      <c r="W4" s="20"/>
      <c r="X4" s="20"/>
      <c r="Y4" s="20"/>
      <c r="Z4" s="20"/>
      <c r="AA4" s="70"/>
      <c r="AB4" s="70"/>
      <c r="AC4" s="70"/>
      <c r="AD4" s="17"/>
      <c r="AE4" s="17"/>
      <c r="AF4" s="17"/>
      <c r="AG4" s="17"/>
      <c r="AH4" s="27"/>
      <c r="AI4" s="27"/>
      <c r="AJ4" s="27"/>
      <c r="AK4" s="27"/>
      <c r="AL4" s="27"/>
      <c r="AM4" s="27"/>
      <c r="AN4" s="27"/>
      <c r="AO4" s="27"/>
      <c r="AP4" s="61"/>
      <c r="AQ4" s="19"/>
      <c r="AR4" s="19"/>
      <c r="AS4" s="19"/>
      <c r="AT4" s="3"/>
      <c r="AU4" s="3"/>
    </row>
    <row r="5" spans="1:47" x14ac:dyDescent="0.25">
      <c r="A5" s="4"/>
      <c r="B5" s="377"/>
      <c r="C5" s="5" t="s">
        <v>144</v>
      </c>
      <c r="D5" s="76" t="s">
        <v>266</v>
      </c>
      <c r="E5" s="1" t="s">
        <v>329</v>
      </c>
      <c r="F5" s="8" t="s">
        <v>284</v>
      </c>
      <c r="G5" s="10">
        <v>5500</v>
      </c>
      <c r="H5" s="11">
        <v>5</v>
      </c>
      <c r="I5" s="65">
        <v>25</v>
      </c>
      <c r="J5" s="9">
        <f>(I5/100)*H5</f>
        <v>1.25</v>
      </c>
      <c r="K5" s="9">
        <f>IF((H5-J5)&lt;1,1,H5-J5)</f>
        <v>3.75</v>
      </c>
      <c r="L5" s="9">
        <f>IF((H5+J5)&gt;5,5,H5+J5)</f>
        <v>5</v>
      </c>
      <c r="M5" s="9" t="s">
        <v>283</v>
      </c>
      <c r="N5" s="21"/>
      <c r="O5" s="62">
        <v>700</v>
      </c>
      <c r="P5" s="20"/>
      <c r="Q5" s="20"/>
      <c r="R5" s="20"/>
      <c r="S5" s="19">
        <f>(O5/G5)*100</f>
        <v>12.727272727272727</v>
      </c>
      <c r="T5" s="20"/>
      <c r="U5" s="20"/>
      <c r="V5" s="20"/>
      <c r="W5" s="20"/>
      <c r="X5" s="20"/>
      <c r="Y5" s="20" t="s">
        <v>283</v>
      </c>
      <c r="Z5" s="20"/>
      <c r="AA5" s="70">
        <v>1</v>
      </c>
      <c r="AB5" s="70"/>
      <c r="AC5" s="70"/>
      <c r="AD5" s="17"/>
      <c r="AE5" s="17"/>
      <c r="AF5" s="17"/>
      <c r="AG5" s="17"/>
      <c r="AH5" s="27"/>
      <c r="AI5" s="27"/>
      <c r="AJ5" s="27"/>
      <c r="AK5" s="27"/>
      <c r="AL5" s="27"/>
      <c r="AM5" s="27"/>
      <c r="AN5" s="27"/>
      <c r="AO5" s="27"/>
      <c r="AP5" s="61"/>
      <c r="AQ5" s="19"/>
      <c r="AR5" s="19"/>
      <c r="AS5" s="19"/>
      <c r="AT5" s="3"/>
      <c r="AU5" s="3"/>
    </row>
    <row r="6" spans="1:47" x14ac:dyDescent="0.25">
      <c r="A6" s="4"/>
      <c r="B6" s="377"/>
      <c r="C6" s="5" t="s">
        <v>145</v>
      </c>
      <c r="D6" s="76" t="s">
        <v>267</v>
      </c>
      <c r="E6" s="1" t="s">
        <v>145</v>
      </c>
      <c r="F6" s="8" t="s">
        <v>285</v>
      </c>
      <c r="G6" s="10">
        <v>650000</v>
      </c>
      <c r="H6" s="11">
        <v>3</v>
      </c>
      <c r="I6" s="65">
        <v>10</v>
      </c>
      <c r="J6" s="9">
        <f>(I6/100)*H6</f>
        <v>0.30000000000000004</v>
      </c>
      <c r="K6" s="9">
        <f>IF((H6-J6)&lt;1,1,H6-J6)</f>
        <v>2.7</v>
      </c>
      <c r="L6" s="9">
        <f>IF((H6+J6)&gt;5,5,H6+J6)</f>
        <v>3.3</v>
      </c>
      <c r="M6" s="72" t="s">
        <v>318</v>
      </c>
      <c r="N6" s="21"/>
      <c r="O6" s="62"/>
      <c r="P6" s="20"/>
      <c r="Q6" s="20"/>
      <c r="R6" s="20"/>
      <c r="S6" s="19">
        <f>(O6/G6)*100</f>
        <v>0</v>
      </c>
      <c r="T6" s="20"/>
      <c r="U6" s="20"/>
      <c r="V6" s="20"/>
      <c r="W6" s="20"/>
      <c r="X6" s="20"/>
      <c r="Y6" s="20"/>
      <c r="Z6" s="20"/>
      <c r="AA6" s="70">
        <v>1</v>
      </c>
      <c r="AB6" s="70"/>
      <c r="AC6" s="70"/>
      <c r="AD6" s="17"/>
      <c r="AE6" s="17"/>
      <c r="AF6" s="17"/>
      <c r="AG6" s="17"/>
      <c r="AH6" s="27"/>
      <c r="AI6" s="27"/>
      <c r="AJ6" s="27"/>
      <c r="AK6" s="27"/>
      <c r="AL6" s="27"/>
      <c r="AM6" s="27"/>
      <c r="AN6" s="27"/>
      <c r="AO6" s="27"/>
      <c r="AP6" s="61"/>
      <c r="AQ6" s="19"/>
      <c r="AR6" s="19"/>
      <c r="AS6" s="19"/>
      <c r="AT6" s="3"/>
      <c r="AU6" s="3"/>
    </row>
    <row r="7" spans="1:47" x14ac:dyDescent="0.25">
      <c r="C7" s="84" t="s">
        <v>427</v>
      </c>
    </row>
  </sheetData>
  <mergeCells count="1">
    <mergeCell ref="B2:B6"/>
  </mergeCells>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85"/>
  <sheetViews>
    <sheetView zoomScale="80" zoomScaleNormal="80" workbookViewId="0">
      <pane xSplit="4" ySplit="1" topLeftCell="AR2" activePane="bottomRight" state="frozen"/>
      <selection pane="topRight" activeCell="E1" sqref="E1"/>
      <selection pane="bottomLeft" activeCell="A2" sqref="A2"/>
      <selection pane="bottomRight" activeCell="A9" sqref="A9"/>
    </sheetView>
  </sheetViews>
  <sheetFormatPr defaultColWidth="11" defaultRowHeight="15.75" x14ac:dyDescent="0.25"/>
  <cols>
    <col min="1" max="1" width="11" customWidth="1"/>
    <col min="2" max="2" width="11.625" style="187" customWidth="1"/>
    <col min="3" max="3" width="22.5" customWidth="1"/>
    <col min="4" max="4" width="11" hidden="1" customWidth="1"/>
    <col min="5" max="5" width="19.625" hidden="1" customWidth="1"/>
    <col min="6" max="6" width="12.125" customWidth="1"/>
    <col min="7" max="7" width="12.125" style="88" customWidth="1"/>
    <col min="8" max="8" width="11" style="100" hidden="1" customWidth="1"/>
    <col min="9" max="9" width="38.875" customWidth="1"/>
    <col min="10" max="14" width="11" customWidth="1"/>
    <col min="15" max="15" width="39.125" customWidth="1"/>
    <col min="16" max="20" width="11" customWidth="1"/>
    <col min="21" max="21" width="20.625" customWidth="1"/>
    <col min="22" max="22" width="12.375" hidden="1" customWidth="1"/>
    <col min="23" max="24" width="11" hidden="1" customWidth="1"/>
    <col min="25" max="25" width="11" style="88" hidden="1" customWidth="1"/>
    <col min="26" max="27" width="11" hidden="1" customWidth="1"/>
    <col min="28" max="28" width="11" customWidth="1"/>
    <col min="30" max="31" width="11" customWidth="1"/>
    <col min="34" max="34" width="19.75" style="88" customWidth="1"/>
    <col min="35" max="35" width="11.5" style="88" customWidth="1"/>
    <col min="36" max="36" width="11.625" style="88" customWidth="1"/>
    <col min="37" max="38" width="11" style="88" customWidth="1"/>
    <col min="39" max="40" width="11" style="88"/>
    <col min="41" max="41" width="18" style="88" customWidth="1"/>
    <col min="43" max="43" width="13.5" customWidth="1"/>
    <col min="53" max="55" width="0" style="204" hidden="1" customWidth="1"/>
  </cols>
  <sheetData>
    <row r="1" spans="1:59" s="55" customFormat="1" ht="75" x14ac:dyDescent="0.25">
      <c r="A1" s="6" t="s">
        <v>149</v>
      </c>
      <c r="B1" s="149" t="s">
        <v>146</v>
      </c>
      <c r="C1" s="12" t="s">
        <v>147</v>
      </c>
      <c r="D1" s="91" t="s">
        <v>431</v>
      </c>
      <c r="E1" s="12" t="s">
        <v>0</v>
      </c>
      <c r="F1" s="28" t="s">
        <v>170</v>
      </c>
      <c r="G1" s="28" t="s">
        <v>839</v>
      </c>
      <c r="H1" s="188" t="s">
        <v>838</v>
      </c>
      <c r="I1" s="28" t="s">
        <v>237</v>
      </c>
      <c r="J1" s="6" t="s">
        <v>1149</v>
      </c>
      <c r="K1" s="6" t="s">
        <v>1150</v>
      </c>
      <c r="L1" s="6" t="s">
        <v>1151</v>
      </c>
      <c r="M1" s="6" t="s">
        <v>1152</v>
      </c>
      <c r="N1" s="6" t="s">
        <v>1153</v>
      </c>
      <c r="O1" s="6" t="s">
        <v>1154</v>
      </c>
      <c r="P1" s="94" t="s">
        <v>1155</v>
      </c>
      <c r="Q1" s="94" t="s">
        <v>1156</v>
      </c>
      <c r="R1" s="94" t="s">
        <v>1168</v>
      </c>
      <c r="S1" s="94" t="s">
        <v>1157</v>
      </c>
      <c r="T1" s="94" t="s">
        <v>1158</v>
      </c>
      <c r="U1" s="94" t="s">
        <v>1159</v>
      </c>
      <c r="V1" s="172" t="s">
        <v>592</v>
      </c>
      <c r="W1" s="173" t="s">
        <v>593</v>
      </c>
      <c r="X1" s="173" t="s">
        <v>594</v>
      </c>
      <c r="Y1" s="173" t="s">
        <v>700</v>
      </c>
      <c r="Z1" s="173" t="s">
        <v>701</v>
      </c>
      <c r="AA1" s="173" t="s">
        <v>702</v>
      </c>
      <c r="AB1" s="23" t="s">
        <v>734</v>
      </c>
      <c r="AC1" s="23" t="s">
        <v>239</v>
      </c>
      <c r="AD1" s="23" t="s">
        <v>416</v>
      </c>
      <c r="AE1" s="23" t="s">
        <v>417</v>
      </c>
      <c r="AF1" s="23" t="s">
        <v>418</v>
      </c>
      <c r="AG1" s="23" t="s">
        <v>419</v>
      </c>
      <c r="AH1" s="23" t="s">
        <v>164</v>
      </c>
      <c r="AI1" s="29" t="s">
        <v>747</v>
      </c>
      <c r="AJ1" s="29" t="s">
        <v>930</v>
      </c>
      <c r="AK1" s="29" t="s">
        <v>240</v>
      </c>
      <c r="AL1" s="29" t="s">
        <v>241</v>
      </c>
      <c r="AM1" s="29" t="s">
        <v>248</v>
      </c>
      <c r="AN1" s="29" t="s">
        <v>249</v>
      </c>
      <c r="AO1" s="29" t="s">
        <v>165</v>
      </c>
      <c r="AP1" s="31" t="s">
        <v>166</v>
      </c>
      <c r="AQ1" s="31" t="s">
        <v>167</v>
      </c>
      <c r="AR1" s="24" t="s">
        <v>1160</v>
      </c>
      <c r="AS1" s="24" t="s">
        <v>1161</v>
      </c>
      <c r="AT1" s="24" t="s">
        <v>1162</v>
      </c>
      <c r="AU1" s="56" t="s">
        <v>1163</v>
      </c>
      <c r="AV1" s="56" t="s">
        <v>1164</v>
      </c>
      <c r="AW1" s="56" t="s">
        <v>1165</v>
      </c>
      <c r="AX1" s="33" t="s">
        <v>1129</v>
      </c>
      <c r="AY1" s="33" t="s">
        <v>1131</v>
      </c>
      <c r="AZ1" s="60" t="s">
        <v>1130</v>
      </c>
      <c r="BA1" s="203" t="s">
        <v>955</v>
      </c>
      <c r="BB1" s="203" t="s">
        <v>956</v>
      </c>
      <c r="BC1" s="203" t="s">
        <v>957</v>
      </c>
      <c r="BD1" s="196" t="s">
        <v>1132</v>
      </c>
      <c r="BE1" s="196" t="s">
        <v>1133</v>
      </c>
      <c r="BF1" s="196" t="s">
        <v>1134</v>
      </c>
      <c r="BG1" s="207" t="s">
        <v>169</v>
      </c>
    </row>
    <row r="2" spans="1:59" s="2" customFormat="1" x14ac:dyDescent="0.25">
      <c r="A2" s="46"/>
      <c r="B2" s="186"/>
      <c r="C2" s="59" t="s">
        <v>255</v>
      </c>
      <c r="D2" s="95"/>
      <c r="E2" s="58"/>
      <c r="F2" s="13"/>
      <c r="G2" s="206">
        <f>MIN(G4:G79)</f>
        <v>2</v>
      </c>
      <c r="H2" s="206">
        <f>MIN(H4:H79)</f>
        <v>1461</v>
      </c>
      <c r="I2" s="206"/>
      <c r="J2" s="215">
        <f>MIN(J4:J79)</f>
        <v>1</v>
      </c>
      <c r="K2" s="215">
        <f>MIN(K4:K79)</f>
        <v>10</v>
      </c>
      <c r="L2" s="215">
        <f>MIN(L4:L79)</f>
        <v>0.1</v>
      </c>
      <c r="M2" s="215">
        <f>MIN(M4:M79)</f>
        <v>0.5</v>
      </c>
      <c r="N2" s="215">
        <f>MIN(N4:N79)</f>
        <v>1.1000000000000001</v>
      </c>
      <c r="O2" s="215"/>
      <c r="P2" s="213">
        <f>MIN(P4:P79)</f>
        <v>1</v>
      </c>
      <c r="Q2" s="213">
        <f>MIN(Q4:Q79)</f>
        <v>10</v>
      </c>
      <c r="R2" s="318">
        <f>MIN(R4:R79)</f>
        <v>0.1</v>
      </c>
      <c r="S2" s="318">
        <f>MIN(S4:S79)</f>
        <v>0.5</v>
      </c>
      <c r="T2" s="318">
        <f>MIN(T4:T79)</f>
        <v>1.1000000000000001</v>
      </c>
      <c r="U2" s="213"/>
      <c r="V2" s="218"/>
      <c r="W2" s="218"/>
      <c r="X2" s="218"/>
      <c r="Y2" s="218"/>
      <c r="Z2" s="218"/>
      <c r="AA2" s="218"/>
      <c r="AB2" s="217">
        <f t="shared" ref="AB2:AG2" si="0">MIN(AB4:AB79)</f>
        <v>0</v>
      </c>
      <c r="AC2" s="217">
        <f t="shared" si="0"/>
        <v>1</v>
      </c>
      <c r="AD2" s="217">
        <f t="shared" si="0"/>
        <v>10</v>
      </c>
      <c r="AE2" s="217">
        <f t="shared" si="0"/>
        <v>0.1</v>
      </c>
      <c r="AF2" s="217">
        <f t="shared" si="0"/>
        <v>0.5</v>
      </c>
      <c r="AG2" s="217">
        <f t="shared" si="0"/>
        <v>1.1000000000000001</v>
      </c>
      <c r="AH2" s="217"/>
      <c r="AI2" s="216">
        <f t="shared" ref="AI2:AN2" si="1">MIN(AI4:AI79)</f>
        <v>0</v>
      </c>
      <c r="AJ2" s="216">
        <f t="shared" si="1"/>
        <v>1</v>
      </c>
      <c r="AK2" s="216">
        <f t="shared" si="1"/>
        <v>10</v>
      </c>
      <c r="AL2" s="216">
        <f t="shared" si="1"/>
        <v>0.1</v>
      </c>
      <c r="AM2" s="216">
        <f t="shared" si="1"/>
        <v>0.5</v>
      </c>
      <c r="AN2" s="216">
        <f t="shared" si="1"/>
        <v>1.1000000000000001</v>
      </c>
      <c r="AO2" s="216"/>
      <c r="AP2" s="214">
        <f>MIN(AP4:AP79)</f>
        <v>1</v>
      </c>
      <c r="AQ2" s="214"/>
      <c r="AR2" s="213">
        <f t="shared" ref="AR2:BF2" si="2">MIN(AR4:AR79)</f>
        <v>0.90000000000000013</v>
      </c>
      <c r="AS2" s="213">
        <f t="shared" si="2"/>
        <v>1.2000000000000002</v>
      </c>
      <c r="AT2" s="213">
        <f t="shared" si="2"/>
        <v>1.5000000000000002</v>
      </c>
      <c r="AU2" s="211">
        <v>1</v>
      </c>
      <c r="AV2" s="211">
        <v>1.3125</v>
      </c>
      <c r="AW2" s="211">
        <v>1.5874999999999999</v>
      </c>
      <c r="AX2" s="212">
        <f t="shared" si="2"/>
        <v>1.5300000000000002</v>
      </c>
      <c r="AY2" s="212">
        <f t="shared" si="2"/>
        <v>3.0000000000000004</v>
      </c>
      <c r="AZ2" s="212">
        <f t="shared" si="2"/>
        <v>4.95</v>
      </c>
      <c r="BA2" s="210">
        <f t="shared" si="2"/>
        <v>0</v>
      </c>
      <c r="BB2" s="210">
        <f t="shared" si="2"/>
        <v>0</v>
      </c>
      <c r="BC2" s="210">
        <f t="shared" si="2"/>
        <v>0.2</v>
      </c>
      <c r="BD2" s="209">
        <f t="shared" si="2"/>
        <v>0</v>
      </c>
      <c r="BE2" s="209">
        <f t="shared" si="2"/>
        <v>0</v>
      </c>
      <c r="BF2" s="209">
        <f t="shared" si="2"/>
        <v>0.06</v>
      </c>
      <c r="BG2" s="208"/>
    </row>
    <row r="3" spans="1:59" s="288" customFormat="1" ht="16.5" thickBot="1" x14ac:dyDescent="0.3">
      <c r="A3" s="247"/>
      <c r="B3" s="274"/>
      <c r="C3" s="249" t="s">
        <v>256</v>
      </c>
      <c r="D3" s="249"/>
      <c r="E3" s="248"/>
      <c r="F3" s="275"/>
      <c r="G3" s="276">
        <f>MAX(G4:G79)</f>
        <v>12</v>
      </c>
      <c r="H3" s="276">
        <f>MAX(H4:H79)</f>
        <v>8766</v>
      </c>
      <c r="I3" s="276"/>
      <c r="J3" s="277">
        <f>MAX(J4:J79)</f>
        <v>5</v>
      </c>
      <c r="K3" s="277">
        <f>MAX(K4:K79)</f>
        <v>50</v>
      </c>
      <c r="L3" s="277">
        <f>MAX(L4:L79)</f>
        <v>2</v>
      </c>
      <c r="M3" s="277">
        <f>MAX(M4:M79)</f>
        <v>4.5</v>
      </c>
      <c r="N3" s="277">
        <f>MAX(N4:N79)</f>
        <v>6.25</v>
      </c>
      <c r="O3" s="277"/>
      <c r="P3" s="278">
        <f>MAX(P4:P79)</f>
        <v>5</v>
      </c>
      <c r="Q3" s="278">
        <f>MAX(Q4:Q79)</f>
        <v>50</v>
      </c>
      <c r="R3" s="319">
        <f>MAX(R4:R79)</f>
        <v>2.5</v>
      </c>
      <c r="S3" s="319">
        <f>MAX(S4:S79)</f>
        <v>4.5</v>
      </c>
      <c r="T3" s="319">
        <f>MAX(T4:T79)</f>
        <v>7.5</v>
      </c>
      <c r="U3" s="278"/>
      <c r="V3" s="279"/>
      <c r="W3" s="279"/>
      <c r="X3" s="279"/>
      <c r="Y3" s="279"/>
      <c r="Z3" s="279"/>
      <c r="AA3" s="279"/>
      <c r="AB3" s="280">
        <f t="shared" ref="AB3:AG3" si="3">MAX(AB4:AB79)</f>
        <v>62.6</v>
      </c>
      <c r="AC3" s="280">
        <f t="shared" si="3"/>
        <v>5</v>
      </c>
      <c r="AD3" s="280">
        <f t="shared" si="3"/>
        <v>50</v>
      </c>
      <c r="AE3" s="280">
        <f t="shared" si="3"/>
        <v>2.5</v>
      </c>
      <c r="AF3" s="280">
        <f t="shared" si="3"/>
        <v>4.5</v>
      </c>
      <c r="AG3" s="280">
        <f t="shared" si="3"/>
        <v>7.5</v>
      </c>
      <c r="AH3" s="280"/>
      <c r="AI3" s="281">
        <f t="shared" ref="AI3:AN3" si="4">MAX(AI4:AI79)</f>
        <v>50</v>
      </c>
      <c r="AJ3" s="281">
        <f t="shared" si="4"/>
        <v>5</v>
      </c>
      <c r="AK3" s="281">
        <f t="shared" si="4"/>
        <v>50</v>
      </c>
      <c r="AL3" s="281">
        <f t="shared" si="4"/>
        <v>2.5</v>
      </c>
      <c r="AM3" s="281">
        <f t="shared" si="4"/>
        <v>3.75</v>
      </c>
      <c r="AN3" s="281">
        <f t="shared" si="4"/>
        <v>7.5</v>
      </c>
      <c r="AO3" s="281"/>
      <c r="AP3" s="282">
        <f>MAX(AP4:AP79)</f>
        <v>2</v>
      </c>
      <c r="AQ3" s="282"/>
      <c r="AR3" s="278">
        <f t="shared" ref="AR3:BF3" si="5">MAX(AR4:AR79)</f>
        <v>270</v>
      </c>
      <c r="AS3" s="278">
        <f t="shared" si="5"/>
        <v>360</v>
      </c>
      <c r="AT3" s="278">
        <f t="shared" si="5"/>
        <v>540</v>
      </c>
      <c r="AU3" s="283">
        <v>3.5625</v>
      </c>
      <c r="AV3" s="283">
        <v>4.5</v>
      </c>
      <c r="AW3" s="283">
        <v>5.4375</v>
      </c>
      <c r="AX3" s="284">
        <f t="shared" si="5"/>
        <v>945</v>
      </c>
      <c r="AY3" s="284">
        <f t="shared" si="5"/>
        <v>1530</v>
      </c>
      <c r="AZ3" s="284">
        <f t="shared" si="5"/>
        <v>2250</v>
      </c>
      <c r="BA3" s="285">
        <f t="shared" si="5"/>
        <v>9.6999999999999993</v>
      </c>
      <c r="BB3" s="285">
        <f t="shared" si="5"/>
        <v>9.9</v>
      </c>
      <c r="BC3" s="285">
        <f t="shared" si="5"/>
        <v>10</v>
      </c>
      <c r="BD3" s="286">
        <f t="shared" si="5"/>
        <v>2.91</v>
      </c>
      <c r="BE3" s="286">
        <f t="shared" si="5"/>
        <v>2.9699999999999998</v>
      </c>
      <c r="BF3" s="286">
        <f t="shared" si="5"/>
        <v>3</v>
      </c>
      <c r="BG3" s="287"/>
    </row>
    <row r="4" spans="1:59" ht="16.5" thickTop="1" x14ac:dyDescent="0.25">
      <c r="A4" s="358">
        <v>537</v>
      </c>
      <c r="B4" s="370" t="s">
        <v>58</v>
      </c>
      <c r="C4" s="341" t="s">
        <v>59</v>
      </c>
      <c r="D4" s="341" t="s">
        <v>481</v>
      </c>
      <c r="E4" s="342" t="s">
        <v>60</v>
      </c>
      <c r="F4" s="238" t="s">
        <v>770</v>
      </c>
      <c r="G4" s="238">
        <v>5</v>
      </c>
      <c r="H4" s="264">
        <f>5*730.5</f>
        <v>3652.5</v>
      </c>
      <c r="I4" s="238" t="s">
        <v>768</v>
      </c>
      <c r="J4" s="265">
        <v>3</v>
      </c>
      <c r="K4" s="265">
        <v>50</v>
      </c>
      <c r="L4" s="266">
        <f t="shared" ref="L4:L9" si="6">(K4/100)*J4</f>
        <v>1.5</v>
      </c>
      <c r="M4" s="266">
        <f>J4-L4</f>
        <v>1.5</v>
      </c>
      <c r="N4" s="266">
        <f>J4+L4</f>
        <v>4.5</v>
      </c>
      <c r="O4" s="265" t="s">
        <v>280</v>
      </c>
      <c r="P4" s="267">
        <v>3</v>
      </c>
      <c r="Q4" s="267">
        <v>50</v>
      </c>
      <c r="R4" s="320">
        <f t="shared" ref="R4:R10" si="7">(Q4/100)*P4</f>
        <v>1.5</v>
      </c>
      <c r="S4" s="320">
        <f>P4-R4</f>
        <v>1.5</v>
      </c>
      <c r="T4" s="320">
        <f>P4+R4</f>
        <v>4.5</v>
      </c>
      <c r="U4" s="267" t="s">
        <v>280</v>
      </c>
      <c r="V4" s="268" t="s">
        <v>11</v>
      </c>
      <c r="W4" s="268"/>
      <c r="X4" s="268"/>
      <c r="Y4" s="268"/>
      <c r="Z4" s="268"/>
      <c r="AA4" s="268"/>
      <c r="AB4" s="321" t="s">
        <v>711</v>
      </c>
      <c r="AC4" s="269">
        <v>3</v>
      </c>
      <c r="AD4" s="269">
        <v>25</v>
      </c>
      <c r="AE4" s="270">
        <f t="shared" ref="AE4:AE9" si="8">(AD4/100)*AC4</f>
        <v>0.75</v>
      </c>
      <c r="AF4" s="270">
        <f>AC4-AE4</f>
        <v>2.25</v>
      </c>
      <c r="AG4" s="270">
        <f>AC4+AE4</f>
        <v>3.75</v>
      </c>
      <c r="AH4" s="269" t="s">
        <v>1004</v>
      </c>
      <c r="AI4" s="325" t="s">
        <v>737</v>
      </c>
      <c r="AJ4" s="234">
        <v>1</v>
      </c>
      <c r="AK4" s="234">
        <v>25</v>
      </c>
      <c r="AL4" s="235">
        <f t="shared" ref="AL4:AL9" si="9">(AK4/100)*AJ4</f>
        <v>0.25</v>
      </c>
      <c r="AM4" s="235">
        <f>AJ4-AL4</f>
        <v>0.75</v>
      </c>
      <c r="AN4" s="235">
        <f>AJ4+AL4</f>
        <v>1.25</v>
      </c>
      <c r="AO4" s="234" t="s">
        <v>1006</v>
      </c>
      <c r="AP4" s="239">
        <v>1</v>
      </c>
      <c r="AQ4" s="239" t="s">
        <v>854</v>
      </c>
      <c r="AR4" s="241">
        <f t="shared" ref="AR4:AR35" si="10">G4*((M4+S4)/AF4)*(AM4*AP4)</f>
        <v>5</v>
      </c>
      <c r="AS4" s="241">
        <f t="shared" ref="AS4:AS35" si="11">G4*((J4+P4)/AC4)*(AJ4*AP4)</f>
        <v>10</v>
      </c>
      <c r="AT4" s="241">
        <f t="shared" ref="AT4:AT35" si="12">G4*((N4+T4)/AG4)*(AN4*AP4)</f>
        <v>15</v>
      </c>
      <c r="AU4" s="242">
        <v>1.6875</v>
      </c>
      <c r="AV4" s="242">
        <v>2.25</v>
      </c>
      <c r="AW4" s="242">
        <v>2.8125</v>
      </c>
      <c r="AX4" s="271">
        <f>AR4*AU4</f>
        <v>8.4375</v>
      </c>
      <c r="AY4" s="271">
        <f>AS4*AV4</f>
        <v>22.5</v>
      </c>
      <c r="AZ4" s="271">
        <f>AT4*AW4</f>
        <v>42.1875</v>
      </c>
      <c r="BA4" s="272">
        <f t="shared" ref="BA4:BA35" si="13">_xlfn.PERCENTRANK.INC($AX$4:$AZ$79,AX4,2)*10</f>
        <v>0.4</v>
      </c>
      <c r="BB4" s="272">
        <f t="shared" ref="BB4:BB35" si="14">_xlfn.PERCENTRANK.INC($AX$4:$AZ$79,AY4,2)*10</f>
        <v>1.7999999999999998</v>
      </c>
      <c r="BC4" s="272">
        <f t="shared" ref="BC4:BC35" si="15">_xlfn.PERCENTRANK.INC($AX$4:$AZ$79,AZ4,2)*10</f>
        <v>3.4000000000000004</v>
      </c>
      <c r="BD4" s="273">
        <f t="shared" ref="BD4:BD35" si="16">_xlfn.PERCENTRANK.INC($AX$4:$AZ$79,AX4,2)*3</f>
        <v>0.12</v>
      </c>
      <c r="BE4" s="273">
        <f t="shared" ref="BE4:BE35" si="17">_xlfn.PERCENTRANK.INC($AX$4:$AZ$79,AY4,2)*3</f>
        <v>0.54</v>
      </c>
      <c r="BF4" s="273">
        <f t="shared" ref="BF4:BF35" si="18">_xlfn.PERCENTRANK.INC($AX$4:$AZ$79,AZ4,2)*3</f>
        <v>1.02</v>
      </c>
      <c r="BG4" s="231" t="s">
        <v>931</v>
      </c>
    </row>
    <row r="5" spans="1:59" x14ac:dyDescent="0.25">
      <c r="A5" s="358">
        <v>530</v>
      </c>
      <c r="B5" s="368"/>
      <c r="C5" s="98" t="s">
        <v>61</v>
      </c>
      <c r="D5" s="98" t="s">
        <v>482</v>
      </c>
      <c r="E5" s="142" t="s">
        <v>62</v>
      </c>
      <c r="F5" s="11" t="s">
        <v>753</v>
      </c>
      <c r="G5" s="11">
        <v>12</v>
      </c>
      <c r="H5" s="189">
        <v>8766</v>
      </c>
      <c r="I5" s="11" t="s">
        <v>789</v>
      </c>
      <c r="J5" s="48">
        <v>4</v>
      </c>
      <c r="K5" s="48">
        <v>25</v>
      </c>
      <c r="L5" s="185">
        <f t="shared" si="6"/>
        <v>1</v>
      </c>
      <c r="M5" s="266">
        <f t="shared" ref="M5:M68" si="19">J5-L5</f>
        <v>3</v>
      </c>
      <c r="N5" s="266">
        <f t="shared" ref="N5:N68" si="20">J5+L5</f>
        <v>5</v>
      </c>
      <c r="O5" s="48" t="s">
        <v>801</v>
      </c>
      <c r="P5" s="93">
        <v>2</v>
      </c>
      <c r="Q5" s="93">
        <v>50</v>
      </c>
      <c r="R5" s="197">
        <f t="shared" si="7"/>
        <v>1</v>
      </c>
      <c r="S5" s="320">
        <f t="shared" ref="S5:S68" si="21">P5-R5</f>
        <v>1</v>
      </c>
      <c r="T5" s="320">
        <f t="shared" ref="T5:T68" si="22">P5+R5</f>
        <v>3</v>
      </c>
      <c r="U5" s="93" t="s">
        <v>280</v>
      </c>
      <c r="V5" s="174" t="s">
        <v>11</v>
      </c>
      <c r="W5" s="174"/>
      <c r="X5" s="174"/>
      <c r="Y5" s="174"/>
      <c r="Z5" s="174"/>
      <c r="AA5" s="174"/>
      <c r="AB5" s="322" t="s">
        <v>709</v>
      </c>
      <c r="AC5" s="26">
        <v>3</v>
      </c>
      <c r="AD5" s="26">
        <v>50</v>
      </c>
      <c r="AE5" s="176">
        <f t="shared" si="8"/>
        <v>1.5</v>
      </c>
      <c r="AF5" s="270">
        <f t="shared" ref="AF5:AF68" si="23">AC5-AE5</f>
        <v>1.5</v>
      </c>
      <c r="AG5" s="270">
        <f t="shared" ref="AG5:AG68" si="24">AC5+AE5</f>
        <v>4.5</v>
      </c>
      <c r="AH5" s="26" t="s">
        <v>1004</v>
      </c>
      <c r="AI5" s="326" t="s">
        <v>737</v>
      </c>
      <c r="AJ5" s="30">
        <v>1</v>
      </c>
      <c r="AK5" s="30">
        <v>25</v>
      </c>
      <c r="AL5" s="179">
        <f t="shared" si="9"/>
        <v>0.25</v>
      </c>
      <c r="AM5" s="235">
        <f t="shared" ref="AM5:AM68" si="25">AJ5-AL5</f>
        <v>0.75</v>
      </c>
      <c r="AN5" s="235">
        <f t="shared" ref="AN5:AN68" si="26">AJ5+AL5</f>
        <v>1.25</v>
      </c>
      <c r="AO5" s="234" t="s">
        <v>1006</v>
      </c>
      <c r="AP5" s="32">
        <v>1</v>
      </c>
      <c r="AQ5" s="32" t="s">
        <v>855</v>
      </c>
      <c r="AR5" s="199">
        <f t="shared" si="10"/>
        <v>24</v>
      </c>
      <c r="AS5" s="199">
        <f t="shared" si="11"/>
        <v>24</v>
      </c>
      <c r="AT5" s="199">
        <f t="shared" si="12"/>
        <v>26.666666666666664</v>
      </c>
      <c r="AU5" s="200">
        <v>1.5</v>
      </c>
      <c r="AV5" s="200">
        <v>2.3125</v>
      </c>
      <c r="AW5" s="200">
        <v>3.125</v>
      </c>
      <c r="AX5" s="202">
        <f t="shared" ref="AX5:AX68" si="27">AR5*AU5</f>
        <v>36</v>
      </c>
      <c r="AY5" s="202">
        <f t="shared" ref="AY5:AY68" si="28">AS5*AV5</f>
        <v>55.5</v>
      </c>
      <c r="AZ5" s="202">
        <f t="shared" ref="AZ5:AZ68" si="29">AT5*AW5</f>
        <v>83.333333333333329</v>
      </c>
      <c r="BA5" s="272">
        <f t="shared" si="13"/>
        <v>2.9</v>
      </c>
      <c r="BB5" s="272">
        <f t="shared" si="14"/>
        <v>4.4000000000000004</v>
      </c>
      <c r="BC5" s="272">
        <f t="shared" si="15"/>
        <v>5.4</v>
      </c>
      <c r="BD5" s="273">
        <f t="shared" si="16"/>
        <v>0.86999999999999988</v>
      </c>
      <c r="BE5" s="273">
        <f t="shared" si="17"/>
        <v>1.32</v>
      </c>
      <c r="BF5" s="273">
        <f t="shared" si="18"/>
        <v>1.62</v>
      </c>
      <c r="BG5" s="89" t="s">
        <v>932</v>
      </c>
    </row>
    <row r="6" spans="1:59" x14ac:dyDescent="0.25">
      <c r="A6" s="358">
        <v>534</v>
      </c>
      <c r="B6" s="368"/>
      <c r="C6" s="98" t="s">
        <v>574</v>
      </c>
      <c r="D6" s="98" t="s">
        <v>483</v>
      </c>
      <c r="E6" s="142" t="s">
        <v>63</v>
      </c>
      <c r="F6" s="11" t="s">
        <v>753</v>
      </c>
      <c r="G6" s="11">
        <v>12</v>
      </c>
      <c r="H6" s="189">
        <v>8766</v>
      </c>
      <c r="I6" s="11" t="s">
        <v>789</v>
      </c>
      <c r="J6" s="48">
        <v>3</v>
      </c>
      <c r="K6" s="48">
        <v>25</v>
      </c>
      <c r="L6" s="185">
        <f t="shared" si="6"/>
        <v>0.75</v>
      </c>
      <c r="M6" s="266">
        <f t="shared" si="19"/>
        <v>2.25</v>
      </c>
      <c r="N6" s="266">
        <f t="shared" si="20"/>
        <v>3.75</v>
      </c>
      <c r="O6" s="48" t="s">
        <v>802</v>
      </c>
      <c r="P6" s="93">
        <v>3</v>
      </c>
      <c r="Q6" s="93">
        <v>25</v>
      </c>
      <c r="R6" s="197">
        <f t="shared" si="7"/>
        <v>0.75</v>
      </c>
      <c r="S6" s="320">
        <f t="shared" si="21"/>
        <v>2.25</v>
      </c>
      <c r="T6" s="320">
        <f t="shared" si="22"/>
        <v>3.75</v>
      </c>
      <c r="U6" s="93" t="s">
        <v>802</v>
      </c>
      <c r="V6" s="174" t="s">
        <v>11</v>
      </c>
      <c r="W6" s="174"/>
      <c r="X6" s="174"/>
      <c r="Y6" s="174"/>
      <c r="Z6" s="174"/>
      <c r="AA6" s="174"/>
      <c r="AB6" s="224" t="s">
        <v>710</v>
      </c>
      <c r="AC6" s="26">
        <v>3</v>
      </c>
      <c r="AD6" s="26">
        <v>50</v>
      </c>
      <c r="AE6" s="176">
        <f t="shared" si="8"/>
        <v>1.5</v>
      </c>
      <c r="AF6" s="270">
        <f t="shared" si="23"/>
        <v>1.5</v>
      </c>
      <c r="AG6" s="270">
        <f t="shared" si="24"/>
        <v>4.5</v>
      </c>
      <c r="AH6" s="26" t="s">
        <v>725</v>
      </c>
      <c r="AI6" s="326" t="s">
        <v>737</v>
      </c>
      <c r="AJ6" s="30">
        <v>1</v>
      </c>
      <c r="AK6" s="30">
        <v>25</v>
      </c>
      <c r="AL6" s="179">
        <f t="shared" si="9"/>
        <v>0.25</v>
      </c>
      <c r="AM6" s="235">
        <f t="shared" si="25"/>
        <v>0.75</v>
      </c>
      <c r="AN6" s="235">
        <f t="shared" si="26"/>
        <v>1.25</v>
      </c>
      <c r="AO6" s="234" t="s">
        <v>1006</v>
      </c>
      <c r="AP6" s="32">
        <v>1</v>
      </c>
      <c r="AQ6" s="32" t="s">
        <v>856</v>
      </c>
      <c r="AR6" s="199">
        <f t="shared" si="10"/>
        <v>27</v>
      </c>
      <c r="AS6" s="199">
        <f t="shared" si="11"/>
        <v>24</v>
      </c>
      <c r="AT6" s="199">
        <f t="shared" si="12"/>
        <v>25</v>
      </c>
      <c r="AU6" s="200">
        <v>1.1875</v>
      </c>
      <c r="AV6" s="200">
        <v>1.8125</v>
      </c>
      <c r="AW6" s="200">
        <v>2.4375</v>
      </c>
      <c r="AX6" s="202">
        <f t="shared" si="27"/>
        <v>32.0625</v>
      </c>
      <c r="AY6" s="202">
        <f t="shared" si="28"/>
        <v>43.5</v>
      </c>
      <c r="AZ6" s="202">
        <f t="shared" si="29"/>
        <v>60.9375</v>
      </c>
      <c r="BA6" s="272">
        <f t="shared" si="13"/>
        <v>2.5</v>
      </c>
      <c r="BB6" s="272">
        <f t="shared" si="14"/>
        <v>3.5999999999999996</v>
      </c>
      <c r="BC6" s="272">
        <f t="shared" si="15"/>
        <v>4.6999999999999993</v>
      </c>
      <c r="BD6" s="273">
        <f t="shared" si="16"/>
        <v>0.75</v>
      </c>
      <c r="BE6" s="273">
        <f t="shared" si="17"/>
        <v>1.08</v>
      </c>
      <c r="BF6" s="273">
        <f t="shared" si="18"/>
        <v>1.41</v>
      </c>
      <c r="BG6" s="89" t="s">
        <v>932</v>
      </c>
    </row>
    <row r="7" spans="1:59" x14ac:dyDescent="0.25">
      <c r="A7" s="358">
        <v>261</v>
      </c>
      <c r="B7" s="368"/>
      <c r="C7" s="98" t="s">
        <v>64</v>
      </c>
      <c r="D7" s="98" t="s">
        <v>484</v>
      </c>
      <c r="E7" s="343" t="s">
        <v>258</v>
      </c>
      <c r="F7" s="11" t="s">
        <v>753</v>
      </c>
      <c r="G7" s="11">
        <v>12</v>
      </c>
      <c r="H7" s="189">
        <v>8766</v>
      </c>
      <c r="I7" s="11" t="s">
        <v>768</v>
      </c>
      <c r="J7" s="48">
        <v>1</v>
      </c>
      <c r="K7" s="48">
        <v>50</v>
      </c>
      <c r="L7" s="185">
        <f t="shared" si="6"/>
        <v>0.5</v>
      </c>
      <c r="M7" s="266">
        <f t="shared" si="19"/>
        <v>0.5</v>
      </c>
      <c r="N7" s="266">
        <f t="shared" si="20"/>
        <v>1.5</v>
      </c>
      <c r="O7" s="48" t="s">
        <v>280</v>
      </c>
      <c r="P7" s="93">
        <v>1</v>
      </c>
      <c r="Q7" s="93">
        <v>50</v>
      </c>
      <c r="R7" s="197">
        <f t="shared" si="7"/>
        <v>0.5</v>
      </c>
      <c r="S7" s="320">
        <f t="shared" si="21"/>
        <v>0.5</v>
      </c>
      <c r="T7" s="320">
        <f t="shared" si="22"/>
        <v>1.5</v>
      </c>
      <c r="U7" s="93" t="s">
        <v>280</v>
      </c>
      <c r="V7" s="174" t="s">
        <v>11</v>
      </c>
      <c r="W7" s="174"/>
      <c r="X7" s="174"/>
      <c r="Y7" s="174"/>
      <c r="Z7" s="174"/>
      <c r="AA7" s="174"/>
      <c r="AB7" s="224" t="s">
        <v>708</v>
      </c>
      <c r="AC7" s="26">
        <v>1</v>
      </c>
      <c r="AD7" s="26">
        <v>25</v>
      </c>
      <c r="AE7" s="176">
        <f t="shared" si="8"/>
        <v>0.25</v>
      </c>
      <c r="AF7" s="270">
        <f t="shared" si="23"/>
        <v>0.75</v>
      </c>
      <c r="AG7" s="270">
        <f t="shared" si="24"/>
        <v>1.25</v>
      </c>
      <c r="AH7" s="26" t="s">
        <v>730</v>
      </c>
      <c r="AI7" s="326" t="s">
        <v>738</v>
      </c>
      <c r="AJ7" s="30">
        <v>1</v>
      </c>
      <c r="AK7" s="30">
        <v>25</v>
      </c>
      <c r="AL7" s="179">
        <f t="shared" si="9"/>
        <v>0.25</v>
      </c>
      <c r="AM7" s="235">
        <f t="shared" si="25"/>
        <v>0.75</v>
      </c>
      <c r="AN7" s="235">
        <f t="shared" si="26"/>
        <v>1.25</v>
      </c>
      <c r="AO7" s="234" t="s">
        <v>1006</v>
      </c>
      <c r="AP7" s="32">
        <v>1</v>
      </c>
      <c r="AQ7" s="32" t="s">
        <v>857</v>
      </c>
      <c r="AR7" s="199">
        <f t="shared" si="10"/>
        <v>12</v>
      </c>
      <c r="AS7" s="199">
        <f t="shared" si="11"/>
        <v>24</v>
      </c>
      <c r="AT7" s="199">
        <f t="shared" si="12"/>
        <v>36</v>
      </c>
      <c r="AU7" s="200">
        <v>2.25</v>
      </c>
      <c r="AV7" s="200">
        <v>2.75</v>
      </c>
      <c r="AW7" s="200">
        <v>3.25</v>
      </c>
      <c r="AX7" s="202">
        <f t="shared" si="27"/>
        <v>27</v>
      </c>
      <c r="AY7" s="202">
        <f t="shared" si="28"/>
        <v>66</v>
      </c>
      <c r="AZ7" s="202">
        <f t="shared" si="29"/>
        <v>117</v>
      </c>
      <c r="BA7" s="272">
        <f t="shared" si="13"/>
        <v>2.1</v>
      </c>
      <c r="BB7" s="272">
        <f t="shared" si="14"/>
        <v>4.9000000000000004</v>
      </c>
      <c r="BC7" s="272">
        <f t="shared" si="15"/>
        <v>6.3</v>
      </c>
      <c r="BD7" s="273">
        <f t="shared" si="16"/>
        <v>0.63</v>
      </c>
      <c r="BE7" s="273">
        <f t="shared" si="17"/>
        <v>1.47</v>
      </c>
      <c r="BF7" s="273">
        <f t="shared" si="18"/>
        <v>1.8900000000000001</v>
      </c>
      <c r="BG7" s="3" t="s">
        <v>932</v>
      </c>
    </row>
    <row r="8" spans="1:59" x14ac:dyDescent="0.25">
      <c r="A8" s="107">
        <v>559</v>
      </c>
      <c r="B8" s="368"/>
      <c r="C8" s="98" t="s">
        <v>65</v>
      </c>
      <c r="D8" s="98" t="s">
        <v>485</v>
      </c>
      <c r="E8" s="344" t="s">
        <v>262</v>
      </c>
      <c r="F8" s="11" t="s">
        <v>787</v>
      </c>
      <c r="G8" s="11">
        <v>2</v>
      </c>
      <c r="H8" s="189">
        <f>2*730.5</f>
        <v>1461</v>
      </c>
      <c r="I8" s="11" t="s">
        <v>786</v>
      </c>
      <c r="J8" s="48">
        <v>1</v>
      </c>
      <c r="K8" s="48">
        <v>25</v>
      </c>
      <c r="L8" s="185">
        <f t="shared" si="6"/>
        <v>0.25</v>
      </c>
      <c r="M8" s="266">
        <f t="shared" si="19"/>
        <v>0.75</v>
      </c>
      <c r="N8" s="266">
        <f t="shared" si="20"/>
        <v>1.25</v>
      </c>
      <c r="O8" s="48" t="s">
        <v>803</v>
      </c>
      <c r="P8" s="93">
        <v>1</v>
      </c>
      <c r="Q8" s="93">
        <v>25</v>
      </c>
      <c r="R8" s="197">
        <f t="shared" si="7"/>
        <v>0.25</v>
      </c>
      <c r="S8" s="320">
        <f t="shared" si="21"/>
        <v>0.75</v>
      </c>
      <c r="T8" s="320">
        <f t="shared" si="22"/>
        <v>1.25</v>
      </c>
      <c r="U8" s="93" t="s">
        <v>803</v>
      </c>
      <c r="V8" s="174" t="s">
        <v>11</v>
      </c>
      <c r="W8" s="174"/>
      <c r="X8" s="174"/>
      <c r="Y8" s="174"/>
      <c r="Z8" s="174"/>
      <c r="AA8" s="174"/>
      <c r="AB8" s="224" t="s">
        <v>728</v>
      </c>
      <c r="AC8" s="26">
        <v>1</v>
      </c>
      <c r="AD8" s="26">
        <v>50</v>
      </c>
      <c r="AE8" s="176">
        <f t="shared" si="8"/>
        <v>0.5</v>
      </c>
      <c r="AF8" s="270">
        <f t="shared" si="23"/>
        <v>0.5</v>
      </c>
      <c r="AG8" s="270">
        <f t="shared" si="24"/>
        <v>1.5</v>
      </c>
      <c r="AH8" s="26" t="s">
        <v>730</v>
      </c>
      <c r="AI8" s="326">
        <v>37</v>
      </c>
      <c r="AJ8" s="30">
        <v>2</v>
      </c>
      <c r="AK8" s="30">
        <v>50</v>
      </c>
      <c r="AL8" s="179">
        <f t="shared" si="9"/>
        <v>1</v>
      </c>
      <c r="AM8" s="235">
        <f t="shared" si="25"/>
        <v>1</v>
      </c>
      <c r="AN8" s="235">
        <f t="shared" si="26"/>
        <v>3</v>
      </c>
      <c r="AO8" s="30" t="s">
        <v>280</v>
      </c>
      <c r="AP8" s="32">
        <v>1.5</v>
      </c>
      <c r="AQ8" s="32" t="s">
        <v>858</v>
      </c>
      <c r="AR8" s="199">
        <f t="shared" si="10"/>
        <v>9</v>
      </c>
      <c r="AS8" s="199">
        <f t="shared" si="11"/>
        <v>12</v>
      </c>
      <c r="AT8" s="199">
        <f t="shared" si="12"/>
        <v>15</v>
      </c>
      <c r="AU8" s="200">
        <v>1.0125</v>
      </c>
      <c r="AV8" s="200">
        <v>1.3125</v>
      </c>
      <c r="AW8" s="200">
        <v>1.6125</v>
      </c>
      <c r="AX8" s="202">
        <f t="shared" si="27"/>
        <v>9.1124999999999989</v>
      </c>
      <c r="AY8" s="202">
        <f t="shared" si="28"/>
        <v>15.75</v>
      </c>
      <c r="AZ8" s="202">
        <f t="shared" si="29"/>
        <v>24.1875</v>
      </c>
      <c r="BA8" s="272">
        <f t="shared" si="13"/>
        <v>0.6</v>
      </c>
      <c r="BB8" s="272">
        <f t="shared" si="14"/>
        <v>1</v>
      </c>
      <c r="BC8" s="272">
        <f t="shared" si="15"/>
        <v>1.7999999999999998</v>
      </c>
      <c r="BD8" s="273">
        <f t="shared" si="16"/>
        <v>0.18</v>
      </c>
      <c r="BE8" s="273">
        <f t="shared" si="17"/>
        <v>0.30000000000000004</v>
      </c>
      <c r="BF8" s="273">
        <f t="shared" si="18"/>
        <v>0.54</v>
      </c>
      <c r="BG8" s="3" t="s">
        <v>931</v>
      </c>
    </row>
    <row r="9" spans="1:59" x14ac:dyDescent="0.25">
      <c r="A9" s="107">
        <v>561</v>
      </c>
      <c r="B9" s="369"/>
      <c r="C9" s="98" t="s">
        <v>578</v>
      </c>
      <c r="D9" s="98" t="s">
        <v>486</v>
      </c>
      <c r="E9" s="142" t="s">
        <v>67</v>
      </c>
      <c r="F9" s="11" t="s">
        <v>756</v>
      </c>
      <c r="G9" s="11">
        <v>9</v>
      </c>
      <c r="H9" s="189">
        <f>9*730.5</f>
        <v>6574.5</v>
      </c>
      <c r="I9" s="11" t="s">
        <v>748</v>
      </c>
      <c r="J9" s="48">
        <v>1</v>
      </c>
      <c r="K9" s="48">
        <v>10</v>
      </c>
      <c r="L9" s="185">
        <f t="shared" si="6"/>
        <v>0.1</v>
      </c>
      <c r="M9" s="266">
        <f t="shared" si="19"/>
        <v>0.9</v>
      </c>
      <c r="N9" s="266">
        <f t="shared" si="20"/>
        <v>1.1000000000000001</v>
      </c>
      <c r="O9" s="48" t="s">
        <v>803</v>
      </c>
      <c r="P9" s="93">
        <v>1</v>
      </c>
      <c r="Q9" s="93">
        <v>10</v>
      </c>
      <c r="R9" s="197">
        <f t="shared" si="7"/>
        <v>0.1</v>
      </c>
      <c r="S9" s="320">
        <f t="shared" si="21"/>
        <v>0.9</v>
      </c>
      <c r="T9" s="320">
        <f t="shared" si="22"/>
        <v>1.1000000000000001</v>
      </c>
      <c r="U9" s="93" t="s">
        <v>803</v>
      </c>
      <c r="V9" s="174" t="s">
        <v>11</v>
      </c>
      <c r="W9" s="174"/>
      <c r="X9" s="174"/>
      <c r="Y9" s="174"/>
      <c r="Z9" s="174"/>
      <c r="AA9" s="174"/>
      <c r="AB9" s="224" t="s">
        <v>729</v>
      </c>
      <c r="AC9" s="26">
        <v>1</v>
      </c>
      <c r="AD9" s="26">
        <v>50</v>
      </c>
      <c r="AE9" s="176">
        <f t="shared" si="8"/>
        <v>0.5</v>
      </c>
      <c r="AF9" s="270">
        <f t="shared" si="23"/>
        <v>0.5</v>
      </c>
      <c r="AG9" s="270">
        <f t="shared" si="24"/>
        <v>1.5</v>
      </c>
      <c r="AH9" s="26" t="s">
        <v>730</v>
      </c>
      <c r="AI9" s="326">
        <v>37</v>
      </c>
      <c r="AJ9" s="30">
        <v>2</v>
      </c>
      <c r="AK9" s="30">
        <v>50</v>
      </c>
      <c r="AL9" s="179">
        <f t="shared" si="9"/>
        <v>1</v>
      </c>
      <c r="AM9" s="235">
        <f t="shared" si="25"/>
        <v>1</v>
      </c>
      <c r="AN9" s="235">
        <f t="shared" si="26"/>
        <v>3</v>
      </c>
      <c r="AO9" s="30" t="s">
        <v>1007</v>
      </c>
      <c r="AP9" s="32">
        <v>1</v>
      </c>
      <c r="AQ9" s="32" t="s">
        <v>859</v>
      </c>
      <c r="AR9" s="199">
        <f t="shared" si="10"/>
        <v>32.4</v>
      </c>
      <c r="AS9" s="199">
        <f t="shared" si="11"/>
        <v>36</v>
      </c>
      <c r="AT9" s="199">
        <f t="shared" si="12"/>
        <v>39.6</v>
      </c>
      <c r="AU9" s="200">
        <v>1.425</v>
      </c>
      <c r="AV9" s="200">
        <v>1.8125</v>
      </c>
      <c r="AW9" s="200">
        <v>2.2000000000000002</v>
      </c>
      <c r="AX9" s="202">
        <f t="shared" si="27"/>
        <v>46.17</v>
      </c>
      <c r="AY9" s="202">
        <f t="shared" si="28"/>
        <v>65.25</v>
      </c>
      <c r="AZ9" s="202">
        <f t="shared" si="29"/>
        <v>87.12</v>
      </c>
      <c r="BA9" s="272">
        <f t="shared" si="13"/>
        <v>3.8</v>
      </c>
      <c r="BB9" s="272">
        <f t="shared" si="14"/>
        <v>4.8</v>
      </c>
      <c r="BC9" s="272">
        <f t="shared" si="15"/>
        <v>5.5</v>
      </c>
      <c r="BD9" s="273">
        <f t="shared" si="16"/>
        <v>1.1400000000000001</v>
      </c>
      <c r="BE9" s="273">
        <f t="shared" si="17"/>
        <v>1.44</v>
      </c>
      <c r="BF9" s="273">
        <f t="shared" si="18"/>
        <v>1.6500000000000001</v>
      </c>
      <c r="BG9" s="3" t="s">
        <v>932</v>
      </c>
    </row>
    <row r="10" spans="1:59" x14ac:dyDescent="0.25">
      <c r="A10" s="358">
        <v>1567</v>
      </c>
      <c r="B10" s="363" t="s">
        <v>8</v>
      </c>
      <c r="C10" s="98" t="s">
        <v>9</v>
      </c>
      <c r="D10" s="98" t="s">
        <v>460</v>
      </c>
      <c r="E10" s="345" t="s">
        <v>10</v>
      </c>
      <c r="F10" s="11" t="s">
        <v>771</v>
      </c>
      <c r="G10" s="11">
        <v>12</v>
      </c>
      <c r="H10" s="189">
        <v>8766</v>
      </c>
      <c r="I10" s="11" t="s">
        <v>772</v>
      </c>
      <c r="J10" s="48">
        <v>1</v>
      </c>
      <c r="K10" s="48">
        <v>50</v>
      </c>
      <c r="L10" s="185">
        <f t="shared" ref="L10" si="30">(K10/100)*J10</f>
        <v>0.5</v>
      </c>
      <c r="M10" s="266">
        <f t="shared" si="19"/>
        <v>0.5</v>
      </c>
      <c r="N10" s="266">
        <f t="shared" si="20"/>
        <v>1.5</v>
      </c>
      <c r="O10" s="48" t="s">
        <v>280</v>
      </c>
      <c r="P10" s="93">
        <v>2</v>
      </c>
      <c r="Q10" s="93">
        <v>50</v>
      </c>
      <c r="R10" s="197">
        <f t="shared" si="7"/>
        <v>1</v>
      </c>
      <c r="S10" s="320">
        <f t="shared" si="21"/>
        <v>1</v>
      </c>
      <c r="T10" s="320">
        <f t="shared" si="22"/>
        <v>3</v>
      </c>
      <c r="U10" s="93" t="s">
        <v>804</v>
      </c>
      <c r="V10" s="174" t="s">
        <v>11</v>
      </c>
      <c r="W10" s="174" t="s">
        <v>12</v>
      </c>
      <c r="X10" s="174">
        <v>2</v>
      </c>
      <c r="Y10" s="174">
        <v>24</v>
      </c>
      <c r="Z10" s="96">
        <v>1</v>
      </c>
      <c r="AA10" s="96">
        <v>1</v>
      </c>
      <c r="AB10" s="224">
        <v>1.5</v>
      </c>
      <c r="AC10" s="26">
        <v>5</v>
      </c>
      <c r="AD10" s="26">
        <v>50</v>
      </c>
      <c r="AE10" s="176">
        <f t="shared" ref="AE10:AE41" si="31">(AD10/100)*AC10</f>
        <v>2.5</v>
      </c>
      <c r="AF10" s="270">
        <f t="shared" si="23"/>
        <v>2.5</v>
      </c>
      <c r="AG10" s="270">
        <f t="shared" si="24"/>
        <v>7.5</v>
      </c>
      <c r="AH10" s="26" t="s">
        <v>697</v>
      </c>
      <c r="AI10" s="326" t="s">
        <v>735</v>
      </c>
      <c r="AJ10" s="30">
        <v>1</v>
      </c>
      <c r="AK10" s="30">
        <v>10</v>
      </c>
      <c r="AL10" s="179">
        <f t="shared" ref="AL10" si="32">(AK10/100)*AJ10</f>
        <v>0.1</v>
      </c>
      <c r="AM10" s="235">
        <f t="shared" si="25"/>
        <v>0.9</v>
      </c>
      <c r="AN10" s="235">
        <f t="shared" si="26"/>
        <v>1.1000000000000001</v>
      </c>
      <c r="AO10" s="30" t="s">
        <v>742</v>
      </c>
      <c r="AP10" s="32">
        <v>1</v>
      </c>
      <c r="AQ10" s="32" t="s">
        <v>860</v>
      </c>
      <c r="AR10" s="199">
        <f t="shared" si="10"/>
        <v>6.4799999999999995</v>
      </c>
      <c r="AS10" s="199">
        <f t="shared" si="11"/>
        <v>7.1999999999999993</v>
      </c>
      <c r="AT10" s="199">
        <f t="shared" si="12"/>
        <v>7.92</v>
      </c>
      <c r="AU10" s="200">
        <v>2.9249999999999998</v>
      </c>
      <c r="AV10" s="200">
        <v>3.5</v>
      </c>
      <c r="AW10" s="200">
        <v>4.0750000000000002</v>
      </c>
      <c r="AX10" s="202">
        <f t="shared" si="27"/>
        <v>18.953999999999997</v>
      </c>
      <c r="AY10" s="202">
        <f t="shared" si="28"/>
        <v>25.199999999999996</v>
      </c>
      <c r="AZ10" s="202">
        <f t="shared" si="29"/>
        <v>32.274000000000001</v>
      </c>
      <c r="BA10" s="272">
        <f t="shared" si="13"/>
        <v>1.4000000000000001</v>
      </c>
      <c r="BB10" s="272">
        <f t="shared" si="14"/>
        <v>2</v>
      </c>
      <c r="BC10" s="272">
        <f t="shared" si="15"/>
        <v>2.5</v>
      </c>
      <c r="BD10" s="273">
        <f t="shared" si="16"/>
        <v>0.42000000000000004</v>
      </c>
      <c r="BE10" s="273">
        <f t="shared" si="17"/>
        <v>0.60000000000000009</v>
      </c>
      <c r="BF10" s="273">
        <f t="shared" si="18"/>
        <v>0.75</v>
      </c>
      <c r="BG10" s="3" t="s">
        <v>931</v>
      </c>
    </row>
    <row r="11" spans="1:59" x14ac:dyDescent="0.25">
      <c r="A11" s="107">
        <v>1565</v>
      </c>
      <c r="B11" s="364"/>
      <c r="C11" s="98" t="s">
        <v>14</v>
      </c>
      <c r="D11" s="98" t="s">
        <v>461</v>
      </c>
      <c r="E11" s="142" t="s">
        <v>15</v>
      </c>
      <c r="F11" s="11" t="s">
        <v>788</v>
      </c>
      <c r="G11" s="11">
        <v>12</v>
      </c>
      <c r="H11" s="189">
        <v>8766</v>
      </c>
      <c r="I11" s="11" t="s">
        <v>789</v>
      </c>
      <c r="J11" s="48">
        <v>1</v>
      </c>
      <c r="K11" s="48">
        <v>50</v>
      </c>
      <c r="L11" s="185">
        <f t="shared" ref="L11:L68" si="33">(K11/100)*J11</f>
        <v>0.5</v>
      </c>
      <c r="M11" s="266">
        <f t="shared" si="19"/>
        <v>0.5</v>
      </c>
      <c r="N11" s="266">
        <f t="shared" si="20"/>
        <v>1.5</v>
      </c>
      <c r="O11" s="48" t="s">
        <v>273</v>
      </c>
      <c r="P11" s="93">
        <v>3</v>
      </c>
      <c r="Q11" s="93">
        <v>50</v>
      </c>
      <c r="R11" s="197">
        <f t="shared" ref="R11:R68" si="34">(Q11/100)*P11</f>
        <v>1.5</v>
      </c>
      <c r="S11" s="320">
        <f t="shared" si="21"/>
        <v>1.5</v>
      </c>
      <c r="T11" s="320">
        <f t="shared" si="22"/>
        <v>4.5</v>
      </c>
      <c r="U11" s="93" t="s">
        <v>273</v>
      </c>
      <c r="V11" s="175" t="s">
        <v>11</v>
      </c>
      <c r="W11" s="174" t="s">
        <v>12</v>
      </c>
      <c r="X11" s="174">
        <v>2</v>
      </c>
      <c r="Y11" s="174">
        <v>24</v>
      </c>
      <c r="Z11" s="96">
        <v>0</v>
      </c>
      <c r="AA11" s="96">
        <v>0</v>
      </c>
      <c r="AB11" s="224">
        <v>1.5</v>
      </c>
      <c r="AC11" s="26">
        <v>5</v>
      </c>
      <c r="AD11" s="26">
        <v>50</v>
      </c>
      <c r="AE11" s="176">
        <f t="shared" si="31"/>
        <v>2.5</v>
      </c>
      <c r="AF11" s="270">
        <f t="shared" si="23"/>
        <v>2.5</v>
      </c>
      <c r="AG11" s="270">
        <f t="shared" si="24"/>
        <v>7.5</v>
      </c>
      <c r="AH11" s="26" t="s">
        <v>697</v>
      </c>
      <c r="AI11" s="326" t="s">
        <v>735</v>
      </c>
      <c r="AJ11" s="30">
        <v>1</v>
      </c>
      <c r="AK11" s="30">
        <v>10</v>
      </c>
      <c r="AL11" s="179">
        <f t="shared" ref="AL11:AL69" si="35">(AK11/100)*AJ11</f>
        <v>0.1</v>
      </c>
      <c r="AM11" s="235">
        <f t="shared" si="25"/>
        <v>0.9</v>
      </c>
      <c r="AN11" s="235">
        <f t="shared" si="26"/>
        <v>1.1000000000000001</v>
      </c>
      <c r="AO11" s="30" t="s">
        <v>742</v>
      </c>
      <c r="AP11" s="32">
        <v>1</v>
      </c>
      <c r="AQ11" s="32" t="s">
        <v>273</v>
      </c>
      <c r="AR11" s="199">
        <f t="shared" si="10"/>
        <v>8.6400000000000023</v>
      </c>
      <c r="AS11" s="199">
        <f t="shared" si="11"/>
        <v>9.6000000000000014</v>
      </c>
      <c r="AT11" s="199">
        <f t="shared" si="12"/>
        <v>10.560000000000002</v>
      </c>
      <c r="AU11" s="200">
        <v>2</v>
      </c>
      <c r="AV11" s="200">
        <v>2.5625</v>
      </c>
      <c r="AW11" s="200">
        <v>3.125</v>
      </c>
      <c r="AX11" s="202">
        <f t="shared" si="27"/>
        <v>17.280000000000005</v>
      </c>
      <c r="AY11" s="202">
        <f t="shared" si="28"/>
        <v>24.600000000000005</v>
      </c>
      <c r="AZ11" s="202">
        <f t="shared" si="29"/>
        <v>33.000000000000007</v>
      </c>
      <c r="BA11" s="272">
        <f t="shared" si="13"/>
        <v>1.2</v>
      </c>
      <c r="BB11" s="272">
        <f t="shared" si="14"/>
        <v>1.9</v>
      </c>
      <c r="BC11" s="272">
        <f t="shared" si="15"/>
        <v>2.6</v>
      </c>
      <c r="BD11" s="273">
        <f t="shared" si="16"/>
        <v>0.36</v>
      </c>
      <c r="BE11" s="273">
        <f t="shared" si="17"/>
        <v>0.57000000000000006</v>
      </c>
      <c r="BF11" s="273">
        <f t="shared" si="18"/>
        <v>0.78</v>
      </c>
      <c r="BG11" s="3" t="s">
        <v>931</v>
      </c>
    </row>
    <row r="12" spans="1:59" x14ac:dyDescent="0.25">
      <c r="A12" s="358">
        <v>1561</v>
      </c>
      <c r="B12" s="364"/>
      <c r="C12" s="98" t="s">
        <v>572</v>
      </c>
      <c r="D12" s="98" t="s">
        <v>462</v>
      </c>
      <c r="E12" s="142" t="s">
        <v>17</v>
      </c>
      <c r="F12" s="11" t="s">
        <v>749</v>
      </c>
      <c r="G12" s="11">
        <v>3</v>
      </c>
      <c r="H12" s="189">
        <f>3*730.5</f>
        <v>2191.5</v>
      </c>
      <c r="I12" s="11" t="s">
        <v>762</v>
      </c>
      <c r="J12" s="48">
        <v>1</v>
      </c>
      <c r="K12" s="48">
        <v>25</v>
      </c>
      <c r="L12" s="185">
        <f t="shared" si="33"/>
        <v>0.25</v>
      </c>
      <c r="M12" s="266">
        <f t="shared" si="19"/>
        <v>0.75</v>
      </c>
      <c r="N12" s="266">
        <f t="shared" si="20"/>
        <v>1.25</v>
      </c>
      <c r="O12" s="48" t="s">
        <v>280</v>
      </c>
      <c r="P12" s="93">
        <v>2</v>
      </c>
      <c r="Q12" s="93">
        <v>25</v>
      </c>
      <c r="R12" s="197">
        <f t="shared" si="34"/>
        <v>0.5</v>
      </c>
      <c r="S12" s="320">
        <f t="shared" si="21"/>
        <v>1.5</v>
      </c>
      <c r="T12" s="320">
        <f t="shared" si="22"/>
        <v>2.5</v>
      </c>
      <c r="U12" s="93" t="s">
        <v>280</v>
      </c>
      <c r="V12" s="175" t="s">
        <v>11</v>
      </c>
      <c r="W12" s="174" t="s">
        <v>12</v>
      </c>
      <c r="X12" s="174">
        <v>2</v>
      </c>
      <c r="Y12" s="174">
        <v>24</v>
      </c>
      <c r="Z12" s="96">
        <v>0</v>
      </c>
      <c r="AA12" s="96">
        <v>1</v>
      </c>
      <c r="AB12" s="224" t="s">
        <v>712</v>
      </c>
      <c r="AC12" s="26">
        <v>3</v>
      </c>
      <c r="AD12" s="26">
        <v>50</v>
      </c>
      <c r="AE12" s="176">
        <f t="shared" si="31"/>
        <v>1.5</v>
      </c>
      <c r="AF12" s="270">
        <f t="shared" si="23"/>
        <v>1.5</v>
      </c>
      <c r="AG12" s="270">
        <f t="shared" si="24"/>
        <v>4.5</v>
      </c>
      <c r="AH12" s="26" t="s">
        <v>724</v>
      </c>
      <c r="AI12" s="326" t="s">
        <v>735</v>
      </c>
      <c r="AJ12" s="30">
        <v>1</v>
      </c>
      <c r="AK12" s="30">
        <v>10</v>
      </c>
      <c r="AL12" s="179">
        <f t="shared" si="35"/>
        <v>0.1</v>
      </c>
      <c r="AM12" s="235">
        <f t="shared" si="25"/>
        <v>0.9</v>
      </c>
      <c r="AN12" s="235">
        <f t="shared" si="26"/>
        <v>1.1000000000000001</v>
      </c>
      <c r="AO12" s="30" t="s">
        <v>1008</v>
      </c>
      <c r="AP12" s="32">
        <v>1</v>
      </c>
      <c r="AQ12" s="32" t="s">
        <v>861</v>
      </c>
      <c r="AR12" s="199">
        <f t="shared" si="10"/>
        <v>4.05</v>
      </c>
      <c r="AS12" s="199">
        <f t="shared" si="11"/>
        <v>3</v>
      </c>
      <c r="AT12" s="199">
        <f t="shared" si="12"/>
        <v>2.75</v>
      </c>
      <c r="AU12" s="200">
        <v>2.1875</v>
      </c>
      <c r="AV12" s="200">
        <v>2.8125</v>
      </c>
      <c r="AW12" s="200">
        <v>3.4375</v>
      </c>
      <c r="AX12" s="202">
        <f t="shared" si="27"/>
        <v>8.859375</v>
      </c>
      <c r="AY12" s="202">
        <f t="shared" si="28"/>
        <v>8.4375</v>
      </c>
      <c r="AZ12" s="202">
        <f t="shared" si="29"/>
        <v>9.453125</v>
      </c>
      <c r="BA12" s="272">
        <f t="shared" si="13"/>
        <v>0.5</v>
      </c>
      <c r="BB12" s="272">
        <f t="shared" si="14"/>
        <v>0.4</v>
      </c>
      <c r="BC12" s="272">
        <f t="shared" si="15"/>
        <v>0.6</v>
      </c>
      <c r="BD12" s="273">
        <f t="shared" si="16"/>
        <v>0.15000000000000002</v>
      </c>
      <c r="BE12" s="273">
        <f t="shared" si="17"/>
        <v>0.12</v>
      </c>
      <c r="BF12" s="273">
        <f t="shared" si="18"/>
        <v>0.18</v>
      </c>
      <c r="BG12" s="3" t="s">
        <v>931</v>
      </c>
    </row>
    <row r="13" spans="1:59" x14ac:dyDescent="0.25">
      <c r="A13" s="120">
        <v>1568</v>
      </c>
      <c r="B13" s="365"/>
      <c r="C13" s="80" t="s">
        <v>331</v>
      </c>
      <c r="D13" s="80" t="s">
        <v>463</v>
      </c>
      <c r="E13" s="142" t="s">
        <v>335</v>
      </c>
      <c r="F13" s="11" t="s">
        <v>773</v>
      </c>
      <c r="G13" s="11">
        <v>10</v>
      </c>
      <c r="H13" s="189">
        <f>10*730.5</f>
        <v>7305</v>
      </c>
      <c r="I13" s="11" t="s">
        <v>768</v>
      </c>
      <c r="J13" s="48">
        <v>1</v>
      </c>
      <c r="K13" s="48">
        <v>50</v>
      </c>
      <c r="L13" s="185">
        <f t="shared" si="33"/>
        <v>0.5</v>
      </c>
      <c r="M13" s="266">
        <f t="shared" si="19"/>
        <v>0.5</v>
      </c>
      <c r="N13" s="266">
        <f t="shared" si="20"/>
        <v>1.5</v>
      </c>
      <c r="O13" s="48" t="s">
        <v>806</v>
      </c>
      <c r="P13" s="93">
        <v>2</v>
      </c>
      <c r="Q13" s="93">
        <v>50</v>
      </c>
      <c r="R13" s="197">
        <f t="shared" si="34"/>
        <v>1</v>
      </c>
      <c r="S13" s="320">
        <f t="shared" si="21"/>
        <v>1</v>
      </c>
      <c r="T13" s="320">
        <f t="shared" si="22"/>
        <v>3</v>
      </c>
      <c r="U13" s="93" t="s">
        <v>806</v>
      </c>
      <c r="V13" s="175" t="s">
        <v>11</v>
      </c>
      <c r="W13" s="174" t="s">
        <v>12</v>
      </c>
      <c r="X13" s="174">
        <v>2</v>
      </c>
      <c r="Y13" s="174">
        <v>24</v>
      </c>
      <c r="Z13" s="96">
        <v>0</v>
      </c>
      <c r="AA13" s="96">
        <v>1</v>
      </c>
      <c r="AB13" s="224">
        <v>1.5</v>
      </c>
      <c r="AC13" s="26">
        <v>5</v>
      </c>
      <c r="AD13" s="26">
        <v>50</v>
      </c>
      <c r="AE13" s="176">
        <f t="shared" si="31"/>
        <v>2.5</v>
      </c>
      <c r="AF13" s="270">
        <f t="shared" si="23"/>
        <v>2.5</v>
      </c>
      <c r="AG13" s="270">
        <f t="shared" si="24"/>
        <v>7.5</v>
      </c>
      <c r="AH13" s="26" t="s">
        <v>805</v>
      </c>
      <c r="AI13" s="326" t="s">
        <v>735</v>
      </c>
      <c r="AJ13" s="30">
        <v>1</v>
      </c>
      <c r="AK13" s="30">
        <v>10</v>
      </c>
      <c r="AL13" s="179">
        <f t="shared" si="35"/>
        <v>0.1</v>
      </c>
      <c r="AM13" s="235">
        <f t="shared" si="25"/>
        <v>0.9</v>
      </c>
      <c r="AN13" s="235">
        <f t="shared" si="26"/>
        <v>1.1000000000000001</v>
      </c>
      <c r="AO13" s="30" t="s">
        <v>742</v>
      </c>
      <c r="AP13" s="32">
        <v>1</v>
      </c>
      <c r="AQ13" s="32" t="s">
        <v>862</v>
      </c>
      <c r="AR13" s="199">
        <f t="shared" si="10"/>
        <v>5.4</v>
      </c>
      <c r="AS13" s="199">
        <f t="shared" si="11"/>
        <v>6</v>
      </c>
      <c r="AT13" s="199">
        <f t="shared" si="12"/>
        <v>6.6000000000000005</v>
      </c>
      <c r="AU13" s="200">
        <v>3.1875</v>
      </c>
      <c r="AV13" s="200">
        <v>3.75</v>
      </c>
      <c r="AW13" s="200">
        <v>4.3125</v>
      </c>
      <c r="AX13" s="202">
        <f t="shared" si="27"/>
        <v>17.212500000000002</v>
      </c>
      <c r="AY13" s="202">
        <f t="shared" si="28"/>
        <v>22.5</v>
      </c>
      <c r="AZ13" s="202">
        <f t="shared" si="29"/>
        <v>28.462500000000002</v>
      </c>
      <c r="BA13" s="272">
        <f t="shared" si="13"/>
        <v>1.1000000000000001</v>
      </c>
      <c r="BB13" s="272">
        <f t="shared" si="14"/>
        <v>1.7999999999999998</v>
      </c>
      <c r="BC13" s="272">
        <f t="shared" si="15"/>
        <v>2.2000000000000002</v>
      </c>
      <c r="BD13" s="273">
        <f t="shared" si="16"/>
        <v>0.33</v>
      </c>
      <c r="BE13" s="273">
        <f t="shared" si="17"/>
        <v>0.54</v>
      </c>
      <c r="BF13" s="273">
        <f t="shared" si="18"/>
        <v>0.66</v>
      </c>
      <c r="BG13" s="3" t="s">
        <v>931</v>
      </c>
    </row>
    <row r="14" spans="1:59" x14ac:dyDescent="0.25">
      <c r="A14" s="120">
        <v>1637</v>
      </c>
      <c r="B14" s="363" t="s">
        <v>19</v>
      </c>
      <c r="C14" s="80" t="s">
        <v>565</v>
      </c>
      <c r="D14" s="83" t="s">
        <v>464</v>
      </c>
      <c r="E14" s="142" t="s">
        <v>323</v>
      </c>
      <c r="F14" s="11" t="s">
        <v>753</v>
      </c>
      <c r="G14" s="11">
        <v>12</v>
      </c>
      <c r="H14" s="189">
        <v>8766</v>
      </c>
      <c r="I14" s="11" t="s">
        <v>824</v>
      </c>
      <c r="J14" s="48">
        <v>2</v>
      </c>
      <c r="K14" s="48">
        <v>50</v>
      </c>
      <c r="L14" s="185">
        <f t="shared" si="33"/>
        <v>1</v>
      </c>
      <c r="M14" s="266">
        <f t="shared" si="19"/>
        <v>1</v>
      </c>
      <c r="N14" s="266">
        <f t="shared" si="20"/>
        <v>3</v>
      </c>
      <c r="O14" s="48" t="s">
        <v>806</v>
      </c>
      <c r="P14" s="93">
        <v>1</v>
      </c>
      <c r="Q14" s="93">
        <v>50</v>
      </c>
      <c r="R14" s="197">
        <f t="shared" si="34"/>
        <v>0.5</v>
      </c>
      <c r="S14" s="320">
        <f t="shared" si="21"/>
        <v>0.5</v>
      </c>
      <c r="T14" s="320">
        <f t="shared" si="22"/>
        <v>1.5</v>
      </c>
      <c r="U14" s="93" t="s">
        <v>806</v>
      </c>
      <c r="V14" s="175" t="s">
        <v>11</v>
      </c>
      <c r="W14" s="174" t="s">
        <v>12</v>
      </c>
      <c r="X14" s="174">
        <v>2</v>
      </c>
      <c r="Y14" s="174">
        <v>24</v>
      </c>
      <c r="Z14" s="96">
        <v>0</v>
      </c>
      <c r="AA14" s="96">
        <v>1</v>
      </c>
      <c r="AB14" s="224" t="s">
        <v>729</v>
      </c>
      <c r="AC14" s="26">
        <v>1</v>
      </c>
      <c r="AD14" s="26">
        <v>50</v>
      </c>
      <c r="AE14" s="176">
        <f t="shared" si="31"/>
        <v>0.5</v>
      </c>
      <c r="AF14" s="270">
        <f t="shared" si="23"/>
        <v>0.5</v>
      </c>
      <c r="AG14" s="270">
        <f t="shared" si="24"/>
        <v>1.5</v>
      </c>
      <c r="AH14" s="26" t="s">
        <v>1005</v>
      </c>
      <c r="AI14" s="326">
        <v>50</v>
      </c>
      <c r="AJ14" s="30">
        <v>1</v>
      </c>
      <c r="AK14" s="30">
        <v>50</v>
      </c>
      <c r="AL14" s="179">
        <f t="shared" si="35"/>
        <v>0.5</v>
      </c>
      <c r="AM14" s="235">
        <f t="shared" si="25"/>
        <v>0.5</v>
      </c>
      <c r="AN14" s="235">
        <f t="shared" si="26"/>
        <v>1.5</v>
      </c>
      <c r="AO14" s="30" t="s">
        <v>742</v>
      </c>
      <c r="AP14" s="32">
        <v>1.5</v>
      </c>
      <c r="AQ14" s="32" t="s">
        <v>1010</v>
      </c>
      <c r="AR14" s="199">
        <f t="shared" si="10"/>
        <v>27</v>
      </c>
      <c r="AS14" s="199">
        <f t="shared" si="11"/>
        <v>54</v>
      </c>
      <c r="AT14" s="199">
        <f t="shared" si="12"/>
        <v>81</v>
      </c>
      <c r="AU14" s="200">
        <v>2.125</v>
      </c>
      <c r="AV14" s="200">
        <v>2.75</v>
      </c>
      <c r="AW14" s="200">
        <v>3.375</v>
      </c>
      <c r="AX14" s="202">
        <f t="shared" si="27"/>
        <v>57.375</v>
      </c>
      <c r="AY14" s="202">
        <f t="shared" si="28"/>
        <v>148.5</v>
      </c>
      <c r="AZ14" s="202">
        <f t="shared" si="29"/>
        <v>273.375</v>
      </c>
      <c r="BA14" s="272">
        <f t="shared" si="13"/>
        <v>4.4000000000000004</v>
      </c>
      <c r="BB14" s="272">
        <f t="shared" si="14"/>
        <v>6.8000000000000007</v>
      </c>
      <c r="BC14" s="272">
        <f t="shared" si="15"/>
        <v>7.9</v>
      </c>
      <c r="BD14" s="273">
        <f t="shared" si="16"/>
        <v>1.32</v>
      </c>
      <c r="BE14" s="273">
        <f t="shared" si="17"/>
        <v>2.04</v>
      </c>
      <c r="BF14" s="273">
        <f t="shared" si="18"/>
        <v>2.37</v>
      </c>
      <c r="BG14" s="3" t="s">
        <v>933</v>
      </c>
    </row>
    <row r="15" spans="1:59" x14ac:dyDescent="0.25">
      <c r="A15" s="120">
        <v>1633</v>
      </c>
      <c r="B15" s="364"/>
      <c r="C15" s="80" t="s">
        <v>21</v>
      </c>
      <c r="D15" s="82" t="s">
        <v>465</v>
      </c>
      <c r="E15" s="142" t="s">
        <v>374</v>
      </c>
      <c r="F15" s="11" t="s">
        <v>753</v>
      </c>
      <c r="G15" s="11">
        <v>12</v>
      </c>
      <c r="H15" s="189">
        <v>8766</v>
      </c>
      <c r="I15" s="11" t="s">
        <v>825</v>
      </c>
      <c r="J15" s="48">
        <v>3</v>
      </c>
      <c r="K15" s="48">
        <v>50</v>
      </c>
      <c r="L15" s="185">
        <f t="shared" si="33"/>
        <v>1.5</v>
      </c>
      <c r="M15" s="266">
        <f t="shared" si="19"/>
        <v>1.5</v>
      </c>
      <c r="N15" s="266">
        <f t="shared" si="20"/>
        <v>4.5</v>
      </c>
      <c r="O15" s="48" t="s">
        <v>807</v>
      </c>
      <c r="P15" s="93">
        <v>1</v>
      </c>
      <c r="Q15" s="93">
        <v>50</v>
      </c>
      <c r="R15" s="197">
        <f t="shared" si="34"/>
        <v>0.5</v>
      </c>
      <c r="S15" s="320">
        <f t="shared" si="21"/>
        <v>0.5</v>
      </c>
      <c r="T15" s="320">
        <f t="shared" si="22"/>
        <v>1.5</v>
      </c>
      <c r="U15" s="93" t="s">
        <v>807</v>
      </c>
      <c r="V15" s="174" t="s">
        <v>11</v>
      </c>
      <c r="W15" s="174" t="s">
        <v>12</v>
      </c>
      <c r="X15" s="174">
        <v>2</v>
      </c>
      <c r="Y15" s="174">
        <v>24</v>
      </c>
      <c r="Z15" s="96">
        <v>0</v>
      </c>
      <c r="AA15" s="96">
        <v>1</v>
      </c>
      <c r="AB15" s="224" t="s">
        <v>729</v>
      </c>
      <c r="AC15" s="26">
        <v>1</v>
      </c>
      <c r="AD15" s="26">
        <v>50</v>
      </c>
      <c r="AE15" s="176">
        <f t="shared" si="31"/>
        <v>0.5</v>
      </c>
      <c r="AF15" s="270">
        <f t="shared" si="23"/>
        <v>0.5</v>
      </c>
      <c r="AG15" s="270">
        <f t="shared" si="24"/>
        <v>1.5</v>
      </c>
      <c r="AH15" s="26" t="s">
        <v>1005</v>
      </c>
      <c r="AI15" s="326">
        <v>50</v>
      </c>
      <c r="AJ15" s="30">
        <v>1</v>
      </c>
      <c r="AK15" s="30">
        <v>50</v>
      </c>
      <c r="AL15" s="179">
        <f t="shared" si="35"/>
        <v>0.5</v>
      </c>
      <c r="AM15" s="235">
        <f t="shared" si="25"/>
        <v>0.5</v>
      </c>
      <c r="AN15" s="235">
        <f t="shared" si="26"/>
        <v>1.5</v>
      </c>
      <c r="AO15" s="30" t="s">
        <v>742</v>
      </c>
      <c r="AP15" s="32">
        <v>1.5</v>
      </c>
      <c r="AQ15" s="32" t="s">
        <v>807</v>
      </c>
      <c r="AR15" s="199">
        <f t="shared" si="10"/>
        <v>36</v>
      </c>
      <c r="AS15" s="199">
        <f t="shared" si="11"/>
        <v>72</v>
      </c>
      <c r="AT15" s="199">
        <f t="shared" si="12"/>
        <v>108</v>
      </c>
      <c r="AU15" s="200">
        <v>2.0249999999999999</v>
      </c>
      <c r="AV15" s="200">
        <v>2.75</v>
      </c>
      <c r="AW15" s="200">
        <v>3.4750000000000001</v>
      </c>
      <c r="AX15" s="202">
        <f t="shared" si="27"/>
        <v>72.899999999999991</v>
      </c>
      <c r="AY15" s="202">
        <f t="shared" si="28"/>
        <v>198</v>
      </c>
      <c r="AZ15" s="202">
        <f t="shared" si="29"/>
        <v>375.3</v>
      </c>
      <c r="BA15" s="272">
        <f t="shared" si="13"/>
        <v>5.0999999999999996</v>
      </c>
      <c r="BB15" s="272">
        <f t="shared" si="14"/>
        <v>7.4</v>
      </c>
      <c r="BC15" s="272">
        <f t="shared" si="15"/>
        <v>8.5</v>
      </c>
      <c r="BD15" s="273">
        <f t="shared" si="16"/>
        <v>1.53</v>
      </c>
      <c r="BE15" s="273">
        <f t="shared" si="17"/>
        <v>2.2199999999999998</v>
      </c>
      <c r="BF15" s="273">
        <f t="shared" si="18"/>
        <v>2.5499999999999998</v>
      </c>
      <c r="BG15" s="3" t="s">
        <v>933</v>
      </c>
    </row>
    <row r="16" spans="1:59" x14ac:dyDescent="0.25">
      <c r="A16" s="120">
        <v>1621</v>
      </c>
      <c r="B16" s="364"/>
      <c r="C16" s="80" t="s">
        <v>22</v>
      </c>
      <c r="D16" s="82" t="s">
        <v>466</v>
      </c>
      <c r="E16" s="142" t="s">
        <v>23</v>
      </c>
      <c r="F16" s="11" t="s">
        <v>753</v>
      </c>
      <c r="G16" s="11">
        <v>12</v>
      </c>
      <c r="H16" s="189">
        <v>8766</v>
      </c>
      <c r="I16" s="11" t="s">
        <v>768</v>
      </c>
      <c r="J16" s="48">
        <v>3</v>
      </c>
      <c r="K16" s="48">
        <v>50</v>
      </c>
      <c r="L16" s="185">
        <f t="shared" si="33"/>
        <v>1.5</v>
      </c>
      <c r="M16" s="266">
        <f t="shared" si="19"/>
        <v>1.5</v>
      </c>
      <c r="N16" s="266">
        <f t="shared" si="20"/>
        <v>4.5</v>
      </c>
      <c r="O16" s="48" t="s">
        <v>808</v>
      </c>
      <c r="P16" s="93">
        <v>1</v>
      </c>
      <c r="Q16" s="93">
        <v>50</v>
      </c>
      <c r="R16" s="197">
        <f t="shared" si="34"/>
        <v>0.5</v>
      </c>
      <c r="S16" s="320">
        <f t="shared" si="21"/>
        <v>0.5</v>
      </c>
      <c r="T16" s="320">
        <f t="shared" si="22"/>
        <v>1.5</v>
      </c>
      <c r="U16" s="93" t="s">
        <v>808</v>
      </c>
      <c r="V16" s="174" t="s">
        <v>11</v>
      </c>
      <c r="W16" s="174" t="s">
        <v>12</v>
      </c>
      <c r="X16" s="174">
        <v>2</v>
      </c>
      <c r="Y16" s="174">
        <v>24</v>
      </c>
      <c r="Z16" s="96">
        <v>0</v>
      </c>
      <c r="AA16" s="96">
        <v>1</v>
      </c>
      <c r="AB16" s="224" t="s">
        <v>729</v>
      </c>
      <c r="AC16" s="26">
        <v>1</v>
      </c>
      <c r="AD16" s="26">
        <v>50</v>
      </c>
      <c r="AE16" s="176">
        <f t="shared" si="31"/>
        <v>0.5</v>
      </c>
      <c r="AF16" s="270">
        <f t="shared" si="23"/>
        <v>0.5</v>
      </c>
      <c r="AG16" s="270">
        <f t="shared" si="24"/>
        <v>1.5</v>
      </c>
      <c r="AH16" s="26" t="s">
        <v>1005</v>
      </c>
      <c r="AI16" s="326">
        <v>50</v>
      </c>
      <c r="AJ16" s="30">
        <v>1</v>
      </c>
      <c r="AK16" s="30">
        <v>50</v>
      </c>
      <c r="AL16" s="179">
        <f t="shared" si="35"/>
        <v>0.5</v>
      </c>
      <c r="AM16" s="235">
        <f t="shared" si="25"/>
        <v>0.5</v>
      </c>
      <c r="AN16" s="235">
        <f t="shared" si="26"/>
        <v>1.5</v>
      </c>
      <c r="AO16" s="30" t="s">
        <v>742</v>
      </c>
      <c r="AP16" s="32">
        <v>1</v>
      </c>
      <c r="AQ16" s="32" t="s">
        <v>808</v>
      </c>
      <c r="AR16" s="199">
        <f t="shared" si="10"/>
        <v>24</v>
      </c>
      <c r="AS16" s="199">
        <f t="shared" si="11"/>
        <v>48</v>
      </c>
      <c r="AT16" s="199">
        <f t="shared" si="12"/>
        <v>72</v>
      </c>
      <c r="AU16" s="200">
        <v>1.0375000000000001</v>
      </c>
      <c r="AV16" s="200">
        <v>1.3125</v>
      </c>
      <c r="AW16" s="200">
        <v>1.5874999999999999</v>
      </c>
      <c r="AX16" s="202">
        <f t="shared" si="27"/>
        <v>24.900000000000002</v>
      </c>
      <c r="AY16" s="202">
        <f t="shared" si="28"/>
        <v>63</v>
      </c>
      <c r="AZ16" s="202">
        <f t="shared" si="29"/>
        <v>114.3</v>
      </c>
      <c r="BA16" s="272">
        <f t="shared" si="13"/>
        <v>1.9</v>
      </c>
      <c r="BB16" s="272">
        <f t="shared" si="14"/>
        <v>4.6999999999999993</v>
      </c>
      <c r="BC16" s="272">
        <f t="shared" si="15"/>
        <v>6.2</v>
      </c>
      <c r="BD16" s="273">
        <f t="shared" si="16"/>
        <v>0.57000000000000006</v>
      </c>
      <c r="BE16" s="273">
        <f t="shared" si="17"/>
        <v>1.41</v>
      </c>
      <c r="BF16" s="273">
        <f t="shared" si="18"/>
        <v>1.8599999999999999</v>
      </c>
      <c r="BG16" s="3" t="s">
        <v>932</v>
      </c>
    </row>
    <row r="17" spans="1:59" s="88" customFormat="1" x14ac:dyDescent="0.25">
      <c r="A17" s="358">
        <v>1611</v>
      </c>
      <c r="B17" s="364"/>
      <c r="C17" s="80" t="s">
        <v>332</v>
      </c>
      <c r="D17" s="82" t="s">
        <v>467</v>
      </c>
      <c r="E17" s="142" t="s">
        <v>337</v>
      </c>
      <c r="F17" s="11" t="s">
        <v>750</v>
      </c>
      <c r="G17" s="11">
        <v>10</v>
      </c>
      <c r="H17" s="189">
        <f>10*730.5</f>
        <v>7305</v>
      </c>
      <c r="I17" s="11" t="s">
        <v>827</v>
      </c>
      <c r="J17" s="48">
        <v>3</v>
      </c>
      <c r="K17" s="48">
        <v>50</v>
      </c>
      <c r="L17" s="185">
        <f t="shared" si="33"/>
        <v>1.5</v>
      </c>
      <c r="M17" s="266">
        <f t="shared" si="19"/>
        <v>1.5</v>
      </c>
      <c r="N17" s="266">
        <f t="shared" si="20"/>
        <v>4.5</v>
      </c>
      <c r="O17" s="48" t="s">
        <v>796</v>
      </c>
      <c r="P17" s="93">
        <v>2</v>
      </c>
      <c r="Q17" s="93">
        <v>50</v>
      </c>
      <c r="R17" s="197">
        <f t="shared" si="34"/>
        <v>1</v>
      </c>
      <c r="S17" s="320">
        <f t="shared" si="21"/>
        <v>1</v>
      </c>
      <c r="T17" s="320">
        <f t="shared" si="22"/>
        <v>3</v>
      </c>
      <c r="U17" s="93" t="s">
        <v>796</v>
      </c>
      <c r="V17" s="174" t="s">
        <v>11</v>
      </c>
      <c r="W17" s="174" t="s">
        <v>12</v>
      </c>
      <c r="X17" s="174">
        <v>2</v>
      </c>
      <c r="Y17" s="174">
        <v>24</v>
      </c>
      <c r="Z17" s="96">
        <v>0</v>
      </c>
      <c r="AA17" s="96">
        <v>1</v>
      </c>
      <c r="AB17" s="323" t="s">
        <v>743</v>
      </c>
      <c r="AC17" s="26">
        <v>1</v>
      </c>
      <c r="AD17" s="26">
        <v>50</v>
      </c>
      <c r="AE17" s="176">
        <f t="shared" si="31"/>
        <v>0.5</v>
      </c>
      <c r="AF17" s="270">
        <f t="shared" si="23"/>
        <v>0.5</v>
      </c>
      <c r="AG17" s="270">
        <f t="shared" si="24"/>
        <v>1.5</v>
      </c>
      <c r="AH17" s="26" t="s">
        <v>1005</v>
      </c>
      <c r="AI17" s="326">
        <v>50</v>
      </c>
      <c r="AJ17" s="30">
        <v>1</v>
      </c>
      <c r="AK17" s="30">
        <v>50</v>
      </c>
      <c r="AL17" s="179">
        <f t="shared" si="35"/>
        <v>0.5</v>
      </c>
      <c r="AM17" s="235">
        <f t="shared" si="25"/>
        <v>0.5</v>
      </c>
      <c r="AN17" s="235">
        <f t="shared" si="26"/>
        <v>1.5</v>
      </c>
      <c r="AO17" s="30" t="s">
        <v>742</v>
      </c>
      <c r="AP17" s="32">
        <v>1</v>
      </c>
      <c r="AQ17" s="32" t="s">
        <v>864</v>
      </c>
      <c r="AR17" s="199">
        <f t="shared" si="10"/>
        <v>25</v>
      </c>
      <c r="AS17" s="199">
        <f t="shared" si="11"/>
        <v>50</v>
      </c>
      <c r="AT17" s="199">
        <f t="shared" si="12"/>
        <v>75</v>
      </c>
      <c r="AU17" s="200">
        <v>1.4375</v>
      </c>
      <c r="AV17" s="200">
        <v>2</v>
      </c>
      <c r="AW17" s="200">
        <v>2.5625</v>
      </c>
      <c r="AX17" s="202">
        <f t="shared" si="27"/>
        <v>35.9375</v>
      </c>
      <c r="AY17" s="202">
        <f t="shared" si="28"/>
        <v>100</v>
      </c>
      <c r="AZ17" s="202">
        <f t="shared" si="29"/>
        <v>192.1875</v>
      </c>
      <c r="BA17" s="272">
        <f t="shared" si="13"/>
        <v>2.9</v>
      </c>
      <c r="BB17" s="272">
        <f t="shared" si="14"/>
        <v>5.8999999999999995</v>
      </c>
      <c r="BC17" s="272">
        <f t="shared" si="15"/>
        <v>7.4</v>
      </c>
      <c r="BD17" s="273">
        <f t="shared" si="16"/>
        <v>0.86999999999999988</v>
      </c>
      <c r="BE17" s="273">
        <f t="shared" si="17"/>
        <v>1.77</v>
      </c>
      <c r="BF17" s="273">
        <f t="shared" si="18"/>
        <v>2.2199999999999998</v>
      </c>
      <c r="BG17" s="3" t="s">
        <v>932</v>
      </c>
    </row>
    <row r="18" spans="1:59" s="88" customFormat="1" x14ac:dyDescent="0.25">
      <c r="A18" s="358">
        <v>1614</v>
      </c>
      <c r="B18" s="365"/>
      <c r="C18" s="80" t="s">
        <v>333</v>
      </c>
      <c r="D18" s="82" t="s">
        <v>468</v>
      </c>
      <c r="E18" s="142" t="s">
        <v>339</v>
      </c>
      <c r="F18" s="11" t="s">
        <v>800</v>
      </c>
      <c r="G18" s="11">
        <v>8</v>
      </c>
      <c r="H18" s="189">
        <f>8*730.5</f>
        <v>5844</v>
      </c>
      <c r="I18" s="11" t="s">
        <v>798</v>
      </c>
      <c r="J18" s="48">
        <v>3</v>
      </c>
      <c r="K18" s="48">
        <v>50</v>
      </c>
      <c r="L18" s="185">
        <f t="shared" si="33"/>
        <v>1.5</v>
      </c>
      <c r="M18" s="266">
        <f t="shared" si="19"/>
        <v>1.5</v>
      </c>
      <c r="N18" s="266">
        <f t="shared" si="20"/>
        <v>4.5</v>
      </c>
      <c r="O18" s="48" t="s">
        <v>797</v>
      </c>
      <c r="P18" s="93">
        <v>1</v>
      </c>
      <c r="Q18" s="93">
        <v>50</v>
      </c>
      <c r="R18" s="197">
        <f t="shared" si="34"/>
        <v>0.5</v>
      </c>
      <c r="S18" s="320">
        <f t="shared" si="21"/>
        <v>0.5</v>
      </c>
      <c r="T18" s="320">
        <f t="shared" si="22"/>
        <v>1.5</v>
      </c>
      <c r="U18" s="93" t="s">
        <v>797</v>
      </c>
      <c r="V18" s="174" t="s">
        <v>11</v>
      </c>
      <c r="W18" s="174" t="s">
        <v>12</v>
      </c>
      <c r="X18" s="174">
        <v>2</v>
      </c>
      <c r="Y18" s="174">
        <v>24</v>
      </c>
      <c r="Z18" s="96">
        <v>0</v>
      </c>
      <c r="AA18" s="96">
        <v>1</v>
      </c>
      <c r="AB18" s="323" t="s">
        <v>744</v>
      </c>
      <c r="AC18" s="26">
        <v>1</v>
      </c>
      <c r="AD18" s="26">
        <v>50</v>
      </c>
      <c r="AE18" s="176">
        <f t="shared" si="31"/>
        <v>0.5</v>
      </c>
      <c r="AF18" s="270">
        <f t="shared" si="23"/>
        <v>0.5</v>
      </c>
      <c r="AG18" s="270">
        <f t="shared" si="24"/>
        <v>1.5</v>
      </c>
      <c r="AH18" s="26" t="s">
        <v>1005</v>
      </c>
      <c r="AI18" s="326">
        <v>50</v>
      </c>
      <c r="AJ18" s="30">
        <v>1</v>
      </c>
      <c r="AK18" s="30">
        <v>50</v>
      </c>
      <c r="AL18" s="179">
        <f t="shared" si="35"/>
        <v>0.5</v>
      </c>
      <c r="AM18" s="235">
        <f t="shared" si="25"/>
        <v>0.5</v>
      </c>
      <c r="AN18" s="235">
        <f t="shared" si="26"/>
        <v>1.5</v>
      </c>
      <c r="AO18" s="30" t="s">
        <v>742</v>
      </c>
      <c r="AP18" s="32">
        <v>1</v>
      </c>
      <c r="AQ18" s="32" t="s">
        <v>865</v>
      </c>
      <c r="AR18" s="199">
        <f t="shared" si="10"/>
        <v>16</v>
      </c>
      <c r="AS18" s="199">
        <f t="shared" si="11"/>
        <v>32</v>
      </c>
      <c r="AT18" s="199">
        <f t="shared" si="12"/>
        <v>48</v>
      </c>
      <c r="AU18" s="200">
        <v>2.4</v>
      </c>
      <c r="AV18" s="200">
        <v>3</v>
      </c>
      <c r="AW18" s="200">
        <v>3.6</v>
      </c>
      <c r="AX18" s="202">
        <f t="shared" si="27"/>
        <v>38.4</v>
      </c>
      <c r="AY18" s="202">
        <f t="shared" si="28"/>
        <v>96</v>
      </c>
      <c r="AZ18" s="202">
        <f t="shared" si="29"/>
        <v>172.8</v>
      </c>
      <c r="BA18" s="272">
        <f t="shared" si="13"/>
        <v>3.2</v>
      </c>
      <c r="BB18" s="272">
        <f t="shared" si="14"/>
        <v>5.8</v>
      </c>
      <c r="BC18" s="272">
        <f t="shared" si="15"/>
        <v>7.1</v>
      </c>
      <c r="BD18" s="273">
        <f t="shared" si="16"/>
        <v>0.96</v>
      </c>
      <c r="BE18" s="273">
        <f t="shared" si="17"/>
        <v>1.7399999999999998</v>
      </c>
      <c r="BF18" s="273">
        <f t="shared" si="18"/>
        <v>2.13</v>
      </c>
      <c r="BG18" s="3" t="s">
        <v>932</v>
      </c>
    </row>
    <row r="19" spans="1:59" x14ac:dyDescent="0.25">
      <c r="A19" s="89">
        <v>1711</v>
      </c>
      <c r="B19" s="363" t="s">
        <v>25</v>
      </c>
      <c r="C19" s="80" t="s">
        <v>566</v>
      </c>
      <c r="D19" s="80" t="s">
        <v>469</v>
      </c>
      <c r="E19" s="142" t="s">
        <v>26</v>
      </c>
      <c r="F19" s="11" t="s">
        <v>753</v>
      </c>
      <c r="G19" s="11">
        <v>12</v>
      </c>
      <c r="H19" s="189">
        <v>8766</v>
      </c>
      <c r="I19" s="11" t="s">
        <v>835</v>
      </c>
      <c r="J19" s="48">
        <v>3</v>
      </c>
      <c r="K19" s="48">
        <v>25</v>
      </c>
      <c r="L19" s="185">
        <f t="shared" si="33"/>
        <v>0.75</v>
      </c>
      <c r="M19" s="266">
        <f t="shared" si="19"/>
        <v>2.25</v>
      </c>
      <c r="N19" s="266">
        <f t="shared" si="20"/>
        <v>3.75</v>
      </c>
      <c r="O19" s="48" t="s">
        <v>1057</v>
      </c>
      <c r="P19" s="93">
        <v>4</v>
      </c>
      <c r="Q19" s="93">
        <v>50</v>
      </c>
      <c r="R19" s="197">
        <f t="shared" si="34"/>
        <v>2</v>
      </c>
      <c r="S19" s="320">
        <f t="shared" si="21"/>
        <v>2</v>
      </c>
      <c r="T19" s="320">
        <f t="shared" si="22"/>
        <v>6</v>
      </c>
      <c r="U19" s="93" t="s">
        <v>919</v>
      </c>
      <c r="V19" s="174" t="s">
        <v>27</v>
      </c>
      <c r="W19" s="174" t="s">
        <v>28</v>
      </c>
      <c r="X19" s="174">
        <v>13</v>
      </c>
      <c r="Y19" s="174">
        <v>1</v>
      </c>
      <c r="Z19" s="174">
        <v>0</v>
      </c>
      <c r="AA19" s="174">
        <v>0</v>
      </c>
      <c r="AB19" s="224">
        <v>7.9</v>
      </c>
      <c r="AC19" s="26">
        <v>3</v>
      </c>
      <c r="AD19" s="26">
        <v>50</v>
      </c>
      <c r="AE19" s="176">
        <f t="shared" si="31"/>
        <v>1.5</v>
      </c>
      <c r="AF19" s="270">
        <f t="shared" si="23"/>
        <v>1.5</v>
      </c>
      <c r="AG19" s="270">
        <f t="shared" si="24"/>
        <v>4.5</v>
      </c>
      <c r="AH19" s="26" t="s">
        <v>697</v>
      </c>
      <c r="AI19" s="326">
        <v>50</v>
      </c>
      <c r="AJ19" s="30">
        <v>1</v>
      </c>
      <c r="AK19" s="30">
        <v>50</v>
      </c>
      <c r="AL19" s="179">
        <f t="shared" si="35"/>
        <v>0.5</v>
      </c>
      <c r="AM19" s="235">
        <f t="shared" si="25"/>
        <v>0.5</v>
      </c>
      <c r="AN19" s="235">
        <f t="shared" si="26"/>
        <v>1.5</v>
      </c>
      <c r="AO19" s="30" t="s">
        <v>742</v>
      </c>
      <c r="AP19" s="32">
        <v>1</v>
      </c>
      <c r="AQ19" s="32" t="s">
        <v>840</v>
      </c>
      <c r="AR19" s="199">
        <f t="shared" si="10"/>
        <v>17</v>
      </c>
      <c r="AS19" s="199">
        <f t="shared" si="11"/>
        <v>28</v>
      </c>
      <c r="AT19" s="199">
        <f t="shared" si="12"/>
        <v>39</v>
      </c>
      <c r="AU19" s="200">
        <v>2.65</v>
      </c>
      <c r="AV19" s="200">
        <v>3.75</v>
      </c>
      <c r="AW19" s="200">
        <v>4.8499999999999996</v>
      </c>
      <c r="AX19" s="202">
        <f t="shared" si="27"/>
        <v>45.05</v>
      </c>
      <c r="AY19" s="202">
        <f t="shared" si="28"/>
        <v>105</v>
      </c>
      <c r="AZ19" s="202">
        <f t="shared" si="29"/>
        <v>189.14999999999998</v>
      </c>
      <c r="BA19" s="272">
        <f t="shared" si="13"/>
        <v>3.7</v>
      </c>
      <c r="BB19" s="272">
        <f t="shared" si="14"/>
        <v>6.2</v>
      </c>
      <c r="BC19" s="272">
        <f t="shared" si="15"/>
        <v>7.1999999999999993</v>
      </c>
      <c r="BD19" s="273">
        <f t="shared" si="16"/>
        <v>1.1099999999999999</v>
      </c>
      <c r="BE19" s="273">
        <f t="shared" si="17"/>
        <v>1.8599999999999999</v>
      </c>
      <c r="BF19" s="273">
        <f t="shared" si="18"/>
        <v>2.16</v>
      </c>
      <c r="BG19" s="3" t="s">
        <v>932</v>
      </c>
    </row>
    <row r="20" spans="1:59" x14ac:dyDescent="0.25">
      <c r="A20" s="120">
        <v>1709</v>
      </c>
      <c r="B20" s="364"/>
      <c r="C20" s="80" t="s">
        <v>29</v>
      </c>
      <c r="D20" s="80" t="s">
        <v>457</v>
      </c>
      <c r="E20" s="142" t="s">
        <v>30</v>
      </c>
      <c r="F20" s="11" t="s">
        <v>757</v>
      </c>
      <c r="G20" s="11">
        <v>10</v>
      </c>
      <c r="H20" s="189">
        <f>10*730.5</f>
        <v>7305</v>
      </c>
      <c r="I20" s="11" t="s">
        <v>836</v>
      </c>
      <c r="J20" s="48">
        <v>3</v>
      </c>
      <c r="K20" s="48">
        <v>25</v>
      </c>
      <c r="L20" s="185">
        <f t="shared" si="33"/>
        <v>0.75</v>
      </c>
      <c r="M20" s="266">
        <f t="shared" si="19"/>
        <v>2.25</v>
      </c>
      <c r="N20" s="266">
        <f t="shared" si="20"/>
        <v>3.75</v>
      </c>
      <c r="O20" s="48" t="s">
        <v>1058</v>
      </c>
      <c r="P20" s="93">
        <v>4</v>
      </c>
      <c r="Q20" s="93">
        <v>50</v>
      </c>
      <c r="R20" s="197">
        <f t="shared" si="34"/>
        <v>2</v>
      </c>
      <c r="S20" s="320">
        <f t="shared" si="21"/>
        <v>2</v>
      </c>
      <c r="T20" s="320">
        <f t="shared" si="22"/>
        <v>6</v>
      </c>
      <c r="U20" s="93" t="s">
        <v>919</v>
      </c>
      <c r="V20" s="174" t="s">
        <v>31</v>
      </c>
      <c r="W20" s="174" t="s">
        <v>32</v>
      </c>
      <c r="X20" s="174">
        <v>22</v>
      </c>
      <c r="Y20" s="174">
        <v>1</v>
      </c>
      <c r="Z20" s="174">
        <v>0</v>
      </c>
      <c r="AA20" s="174">
        <v>0</v>
      </c>
      <c r="AB20" s="224">
        <v>0</v>
      </c>
      <c r="AC20" s="26">
        <v>3</v>
      </c>
      <c r="AD20" s="26">
        <v>50</v>
      </c>
      <c r="AE20" s="176">
        <f t="shared" si="31"/>
        <v>1.5</v>
      </c>
      <c r="AF20" s="270">
        <f t="shared" si="23"/>
        <v>1.5</v>
      </c>
      <c r="AG20" s="270">
        <f t="shared" si="24"/>
        <v>4.5</v>
      </c>
      <c r="AH20" s="26" t="s">
        <v>697</v>
      </c>
      <c r="AI20" s="326">
        <v>50</v>
      </c>
      <c r="AJ20" s="30">
        <v>1</v>
      </c>
      <c r="AK20" s="30">
        <v>50</v>
      </c>
      <c r="AL20" s="179">
        <f t="shared" si="35"/>
        <v>0.5</v>
      </c>
      <c r="AM20" s="235">
        <f t="shared" si="25"/>
        <v>0.5</v>
      </c>
      <c r="AN20" s="235">
        <f t="shared" si="26"/>
        <v>1.5</v>
      </c>
      <c r="AO20" s="30" t="s">
        <v>742</v>
      </c>
      <c r="AP20" s="32">
        <v>1</v>
      </c>
      <c r="AQ20" s="32" t="s">
        <v>840</v>
      </c>
      <c r="AR20" s="199">
        <f t="shared" si="10"/>
        <v>14.166666666666668</v>
      </c>
      <c r="AS20" s="199">
        <f t="shared" si="11"/>
        <v>23.333333333333336</v>
      </c>
      <c r="AT20" s="199">
        <f t="shared" si="12"/>
        <v>32.5</v>
      </c>
      <c r="AU20" s="200">
        <v>2.5499999999999998</v>
      </c>
      <c r="AV20" s="200">
        <v>2.75</v>
      </c>
      <c r="AW20" s="200">
        <v>2.95</v>
      </c>
      <c r="AX20" s="202">
        <f t="shared" si="27"/>
        <v>36.125</v>
      </c>
      <c r="AY20" s="202">
        <f t="shared" si="28"/>
        <v>64.166666666666671</v>
      </c>
      <c r="AZ20" s="202">
        <f t="shared" si="29"/>
        <v>95.875</v>
      </c>
      <c r="BA20" s="272">
        <f t="shared" si="13"/>
        <v>3</v>
      </c>
      <c r="BB20" s="272">
        <f t="shared" si="14"/>
        <v>4.8</v>
      </c>
      <c r="BC20" s="272">
        <f t="shared" si="15"/>
        <v>5.6999999999999993</v>
      </c>
      <c r="BD20" s="273">
        <f t="shared" si="16"/>
        <v>0.89999999999999991</v>
      </c>
      <c r="BE20" s="273">
        <f t="shared" si="17"/>
        <v>1.44</v>
      </c>
      <c r="BF20" s="273">
        <f t="shared" si="18"/>
        <v>1.71</v>
      </c>
      <c r="BG20" s="3" t="s">
        <v>932</v>
      </c>
    </row>
    <row r="21" spans="1:59" s="88" customFormat="1" x14ac:dyDescent="0.25">
      <c r="A21" s="120">
        <v>1712</v>
      </c>
      <c r="B21" s="364"/>
      <c r="C21" s="80" t="s">
        <v>290</v>
      </c>
      <c r="D21" s="83" t="s">
        <v>470</v>
      </c>
      <c r="E21" s="343" t="s">
        <v>297</v>
      </c>
      <c r="F21" s="11" t="s">
        <v>753</v>
      </c>
      <c r="G21" s="11">
        <v>12</v>
      </c>
      <c r="H21" s="189">
        <v>8766</v>
      </c>
      <c r="I21" s="11" t="s">
        <v>917</v>
      </c>
      <c r="J21" s="48">
        <v>3</v>
      </c>
      <c r="K21" s="48">
        <v>50</v>
      </c>
      <c r="L21" s="185">
        <f t="shared" si="33"/>
        <v>1.5</v>
      </c>
      <c r="M21" s="266">
        <f t="shared" si="19"/>
        <v>1.5</v>
      </c>
      <c r="N21" s="266">
        <f t="shared" si="20"/>
        <v>4.5</v>
      </c>
      <c r="O21" s="48" t="s">
        <v>1059</v>
      </c>
      <c r="P21" s="93">
        <v>4</v>
      </c>
      <c r="Q21" s="93">
        <v>50</v>
      </c>
      <c r="R21" s="197">
        <f t="shared" si="34"/>
        <v>2</v>
      </c>
      <c r="S21" s="320">
        <f t="shared" si="21"/>
        <v>2</v>
      </c>
      <c r="T21" s="320">
        <f t="shared" si="22"/>
        <v>6</v>
      </c>
      <c r="U21" s="93" t="s">
        <v>918</v>
      </c>
      <c r="V21" s="174" t="s">
        <v>27</v>
      </c>
      <c r="W21" s="174" t="s">
        <v>28</v>
      </c>
      <c r="X21" s="174">
        <v>13</v>
      </c>
      <c r="Y21" s="174">
        <v>1</v>
      </c>
      <c r="Z21" s="96">
        <v>0</v>
      </c>
      <c r="AA21" s="96">
        <v>0</v>
      </c>
      <c r="AB21" s="224">
        <v>7.9</v>
      </c>
      <c r="AC21" s="26">
        <v>3</v>
      </c>
      <c r="AD21" s="26">
        <v>50</v>
      </c>
      <c r="AE21" s="176">
        <f t="shared" si="31"/>
        <v>1.5</v>
      </c>
      <c r="AF21" s="270">
        <f t="shared" si="23"/>
        <v>1.5</v>
      </c>
      <c r="AG21" s="270">
        <f t="shared" si="24"/>
        <v>4.5</v>
      </c>
      <c r="AH21" s="26" t="s">
        <v>731</v>
      </c>
      <c r="AI21" s="326">
        <v>50</v>
      </c>
      <c r="AJ21" s="30">
        <v>1</v>
      </c>
      <c r="AK21" s="30">
        <v>50</v>
      </c>
      <c r="AL21" s="179">
        <f t="shared" si="35"/>
        <v>0.5</v>
      </c>
      <c r="AM21" s="235">
        <f t="shared" si="25"/>
        <v>0.5</v>
      </c>
      <c r="AN21" s="235">
        <f t="shared" si="26"/>
        <v>1.5</v>
      </c>
      <c r="AO21" s="30" t="s">
        <v>742</v>
      </c>
      <c r="AP21" s="32">
        <v>1</v>
      </c>
      <c r="AQ21" s="32" t="s">
        <v>840</v>
      </c>
      <c r="AR21" s="199">
        <f t="shared" si="10"/>
        <v>14</v>
      </c>
      <c r="AS21" s="199">
        <f t="shared" si="11"/>
        <v>28</v>
      </c>
      <c r="AT21" s="199">
        <f t="shared" si="12"/>
        <v>42</v>
      </c>
      <c r="AU21" s="200">
        <v>3.375</v>
      </c>
      <c r="AV21" s="200">
        <v>4.25</v>
      </c>
      <c r="AW21" s="200">
        <v>5.125</v>
      </c>
      <c r="AX21" s="202">
        <f t="shared" si="27"/>
        <v>47.25</v>
      </c>
      <c r="AY21" s="202">
        <f t="shared" si="28"/>
        <v>119</v>
      </c>
      <c r="AZ21" s="202">
        <f t="shared" si="29"/>
        <v>215.25</v>
      </c>
      <c r="BA21" s="272">
        <f t="shared" si="13"/>
        <v>3.8</v>
      </c>
      <c r="BB21" s="272">
        <f t="shared" si="14"/>
        <v>6.3</v>
      </c>
      <c r="BC21" s="272">
        <f t="shared" si="15"/>
        <v>7.5</v>
      </c>
      <c r="BD21" s="273">
        <f t="shared" si="16"/>
        <v>1.1400000000000001</v>
      </c>
      <c r="BE21" s="273">
        <f t="shared" si="17"/>
        <v>1.8900000000000001</v>
      </c>
      <c r="BF21" s="273">
        <f t="shared" si="18"/>
        <v>2.25</v>
      </c>
      <c r="BG21" s="3" t="s">
        <v>932</v>
      </c>
    </row>
    <row r="22" spans="1:59" x14ac:dyDescent="0.25">
      <c r="A22" s="120">
        <v>1815</v>
      </c>
      <c r="B22" s="364"/>
      <c r="C22" s="80" t="s">
        <v>567</v>
      </c>
      <c r="D22" s="80" t="s">
        <v>471</v>
      </c>
      <c r="E22" s="347" t="s">
        <v>1019</v>
      </c>
      <c r="F22" s="11" t="s">
        <v>764</v>
      </c>
      <c r="G22" s="11">
        <v>9</v>
      </c>
      <c r="H22" s="189">
        <f>9*730.5</f>
        <v>6574.5</v>
      </c>
      <c r="I22" s="11" t="s">
        <v>790</v>
      </c>
      <c r="J22" s="48">
        <v>3</v>
      </c>
      <c r="K22" s="48">
        <v>50</v>
      </c>
      <c r="L22" s="185">
        <f t="shared" si="33"/>
        <v>1.5</v>
      </c>
      <c r="M22" s="266">
        <f t="shared" si="19"/>
        <v>1.5</v>
      </c>
      <c r="N22" s="266">
        <f t="shared" si="20"/>
        <v>4.5</v>
      </c>
      <c r="O22" s="48" t="s">
        <v>1060</v>
      </c>
      <c r="P22" s="93">
        <v>3</v>
      </c>
      <c r="Q22" s="93">
        <v>50</v>
      </c>
      <c r="R22" s="197">
        <f t="shared" si="34"/>
        <v>1.5</v>
      </c>
      <c r="S22" s="320">
        <f t="shared" si="21"/>
        <v>1.5</v>
      </c>
      <c r="T22" s="320">
        <f t="shared" si="22"/>
        <v>4.5</v>
      </c>
      <c r="U22" s="93" t="s">
        <v>832</v>
      </c>
      <c r="V22" s="174" t="s">
        <v>27</v>
      </c>
      <c r="W22" s="174" t="s">
        <v>33</v>
      </c>
      <c r="X22" s="174">
        <v>20</v>
      </c>
      <c r="Y22" s="174">
        <v>5</v>
      </c>
      <c r="Z22" s="174">
        <v>0</v>
      </c>
      <c r="AA22" s="174">
        <v>0</v>
      </c>
      <c r="AB22" s="224">
        <v>3.8</v>
      </c>
      <c r="AC22" s="26">
        <v>5</v>
      </c>
      <c r="AD22" s="26">
        <v>50</v>
      </c>
      <c r="AE22" s="176">
        <f t="shared" si="31"/>
        <v>2.5</v>
      </c>
      <c r="AF22" s="270">
        <f t="shared" si="23"/>
        <v>2.5</v>
      </c>
      <c r="AG22" s="270">
        <f t="shared" si="24"/>
        <v>7.5</v>
      </c>
      <c r="AH22" s="26" t="s">
        <v>732</v>
      </c>
      <c r="AI22" s="326">
        <v>50</v>
      </c>
      <c r="AJ22" s="30">
        <v>1</v>
      </c>
      <c r="AK22" s="30">
        <v>50</v>
      </c>
      <c r="AL22" s="179">
        <f t="shared" si="35"/>
        <v>0.5</v>
      </c>
      <c r="AM22" s="235">
        <f t="shared" si="25"/>
        <v>0.5</v>
      </c>
      <c r="AN22" s="235">
        <f t="shared" si="26"/>
        <v>1.5</v>
      </c>
      <c r="AO22" s="30" t="s">
        <v>742</v>
      </c>
      <c r="AP22" s="32">
        <v>1</v>
      </c>
      <c r="AQ22" s="32" t="s">
        <v>843</v>
      </c>
      <c r="AR22" s="199">
        <f t="shared" si="10"/>
        <v>5.3999999999999995</v>
      </c>
      <c r="AS22" s="199">
        <f t="shared" si="11"/>
        <v>10.799999999999999</v>
      </c>
      <c r="AT22" s="199">
        <f t="shared" si="12"/>
        <v>16.2</v>
      </c>
      <c r="AU22" s="200">
        <v>2.0750000000000002</v>
      </c>
      <c r="AV22" s="200">
        <v>3</v>
      </c>
      <c r="AW22" s="200">
        <v>3.9249999999999998</v>
      </c>
      <c r="AX22" s="202">
        <f t="shared" si="27"/>
        <v>11.205</v>
      </c>
      <c r="AY22" s="202">
        <f t="shared" si="28"/>
        <v>32.4</v>
      </c>
      <c r="AZ22" s="202">
        <f t="shared" si="29"/>
        <v>63.584999999999994</v>
      </c>
      <c r="BA22" s="272">
        <f t="shared" si="13"/>
        <v>0.70000000000000007</v>
      </c>
      <c r="BB22" s="272">
        <f t="shared" si="14"/>
        <v>2.6</v>
      </c>
      <c r="BC22" s="272">
        <f t="shared" si="15"/>
        <v>4.8</v>
      </c>
      <c r="BD22" s="273">
        <f t="shared" si="16"/>
        <v>0.21000000000000002</v>
      </c>
      <c r="BE22" s="273">
        <f t="shared" si="17"/>
        <v>0.78</v>
      </c>
      <c r="BF22" s="273">
        <f t="shared" si="18"/>
        <v>1.44</v>
      </c>
      <c r="BG22" s="3" t="s">
        <v>931</v>
      </c>
    </row>
    <row r="23" spans="1:59" x14ac:dyDescent="0.25">
      <c r="A23" s="120">
        <v>1729</v>
      </c>
      <c r="B23" s="364"/>
      <c r="C23" s="80" t="s">
        <v>34</v>
      </c>
      <c r="D23" s="80" t="s">
        <v>472</v>
      </c>
      <c r="E23" s="142" t="s">
        <v>35</v>
      </c>
      <c r="F23" s="11" t="s">
        <v>752</v>
      </c>
      <c r="G23" s="11">
        <v>12</v>
      </c>
      <c r="H23" s="189">
        <v>8766</v>
      </c>
      <c r="I23" s="11" t="s">
        <v>768</v>
      </c>
      <c r="J23" s="48">
        <v>3</v>
      </c>
      <c r="K23" s="48">
        <v>25</v>
      </c>
      <c r="L23" s="185">
        <f t="shared" si="33"/>
        <v>0.75</v>
      </c>
      <c r="M23" s="266">
        <f t="shared" si="19"/>
        <v>2.25</v>
      </c>
      <c r="N23" s="266">
        <f t="shared" si="20"/>
        <v>3.75</v>
      </c>
      <c r="O23" s="48" t="s">
        <v>280</v>
      </c>
      <c r="P23" s="93">
        <v>3</v>
      </c>
      <c r="Q23" s="93">
        <v>25</v>
      </c>
      <c r="R23" s="197">
        <f t="shared" si="34"/>
        <v>0.75</v>
      </c>
      <c r="S23" s="320">
        <f t="shared" si="21"/>
        <v>2.25</v>
      </c>
      <c r="T23" s="320">
        <f t="shared" si="22"/>
        <v>3.75</v>
      </c>
      <c r="U23" s="93" t="s">
        <v>280</v>
      </c>
      <c r="V23" s="174" t="s">
        <v>27</v>
      </c>
      <c r="W23" s="174" t="s">
        <v>33</v>
      </c>
      <c r="X23" s="174">
        <v>19</v>
      </c>
      <c r="Y23" s="174">
        <v>9</v>
      </c>
      <c r="Z23" s="174">
        <v>0</v>
      </c>
      <c r="AA23" s="174">
        <v>0</v>
      </c>
      <c r="AB23" s="224" t="s">
        <v>704</v>
      </c>
      <c r="AC23" s="26">
        <v>5</v>
      </c>
      <c r="AD23" s="26">
        <v>50</v>
      </c>
      <c r="AE23" s="176">
        <f t="shared" si="31"/>
        <v>2.5</v>
      </c>
      <c r="AF23" s="270">
        <f t="shared" si="23"/>
        <v>2.5</v>
      </c>
      <c r="AG23" s="270">
        <f t="shared" si="24"/>
        <v>7.5</v>
      </c>
      <c r="AH23" s="26" t="s">
        <v>1025</v>
      </c>
      <c r="AI23" s="326">
        <v>50</v>
      </c>
      <c r="AJ23" s="30">
        <v>1</v>
      </c>
      <c r="AK23" s="30">
        <v>25</v>
      </c>
      <c r="AL23" s="179">
        <f t="shared" si="35"/>
        <v>0.25</v>
      </c>
      <c r="AM23" s="235">
        <f t="shared" si="25"/>
        <v>0.75</v>
      </c>
      <c r="AN23" s="235">
        <f t="shared" si="26"/>
        <v>1.25</v>
      </c>
      <c r="AO23" s="30" t="s">
        <v>742</v>
      </c>
      <c r="AP23" s="32">
        <v>1</v>
      </c>
      <c r="AQ23" s="32" t="s">
        <v>843</v>
      </c>
      <c r="AR23" s="199">
        <f t="shared" si="10"/>
        <v>16.200000000000003</v>
      </c>
      <c r="AS23" s="199">
        <f t="shared" si="11"/>
        <v>14.399999999999999</v>
      </c>
      <c r="AT23" s="199">
        <f t="shared" si="12"/>
        <v>15</v>
      </c>
      <c r="AU23" s="200">
        <v>2.25</v>
      </c>
      <c r="AV23" s="200">
        <v>2.5625</v>
      </c>
      <c r="AW23" s="200">
        <v>2.875</v>
      </c>
      <c r="AX23" s="202">
        <f t="shared" si="27"/>
        <v>36.450000000000003</v>
      </c>
      <c r="AY23" s="202">
        <f t="shared" si="28"/>
        <v>36.9</v>
      </c>
      <c r="AZ23" s="202">
        <f t="shared" si="29"/>
        <v>43.125</v>
      </c>
      <c r="BA23" s="272">
        <f t="shared" si="13"/>
        <v>3.1</v>
      </c>
      <c r="BB23" s="272">
        <f t="shared" si="14"/>
        <v>3.1</v>
      </c>
      <c r="BC23" s="272">
        <f t="shared" si="15"/>
        <v>3.5999999999999996</v>
      </c>
      <c r="BD23" s="273">
        <f t="shared" si="16"/>
        <v>0.92999999999999994</v>
      </c>
      <c r="BE23" s="273">
        <f t="shared" si="17"/>
        <v>0.92999999999999994</v>
      </c>
      <c r="BF23" s="273">
        <f t="shared" si="18"/>
        <v>1.08</v>
      </c>
      <c r="BG23" s="3" t="s">
        <v>931</v>
      </c>
    </row>
    <row r="24" spans="1:59" x14ac:dyDescent="0.25">
      <c r="A24" s="120">
        <v>1810</v>
      </c>
      <c r="B24" s="364"/>
      <c r="C24" s="80" t="s">
        <v>568</v>
      </c>
      <c r="D24" s="80" t="s">
        <v>458</v>
      </c>
      <c r="E24" s="347" t="s">
        <v>1023</v>
      </c>
      <c r="F24" s="11" t="s">
        <v>753</v>
      </c>
      <c r="G24" s="11">
        <v>12</v>
      </c>
      <c r="H24" s="189">
        <v>8766</v>
      </c>
      <c r="I24" s="11" t="s">
        <v>774</v>
      </c>
      <c r="J24" s="48">
        <v>3</v>
      </c>
      <c r="K24" s="48">
        <v>50</v>
      </c>
      <c r="L24" s="185">
        <f t="shared" si="33"/>
        <v>1.5</v>
      </c>
      <c r="M24" s="266">
        <f t="shared" si="19"/>
        <v>1.5</v>
      </c>
      <c r="N24" s="266">
        <f t="shared" si="20"/>
        <v>4.5</v>
      </c>
      <c r="O24" s="48" t="s">
        <v>832</v>
      </c>
      <c r="P24" s="93">
        <v>3</v>
      </c>
      <c r="Q24" s="93">
        <v>50</v>
      </c>
      <c r="R24" s="197">
        <f t="shared" si="34"/>
        <v>1.5</v>
      </c>
      <c r="S24" s="320">
        <f t="shared" si="21"/>
        <v>1.5</v>
      </c>
      <c r="T24" s="320">
        <f t="shared" si="22"/>
        <v>4.5</v>
      </c>
      <c r="U24" s="93" t="s">
        <v>832</v>
      </c>
      <c r="V24" s="174" t="s">
        <v>27</v>
      </c>
      <c r="W24" s="174" t="s">
        <v>33</v>
      </c>
      <c r="X24" s="174">
        <v>20</v>
      </c>
      <c r="Y24" s="174">
        <v>5</v>
      </c>
      <c r="Z24" s="174">
        <v>0</v>
      </c>
      <c r="AA24" s="174">
        <v>0</v>
      </c>
      <c r="AB24" s="224">
        <v>3.8</v>
      </c>
      <c r="AC24" s="26">
        <v>5</v>
      </c>
      <c r="AD24" s="26">
        <v>50</v>
      </c>
      <c r="AE24" s="176">
        <f t="shared" si="31"/>
        <v>2.5</v>
      </c>
      <c r="AF24" s="270">
        <f t="shared" si="23"/>
        <v>2.5</v>
      </c>
      <c r="AG24" s="270">
        <f t="shared" si="24"/>
        <v>7.5</v>
      </c>
      <c r="AH24" s="26" t="s">
        <v>1026</v>
      </c>
      <c r="AI24" s="326">
        <v>50</v>
      </c>
      <c r="AJ24" s="30">
        <v>1</v>
      </c>
      <c r="AK24" s="30">
        <v>50</v>
      </c>
      <c r="AL24" s="179">
        <f t="shared" si="35"/>
        <v>0.5</v>
      </c>
      <c r="AM24" s="235">
        <f t="shared" si="25"/>
        <v>0.5</v>
      </c>
      <c r="AN24" s="235">
        <f t="shared" si="26"/>
        <v>1.5</v>
      </c>
      <c r="AO24" s="30" t="s">
        <v>742</v>
      </c>
      <c r="AP24" s="32">
        <v>1</v>
      </c>
      <c r="AQ24" s="32" t="s">
        <v>843</v>
      </c>
      <c r="AR24" s="199">
        <f t="shared" si="10"/>
        <v>7.1999999999999993</v>
      </c>
      <c r="AS24" s="199">
        <f t="shared" si="11"/>
        <v>14.399999999999999</v>
      </c>
      <c r="AT24" s="199">
        <f t="shared" si="12"/>
        <v>21.599999999999998</v>
      </c>
      <c r="AU24" s="200">
        <v>3.125</v>
      </c>
      <c r="AV24" s="200">
        <v>4</v>
      </c>
      <c r="AW24" s="200">
        <v>4.875</v>
      </c>
      <c r="AX24" s="202">
        <f t="shared" si="27"/>
        <v>22.499999999999996</v>
      </c>
      <c r="AY24" s="202">
        <f t="shared" si="28"/>
        <v>57.599999999999994</v>
      </c>
      <c r="AZ24" s="202">
        <f t="shared" si="29"/>
        <v>105.29999999999998</v>
      </c>
      <c r="BA24" s="272">
        <f t="shared" si="13"/>
        <v>1.7000000000000002</v>
      </c>
      <c r="BB24" s="272">
        <f t="shared" si="14"/>
        <v>4.5</v>
      </c>
      <c r="BC24" s="272">
        <f t="shared" si="15"/>
        <v>6.2</v>
      </c>
      <c r="BD24" s="273">
        <f t="shared" si="16"/>
        <v>0.51</v>
      </c>
      <c r="BE24" s="273">
        <f t="shared" si="17"/>
        <v>1.35</v>
      </c>
      <c r="BF24" s="273">
        <f t="shared" si="18"/>
        <v>1.8599999999999999</v>
      </c>
      <c r="BG24" s="3" t="s">
        <v>932</v>
      </c>
    </row>
    <row r="25" spans="1:59" x14ac:dyDescent="0.25">
      <c r="A25" s="120">
        <v>1811</v>
      </c>
      <c r="B25" s="364"/>
      <c r="C25" s="80" t="s">
        <v>569</v>
      </c>
      <c r="D25" s="83" t="s">
        <v>473</v>
      </c>
      <c r="E25" s="356" t="s">
        <v>1021</v>
      </c>
      <c r="F25" s="11" t="s">
        <v>753</v>
      </c>
      <c r="G25" s="11">
        <v>12</v>
      </c>
      <c r="H25" s="189">
        <v>8766</v>
      </c>
      <c r="I25" s="11" t="s">
        <v>768</v>
      </c>
      <c r="J25" s="48">
        <v>3</v>
      </c>
      <c r="K25" s="48">
        <v>50</v>
      </c>
      <c r="L25" s="185">
        <f t="shared" si="33"/>
        <v>1.5</v>
      </c>
      <c r="M25" s="266">
        <f t="shared" si="19"/>
        <v>1.5</v>
      </c>
      <c r="N25" s="266">
        <f t="shared" si="20"/>
        <v>4.5</v>
      </c>
      <c r="O25" s="48" t="s">
        <v>832</v>
      </c>
      <c r="P25" s="93">
        <v>4</v>
      </c>
      <c r="Q25" s="93">
        <v>50</v>
      </c>
      <c r="R25" s="197">
        <f t="shared" si="34"/>
        <v>2</v>
      </c>
      <c r="S25" s="320">
        <f t="shared" si="21"/>
        <v>2</v>
      </c>
      <c r="T25" s="320">
        <f t="shared" si="22"/>
        <v>6</v>
      </c>
      <c r="U25" s="93" t="s">
        <v>921</v>
      </c>
      <c r="V25" s="174" t="s">
        <v>27</v>
      </c>
      <c r="W25" s="174" t="s">
        <v>33</v>
      </c>
      <c r="X25" s="174">
        <v>20</v>
      </c>
      <c r="Y25" s="174">
        <v>5</v>
      </c>
      <c r="Z25" s="174">
        <v>1</v>
      </c>
      <c r="AA25" s="174">
        <v>1</v>
      </c>
      <c r="AB25" s="224">
        <v>3.8</v>
      </c>
      <c r="AC25" s="26">
        <v>5</v>
      </c>
      <c r="AD25" s="26">
        <v>50</v>
      </c>
      <c r="AE25" s="176">
        <f t="shared" si="31"/>
        <v>2.5</v>
      </c>
      <c r="AF25" s="270">
        <f t="shared" si="23"/>
        <v>2.5</v>
      </c>
      <c r="AG25" s="270">
        <f t="shared" si="24"/>
        <v>7.5</v>
      </c>
      <c r="AH25" s="26" t="s">
        <v>1027</v>
      </c>
      <c r="AI25" s="326">
        <v>50</v>
      </c>
      <c r="AJ25" s="30">
        <v>1</v>
      </c>
      <c r="AK25" s="30">
        <v>50</v>
      </c>
      <c r="AL25" s="179">
        <f t="shared" si="35"/>
        <v>0.5</v>
      </c>
      <c r="AM25" s="235">
        <f t="shared" si="25"/>
        <v>0.5</v>
      </c>
      <c r="AN25" s="235">
        <f t="shared" si="26"/>
        <v>1.5</v>
      </c>
      <c r="AO25" s="30" t="s">
        <v>742</v>
      </c>
      <c r="AP25" s="32">
        <v>1</v>
      </c>
      <c r="AQ25" s="32" t="s">
        <v>843</v>
      </c>
      <c r="AR25" s="199">
        <f t="shared" si="10"/>
        <v>8.3999999999999986</v>
      </c>
      <c r="AS25" s="199">
        <f t="shared" si="11"/>
        <v>16.799999999999997</v>
      </c>
      <c r="AT25" s="199">
        <f t="shared" si="12"/>
        <v>25.199999999999996</v>
      </c>
      <c r="AU25" s="200">
        <v>2.1749999999999998</v>
      </c>
      <c r="AV25" s="200">
        <v>3</v>
      </c>
      <c r="AW25" s="200">
        <v>3.8250000000000002</v>
      </c>
      <c r="AX25" s="202">
        <f t="shared" si="27"/>
        <v>18.269999999999996</v>
      </c>
      <c r="AY25" s="202">
        <f t="shared" si="28"/>
        <v>50.399999999999991</v>
      </c>
      <c r="AZ25" s="202">
        <f t="shared" si="29"/>
        <v>96.389999999999986</v>
      </c>
      <c r="BA25" s="272">
        <f t="shared" si="13"/>
        <v>1.3</v>
      </c>
      <c r="BB25" s="272">
        <f t="shared" si="14"/>
        <v>4</v>
      </c>
      <c r="BC25" s="272">
        <f t="shared" si="15"/>
        <v>5.8</v>
      </c>
      <c r="BD25" s="273">
        <f t="shared" si="16"/>
        <v>0.39</v>
      </c>
      <c r="BE25" s="273">
        <f t="shared" si="17"/>
        <v>1.2000000000000002</v>
      </c>
      <c r="BF25" s="273">
        <f t="shared" si="18"/>
        <v>1.7399999999999998</v>
      </c>
      <c r="BG25" s="3" t="s">
        <v>932</v>
      </c>
    </row>
    <row r="26" spans="1:59" x14ac:dyDescent="0.25">
      <c r="A26" s="120">
        <v>1817</v>
      </c>
      <c r="B26" s="364"/>
      <c r="C26" s="80" t="s">
        <v>570</v>
      </c>
      <c r="D26" s="80" t="s">
        <v>474</v>
      </c>
      <c r="E26" s="347" t="s">
        <v>1020</v>
      </c>
      <c r="F26" s="11" t="s">
        <v>777</v>
      </c>
      <c r="G26" s="11">
        <v>9</v>
      </c>
      <c r="H26" s="189">
        <f>9*730.5</f>
        <v>6574.5</v>
      </c>
      <c r="I26" s="11" t="s">
        <v>774</v>
      </c>
      <c r="J26" s="48">
        <v>3</v>
      </c>
      <c r="K26" s="48">
        <v>50</v>
      </c>
      <c r="L26" s="185">
        <f t="shared" si="33"/>
        <v>1.5</v>
      </c>
      <c r="M26" s="266">
        <f t="shared" si="19"/>
        <v>1.5</v>
      </c>
      <c r="N26" s="266">
        <f t="shared" si="20"/>
        <v>4.5</v>
      </c>
      <c r="O26" s="48" t="s">
        <v>832</v>
      </c>
      <c r="P26" s="93">
        <v>3</v>
      </c>
      <c r="Q26" s="93">
        <v>50</v>
      </c>
      <c r="R26" s="197">
        <f t="shared" si="34"/>
        <v>1.5</v>
      </c>
      <c r="S26" s="320">
        <f t="shared" si="21"/>
        <v>1.5</v>
      </c>
      <c r="T26" s="320">
        <f t="shared" si="22"/>
        <v>4.5</v>
      </c>
      <c r="U26" s="93" t="s">
        <v>832</v>
      </c>
      <c r="V26" s="174" t="s">
        <v>27</v>
      </c>
      <c r="W26" s="174" t="s">
        <v>33</v>
      </c>
      <c r="X26" s="174">
        <v>21</v>
      </c>
      <c r="Y26" s="174">
        <v>8</v>
      </c>
      <c r="Z26" s="174">
        <v>0</v>
      </c>
      <c r="AA26" s="174">
        <v>0</v>
      </c>
      <c r="AB26" s="224">
        <v>0</v>
      </c>
      <c r="AC26" s="26">
        <v>5</v>
      </c>
      <c r="AD26" s="26">
        <v>50</v>
      </c>
      <c r="AE26" s="176">
        <f t="shared" si="31"/>
        <v>2.5</v>
      </c>
      <c r="AF26" s="270">
        <f t="shared" si="23"/>
        <v>2.5</v>
      </c>
      <c r="AG26" s="270">
        <f t="shared" si="24"/>
        <v>7.5</v>
      </c>
      <c r="AH26" s="26" t="s">
        <v>1028</v>
      </c>
      <c r="AI26" s="326">
        <v>50</v>
      </c>
      <c r="AJ26" s="30">
        <v>1</v>
      </c>
      <c r="AK26" s="30">
        <v>50</v>
      </c>
      <c r="AL26" s="179">
        <f t="shared" si="35"/>
        <v>0.5</v>
      </c>
      <c r="AM26" s="235">
        <f t="shared" si="25"/>
        <v>0.5</v>
      </c>
      <c r="AN26" s="235">
        <f t="shared" si="26"/>
        <v>1.5</v>
      </c>
      <c r="AO26" s="30" t="s">
        <v>742</v>
      </c>
      <c r="AP26" s="32">
        <v>1</v>
      </c>
      <c r="AQ26" s="32" t="s">
        <v>843</v>
      </c>
      <c r="AR26" s="199">
        <f t="shared" si="10"/>
        <v>5.3999999999999995</v>
      </c>
      <c r="AS26" s="199">
        <f t="shared" si="11"/>
        <v>10.799999999999999</v>
      </c>
      <c r="AT26" s="199">
        <f t="shared" si="12"/>
        <v>16.2</v>
      </c>
      <c r="AU26" s="200">
        <v>1.35</v>
      </c>
      <c r="AV26" s="200">
        <v>2.0625</v>
      </c>
      <c r="AW26" s="200">
        <v>2.7749999999999999</v>
      </c>
      <c r="AX26" s="202">
        <f t="shared" si="27"/>
        <v>7.29</v>
      </c>
      <c r="AY26" s="202">
        <f t="shared" si="28"/>
        <v>22.274999999999999</v>
      </c>
      <c r="AZ26" s="202">
        <f t="shared" si="29"/>
        <v>44.954999999999998</v>
      </c>
      <c r="BA26" s="272">
        <f t="shared" si="13"/>
        <v>0.3</v>
      </c>
      <c r="BB26" s="272">
        <f t="shared" si="14"/>
        <v>1.7000000000000002</v>
      </c>
      <c r="BC26" s="272">
        <f t="shared" si="15"/>
        <v>3.7</v>
      </c>
      <c r="BD26" s="273">
        <f t="shared" si="16"/>
        <v>0.09</v>
      </c>
      <c r="BE26" s="273">
        <f t="shared" si="17"/>
        <v>0.51</v>
      </c>
      <c r="BF26" s="273">
        <f t="shared" si="18"/>
        <v>1.1099999999999999</v>
      </c>
      <c r="BG26" s="3" t="s">
        <v>931</v>
      </c>
    </row>
    <row r="27" spans="1:59" x14ac:dyDescent="0.25">
      <c r="A27" s="358">
        <v>1816</v>
      </c>
      <c r="B27" s="364"/>
      <c r="C27" s="80" t="s">
        <v>36</v>
      </c>
      <c r="D27" s="80" t="s">
        <v>459</v>
      </c>
      <c r="E27" s="347" t="s">
        <v>1022</v>
      </c>
      <c r="F27" s="11" t="s">
        <v>765</v>
      </c>
      <c r="G27" s="11">
        <v>12</v>
      </c>
      <c r="H27" s="189">
        <v>8766</v>
      </c>
      <c r="I27" s="11" t="s">
        <v>761</v>
      </c>
      <c r="J27" s="48">
        <v>3</v>
      </c>
      <c r="K27" s="48">
        <v>25</v>
      </c>
      <c r="L27" s="185">
        <f t="shared" si="33"/>
        <v>0.75</v>
      </c>
      <c r="M27" s="266">
        <f t="shared" si="19"/>
        <v>2.25</v>
      </c>
      <c r="N27" s="266">
        <f t="shared" si="20"/>
        <v>3.75</v>
      </c>
      <c r="O27" s="48" t="s">
        <v>280</v>
      </c>
      <c r="P27" s="93">
        <v>3</v>
      </c>
      <c r="Q27" s="93">
        <v>25</v>
      </c>
      <c r="R27" s="197">
        <f t="shared" si="34"/>
        <v>0.75</v>
      </c>
      <c r="S27" s="320">
        <f t="shared" si="21"/>
        <v>2.25</v>
      </c>
      <c r="T27" s="320">
        <f t="shared" si="22"/>
        <v>3.75</v>
      </c>
      <c r="U27" s="93" t="s">
        <v>280</v>
      </c>
      <c r="V27" s="174" t="s">
        <v>27</v>
      </c>
      <c r="W27" s="174" t="s">
        <v>33</v>
      </c>
      <c r="X27" s="174">
        <v>17</v>
      </c>
      <c r="Y27" s="174">
        <v>8</v>
      </c>
      <c r="Z27" s="174">
        <v>0</v>
      </c>
      <c r="AA27" s="174">
        <v>0</v>
      </c>
      <c r="AB27" s="324" t="s">
        <v>726</v>
      </c>
      <c r="AC27" s="26">
        <v>5</v>
      </c>
      <c r="AD27" s="26">
        <v>10</v>
      </c>
      <c r="AE27" s="176">
        <f t="shared" si="31"/>
        <v>0.5</v>
      </c>
      <c r="AF27" s="270">
        <f t="shared" si="23"/>
        <v>4.5</v>
      </c>
      <c r="AG27" s="270">
        <f t="shared" si="24"/>
        <v>5.5</v>
      </c>
      <c r="AH27" s="26" t="s">
        <v>1029</v>
      </c>
      <c r="AI27" s="326">
        <v>50</v>
      </c>
      <c r="AJ27" s="30">
        <v>1</v>
      </c>
      <c r="AK27" s="30">
        <v>25</v>
      </c>
      <c r="AL27" s="179">
        <f t="shared" si="35"/>
        <v>0.25</v>
      </c>
      <c r="AM27" s="235">
        <f t="shared" si="25"/>
        <v>0.75</v>
      </c>
      <c r="AN27" s="235">
        <f t="shared" si="26"/>
        <v>1.25</v>
      </c>
      <c r="AO27" s="30" t="s">
        <v>742</v>
      </c>
      <c r="AP27" s="32">
        <v>1</v>
      </c>
      <c r="AQ27" s="32" t="s">
        <v>843</v>
      </c>
      <c r="AR27" s="199">
        <f t="shared" si="10"/>
        <v>9</v>
      </c>
      <c r="AS27" s="199">
        <f t="shared" si="11"/>
        <v>14.399999999999999</v>
      </c>
      <c r="AT27" s="199">
        <f t="shared" si="12"/>
        <v>20.454545454545453</v>
      </c>
      <c r="AU27" s="200">
        <v>1.9125000000000001</v>
      </c>
      <c r="AV27" s="200">
        <v>2.75</v>
      </c>
      <c r="AW27" s="200">
        <v>3.5874999999999999</v>
      </c>
      <c r="AX27" s="202">
        <f t="shared" si="27"/>
        <v>17.212500000000002</v>
      </c>
      <c r="AY27" s="202">
        <f t="shared" si="28"/>
        <v>39.599999999999994</v>
      </c>
      <c r="AZ27" s="202">
        <f t="shared" si="29"/>
        <v>73.380681818181813</v>
      </c>
      <c r="BA27" s="272">
        <f t="shared" si="13"/>
        <v>1.1000000000000001</v>
      </c>
      <c r="BB27" s="272">
        <f t="shared" si="14"/>
        <v>3.3000000000000003</v>
      </c>
      <c r="BC27" s="272">
        <f t="shared" si="15"/>
        <v>5.2</v>
      </c>
      <c r="BD27" s="273">
        <f t="shared" si="16"/>
        <v>0.33</v>
      </c>
      <c r="BE27" s="273">
        <f t="shared" si="17"/>
        <v>0.99</v>
      </c>
      <c r="BF27" s="273">
        <f t="shared" si="18"/>
        <v>1.56</v>
      </c>
      <c r="BG27" s="3" t="s">
        <v>931</v>
      </c>
    </row>
    <row r="28" spans="1:59" s="88" customFormat="1" x14ac:dyDescent="0.25">
      <c r="A28" s="120">
        <v>1830</v>
      </c>
      <c r="B28" s="364"/>
      <c r="C28" s="80" t="s">
        <v>293</v>
      </c>
      <c r="D28" s="80" t="s">
        <v>475</v>
      </c>
      <c r="E28" s="142" t="s">
        <v>299</v>
      </c>
      <c r="F28" s="11" t="s">
        <v>753</v>
      </c>
      <c r="G28" s="11">
        <v>12</v>
      </c>
      <c r="H28" s="189">
        <v>8766</v>
      </c>
      <c r="I28" s="11" t="s">
        <v>768</v>
      </c>
      <c r="J28" s="48">
        <v>3</v>
      </c>
      <c r="K28" s="48">
        <v>50</v>
      </c>
      <c r="L28" s="185">
        <f t="shared" si="33"/>
        <v>1.5</v>
      </c>
      <c r="M28" s="266">
        <f t="shared" si="19"/>
        <v>1.5</v>
      </c>
      <c r="N28" s="266">
        <f t="shared" si="20"/>
        <v>4.5</v>
      </c>
      <c r="O28" s="48" t="s">
        <v>809</v>
      </c>
      <c r="P28" s="93">
        <v>3</v>
      </c>
      <c r="Q28" s="93">
        <v>50</v>
      </c>
      <c r="R28" s="197">
        <f t="shared" si="34"/>
        <v>1.5</v>
      </c>
      <c r="S28" s="320">
        <f t="shared" si="21"/>
        <v>1.5</v>
      </c>
      <c r="T28" s="320">
        <f t="shared" si="22"/>
        <v>4.5</v>
      </c>
      <c r="U28" s="93" t="s">
        <v>809</v>
      </c>
      <c r="V28" s="174" t="s">
        <v>27</v>
      </c>
      <c r="W28" s="174" t="s">
        <v>33</v>
      </c>
      <c r="X28" s="174">
        <v>19</v>
      </c>
      <c r="Y28" s="174">
        <v>9</v>
      </c>
      <c r="Z28" s="174">
        <v>0</v>
      </c>
      <c r="AA28" s="174">
        <v>0</v>
      </c>
      <c r="AB28" s="224">
        <v>0</v>
      </c>
      <c r="AC28" s="26">
        <v>5</v>
      </c>
      <c r="AD28" s="26">
        <v>50</v>
      </c>
      <c r="AE28" s="176">
        <f t="shared" si="31"/>
        <v>2.5</v>
      </c>
      <c r="AF28" s="270">
        <f t="shared" si="23"/>
        <v>2.5</v>
      </c>
      <c r="AG28" s="270">
        <f t="shared" si="24"/>
        <v>7.5</v>
      </c>
      <c r="AH28" s="26" t="s">
        <v>1026</v>
      </c>
      <c r="AI28" s="326">
        <v>50</v>
      </c>
      <c r="AJ28" s="30">
        <v>1</v>
      </c>
      <c r="AK28" s="30">
        <v>50</v>
      </c>
      <c r="AL28" s="179">
        <f t="shared" si="35"/>
        <v>0.5</v>
      </c>
      <c r="AM28" s="235">
        <f t="shared" si="25"/>
        <v>0.5</v>
      </c>
      <c r="AN28" s="235">
        <f t="shared" si="26"/>
        <v>1.5</v>
      </c>
      <c r="AO28" s="30" t="s">
        <v>742</v>
      </c>
      <c r="AP28" s="32">
        <v>1</v>
      </c>
      <c r="AQ28" s="32" t="s">
        <v>843</v>
      </c>
      <c r="AR28" s="199">
        <f t="shared" si="10"/>
        <v>7.1999999999999993</v>
      </c>
      <c r="AS28" s="199">
        <f t="shared" si="11"/>
        <v>14.399999999999999</v>
      </c>
      <c r="AT28" s="199">
        <f t="shared" si="12"/>
        <v>21.599999999999998</v>
      </c>
      <c r="AU28" s="200">
        <v>2.9</v>
      </c>
      <c r="AV28" s="200">
        <v>3.75</v>
      </c>
      <c r="AW28" s="200">
        <v>4.5999999999999996</v>
      </c>
      <c r="AX28" s="202">
        <f t="shared" si="27"/>
        <v>20.88</v>
      </c>
      <c r="AY28" s="202">
        <f t="shared" si="28"/>
        <v>53.999999999999993</v>
      </c>
      <c r="AZ28" s="202">
        <f t="shared" si="29"/>
        <v>99.359999999999985</v>
      </c>
      <c r="BA28" s="272">
        <f t="shared" si="13"/>
        <v>1.5</v>
      </c>
      <c r="BB28" s="272">
        <f t="shared" si="14"/>
        <v>4.3</v>
      </c>
      <c r="BC28" s="272">
        <f t="shared" si="15"/>
        <v>5.8999999999999995</v>
      </c>
      <c r="BD28" s="273">
        <f t="shared" si="16"/>
        <v>0.44999999999999996</v>
      </c>
      <c r="BE28" s="273">
        <f t="shared" si="17"/>
        <v>1.29</v>
      </c>
      <c r="BF28" s="273">
        <f t="shared" si="18"/>
        <v>1.77</v>
      </c>
      <c r="BG28" s="3" t="s">
        <v>932</v>
      </c>
    </row>
    <row r="29" spans="1:59" x14ac:dyDescent="0.25">
      <c r="A29" s="358">
        <v>1719</v>
      </c>
      <c r="B29" s="364"/>
      <c r="C29" s="80" t="s">
        <v>37</v>
      </c>
      <c r="D29" s="80" t="s">
        <v>476</v>
      </c>
      <c r="E29" s="347" t="s">
        <v>1018</v>
      </c>
      <c r="F29" s="11" t="s">
        <v>753</v>
      </c>
      <c r="G29" s="11">
        <v>12</v>
      </c>
      <c r="H29" s="189">
        <v>8766</v>
      </c>
      <c r="I29" s="11" t="s">
        <v>769</v>
      </c>
      <c r="J29" s="48">
        <v>4</v>
      </c>
      <c r="K29" s="48">
        <v>25</v>
      </c>
      <c r="L29" s="185">
        <f t="shared" si="33"/>
        <v>1</v>
      </c>
      <c r="M29" s="266">
        <f t="shared" si="19"/>
        <v>3</v>
      </c>
      <c r="N29" s="266">
        <f t="shared" si="20"/>
        <v>5</v>
      </c>
      <c r="O29" s="48" t="s">
        <v>841</v>
      </c>
      <c r="P29" s="93">
        <v>2</v>
      </c>
      <c r="Q29" s="93">
        <v>25</v>
      </c>
      <c r="R29" s="197">
        <f t="shared" si="34"/>
        <v>0.5</v>
      </c>
      <c r="S29" s="320">
        <f t="shared" si="21"/>
        <v>1.5</v>
      </c>
      <c r="T29" s="320">
        <f t="shared" si="22"/>
        <v>2.5</v>
      </c>
      <c r="U29" s="93" t="s">
        <v>841</v>
      </c>
      <c r="V29" s="174" t="s">
        <v>27</v>
      </c>
      <c r="W29" s="174" t="s">
        <v>33</v>
      </c>
      <c r="X29" s="174">
        <v>15</v>
      </c>
      <c r="Y29" s="174">
        <v>4</v>
      </c>
      <c r="Z29" s="174">
        <v>0</v>
      </c>
      <c r="AA29" s="174">
        <v>0</v>
      </c>
      <c r="AB29" s="224" t="s">
        <v>713</v>
      </c>
      <c r="AC29" s="26">
        <v>5</v>
      </c>
      <c r="AD29" s="26">
        <v>10</v>
      </c>
      <c r="AE29" s="176">
        <f t="shared" si="31"/>
        <v>0.5</v>
      </c>
      <c r="AF29" s="270">
        <f t="shared" si="23"/>
        <v>4.5</v>
      </c>
      <c r="AG29" s="270">
        <f t="shared" si="24"/>
        <v>5.5</v>
      </c>
      <c r="AH29" s="26" t="s">
        <v>1030</v>
      </c>
      <c r="AI29" s="326">
        <v>50</v>
      </c>
      <c r="AJ29" s="30">
        <v>1</v>
      </c>
      <c r="AK29" s="30">
        <v>25</v>
      </c>
      <c r="AL29" s="179">
        <f t="shared" si="35"/>
        <v>0.25</v>
      </c>
      <c r="AM29" s="235">
        <f t="shared" si="25"/>
        <v>0.75</v>
      </c>
      <c r="AN29" s="235">
        <f t="shared" si="26"/>
        <v>1.25</v>
      </c>
      <c r="AO29" s="30" t="s">
        <v>742</v>
      </c>
      <c r="AP29" s="32">
        <v>1</v>
      </c>
      <c r="AQ29" s="32" t="s">
        <v>842</v>
      </c>
      <c r="AR29" s="199">
        <f t="shared" si="10"/>
        <v>9</v>
      </c>
      <c r="AS29" s="199">
        <f t="shared" si="11"/>
        <v>14.399999999999999</v>
      </c>
      <c r="AT29" s="199">
        <f t="shared" si="12"/>
        <v>20.454545454545453</v>
      </c>
      <c r="AU29" s="200">
        <v>2.0375000000000001</v>
      </c>
      <c r="AV29" s="200">
        <v>2.3125</v>
      </c>
      <c r="AW29" s="200">
        <v>2.5874999999999999</v>
      </c>
      <c r="AX29" s="202">
        <f t="shared" si="27"/>
        <v>18.337500000000002</v>
      </c>
      <c r="AY29" s="202">
        <f t="shared" si="28"/>
        <v>33.299999999999997</v>
      </c>
      <c r="AZ29" s="202">
        <f t="shared" si="29"/>
        <v>52.92613636363636</v>
      </c>
      <c r="BA29" s="272">
        <f t="shared" si="13"/>
        <v>1.3</v>
      </c>
      <c r="BB29" s="272">
        <f t="shared" si="14"/>
        <v>2.7</v>
      </c>
      <c r="BC29" s="272">
        <f t="shared" si="15"/>
        <v>4.2</v>
      </c>
      <c r="BD29" s="273">
        <f t="shared" si="16"/>
        <v>0.39</v>
      </c>
      <c r="BE29" s="273">
        <f t="shared" si="17"/>
        <v>0.81</v>
      </c>
      <c r="BF29" s="273">
        <f t="shared" si="18"/>
        <v>1.26</v>
      </c>
      <c r="BG29" s="3" t="s">
        <v>931</v>
      </c>
    </row>
    <row r="30" spans="1:59" s="88" customFormat="1" x14ac:dyDescent="0.25">
      <c r="A30" s="120">
        <v>1763</v>
      </c>
      <c r="B30" s="364"/>
      <c r="C30" s="80" t="s">
        <v>291</v>
      </c>
      <c r="D30" s="83" t="s">
        <v>477</v>
      </c>
      <c r="E30" s="343" t="s">
        <v>300</v>
      </c>
      <c r="F30" s="11" t="s">
        <v>776</v>
      </c>
      <c r="G30" s="11">
        <v>6</v>
      </c>
      <c r="H30" s="189">
        <f>6*730.5</f>
        <v>4383</v>
      </c>
      <c r="I30" s="11" t="s">
        <v>768</v>
      </c>
      <c r="J30" s="48">
        <v>3</v>
      </c>
      <c r="K30" s="48">
        <v>50</v>
      </c>
      <c r="L30" s="185">
        <f t="shared" si="33"/>
        <v>1.5</v>
      </c>
      <c r="M30" s="266">
        <f t="shared" si="19"/>
        <v>1.5</v>
      </c>
      <c r="N30" s="266">
        <f t="shared" si="20"/>
        <v>4.5</v>
      </c>
      <c r="O30" s="48" t="s">
        <v>929</v>
      </c>
      <c r="P30" s="93">
        <v>5</v>
      </c>
      <c r="Q30" s="93">
        <v>50</v>
      </c>
      <c r="R30" s="197">
        <f t="shared" si="34"/>
        <v>2.5</v>
      </c>
      <c r="S30" s="320">
        <f t="shared" si="21"/>
        <v>2.5</v>
      </c>
      <c r="T30" s="320">
        <f t="shared" si="22"/>
        <v>7.5</v>
      </c>
      <c r="U30" s="93" t="s">
        <v>506</v>
      </c>
      <c r="V30" s="174" t="s">
        <v>27</v>
      </c>
      <c r="W30" s="174" t="s">
        <v>33</v>
      </c>
      <c r="X30" s="174">
        <v>20</v>
      </c>
      <c r="Y30" s="174">
        <v>2</v>
      </c>
      <c r="Z30" s="96"/>
      <c r="AA30" s="96"/>
      <c r="AB30" s="224">
        <v>3.8</v>
      </c>
      <c r="AC30" s="26">
        <v>5</v>
      </c>
      <c r="AD30" s="26">
        <v>50</v>
      </c>
      <c r="AE30" s="176">
        <f t="shared" si="31"/>
        <v>2.5</v>
      </c>
      <c r="AF30" s="270">
        <f t="shared" si="23"/>
        <v>2.5</v>
      </c>
      <c r="AG30" s="270">
        <f t="shared" si="24"/>
        <v>7.5</v>
      </c>
      <c r="AH30" s="26" t="s">
        <v>1031</v>
      </c>
      <c r="AI30" s="326">
        <v>50</v>
      </c>
      <c r="AJ30" s="30">
        <v>1</v>
      </c>
      <c r="AK30" s="30">
        <v>50</v>
      </c>
      <c r="AL30" s="179">
        <f t="shared" si="35"/>
        <v>0.5</v>
      </c>
      <c r="AM30" s="235">
        <f t="shared" si="25"/>
        <v>0.5</v>
      </c>
      <c r="AN30" s="235">
        <f t="shared" si="26"/>
        <v>1.5</v>
      </c>
      <c r="AO30" s="30" t="s">
        <v>742</v>
      </c>
      <c r="AP30" s="32">
        <v>1</v>
      </c>
      <c r="AQ30" s="32" t="s">
        <v>845</v>
      </c>
      <c r="AR30" s="199">
        <f t="shared" si="10"/>
        <v>4.8000000000000007</v>
      </c>
      <c r="AS30" s="199">
        <f t="shared" si="11"/>
        <v>9.6000000000000014</v>
      </c>
      <c r="AT30" s="199">
        <f t="shared" si="12"/>
        <v>14.400000000000002</v>
      </c>
      <c r="AU30" s="200">
        <v>3.1875</v>
      </c>
      <c r="AV30" s="200">
        <v>4</v>
      </c>
      <c r="AW30" s="200">
        <v>4.8125</v>
      </c>
      <c r="AX30" s="202">
        <f t="shared" si="27"/>
        <v>15.300000000000002</v>
      </c>
      <c r="AY30" s="202">
        <f t="shared" si="28"/>
        <v>38.400000000000006</v>
      </c>
      <c r="AZ30" s="202">
        <f t="shared" si="29"/>
        <v>69.300000000000011</v>
      </c>
      <c r="BA30" s="272">
        <f t="shared" si="13"/>
        <v>1</v>
      </c>
      <c r="BB30" s="272">
        <f t="shared" si="14"/>
        <v>3.2</v>
      </c>
      <c r="BC30" s="272">
        <f t="shared" si="15"/>
        <v>5</v>
      </c>
      <c r="BD30" s="273">
        <f t="shared" si="16"/>
        <v>0.30000000000000004</v>
      </c>
      <c r="BE30" s="273">
        <f t="shared" si="17"/>
        <v>0.96</v>
      </c>
      <c r="BF30" s="273">
        <f t="shared" si="18"/>
        <v>1.5</v>
      </c>
      <c r="BG30" s="3" t="s">
        <v>931</v>
      </c>
    </row>
    <row r="31" spans="1:59" s="88" customFormat="1" x14ac:dyDescent="0.25">
      <c r="A31" s="120">
        <v>1769</v>
      </c>
      <c r="B31" s="364"/>
      <c r="C31" s="80" t="s">
        <v>287</v>
      </c>
      <c r="D31" s="80" t="s">
        <v>478</v>
      </c>
      <c r="E31" s="142" t="s">
        <v>302</v>
      </c>
      <c r="F31" s="11" t="s">
        <v>759</v>
      </c>
      <c r="G31" s="11">
        <v>11</v>
      </c>
      <c r="H31" s="189">
        <f>11*730.5</f>
        <v>8035.5</v>
      </c>
      <c r="I31" s="11" t="s">
        <v>844</v>
      </c>
      <c r="J31" s="48">
        <v>4</v>
      </c>
      <c r="K31" s="48">
        <v>50</v>
      </c>
      <c r="L31" s="185">
        <f t="shared" si="33"/>
        <v>2</v>
      </c>
      <c r="M31" s="266">
        <f t="shared" si="19"/>
        <v>2</v>
      </c>
      <c r="N31" s="266">
        <f t="shared" si="20"/>
        <v>6</v>
      </c>
      <c r="O31" s="48" t="s">
        <v>1061</v>
      </c>
      <c r="P31" s="93">
        <v>5</v>
      </c>
      <c r="Q31" s="93">
        <v>50</v>
      </c>
      <c r="R31" s="197">
        <f t="shared" si="34"/>
        <v>2.5</v>
      </c>
      <c r="S31" s="320">
        <f t="shared" si="21"/>
        <v>2.5</v>
      </c>
      <c r="T31" s="320">
        <f t="shared" si="22"/>
        <v>7.5</v>
      </c>
      <c r="U31" s="93" t="s">
        <v>921</v>
      </c>
      <c r="V31" s="174" t="s">
        <v>27</v>
      </c>
      <c r="W31" s="174" t="s">
        <v>33</v>
      </c>
      <c r="X31" s="174">
        <v>18</v>
      </c>
      <c r="Y31" s="174">
        <v>7</v>
      </c>
      <c r="Z31" s="174">
        <v>0</v>
      </c>
      <c r="AA31" s="174">
        <v>0</v>
      </c>
      <c r="AB31" s="224">
        <v>0</v>
      </c>
      <c r="AC31" s="26">
        <v>5</v>
      </c>
      <c r="AD31" s="26">
        <v>50</v>
      </c>
      <c r="AE31" s="176">
        <f t="shared" si="31"/>
        <v>2.5</v>
      </c>
      <c r="AF31" s="270">
        <f t="shared" si="23"/>
        <v>2.5</v>
      </c>
      <c r="AG31" s="270">
        <f t="shared" si="24"/>
        <v>7.5</v>
      </c>
      <c r="AH31" s="26" t="s">
        <v>1031</v>
      </c>
      <c r="AI31" s="326">
        <v>50</v>
      </c>
      <c r="AJ31" s="30">
        <v>1</v>
      </c>
      <c r="AK31" s="30">
        <v>50</v>
      </c>
      <c r="AL31" s="179">
        <f t="shared" si="35"/>
        <v>0.5</v>
      </c>
      <c r="AM31" s="235">
        <f t="shared" si="25"/>
        <v>0.5</v>
      </c>
      <c r="AN31" s="235">
        <f t="shared" si="26"/>
        <v>1.5</v>
      </c>
      <c r="AO31" s="30" t="s">
        <v>742</v>
      </c>
      <c r="AP31" s="32">
        <v>1</v>
      </c>
      <c r="AQ31" s="32" t="s">
        <v>845</v>
      </c>
      <c r="AR31" s="199">
        <f t="shared" si="10"/>
        <v>9.9</v>
      </c>
      <c r="AS31" s="199">
        <f t="shared" si="11"/>
        <v>19.8</v>
      </c>
      <c r="AT31" s="199">
        <f t="shared" si="12"/>
        <v>29.700000000000003</v>
      </c>
      <c r="AU31" s="200">
        <v>2.75</v>
      </c>
      <c r="AV31" s="200">
        <v>3.75</v>
      </c>
      <c r="AW31" s="200">
        <v>4.75</v>
      </c>
      <c r="AX31" s="202">
        <f t="shared" si="27"/>
        <v>27.225000000000001</v>
      </c>
      <c r="AY31" s="202">
        <f t="shared" si="28"/>
        <v>74.25</v>
      </c>
      <c r="AZ31" s="202">
        <f t="shared" si="29"/>
        <v>141.07500000000002</v>
      </c>
      <c r="BA31" s="272">
        <f t="shared" si="13"/>
        <v>2.2000000000000002</v>
      </c>
      <c r="BB31" s="272">
        <f t="shared" si="14"/>
        <v>5.2</v>
      </c>
      <c r="BC31" s="272">
        <f t="shared" si="15"/>
        <v>6.8000000000000007</v>
      </c>
      <c r="BD31" s="273">
        <f t="shared" si="16"/>
        <v>0.66</v>
      </c>
      <c r="BE31" s="273">
        <f t="shared" si="17"/>
        <v>1.56</v>
      </c>
      <c r="BF31" s="273">
        <f t="shared" si="18"/>
        <v>2.04</v>
      </c>
      <c r="BG31" s="3" t="s">
        <v>932</v>
      </c>
    </row>
    <row r="32" spans="1:59" x14ac:dyDescent="0.25">
      <c r="A32" s="120">
        <v>1755</v>
      </c>
      <c r="B32" s="364"/>
      <c r="C32" s="80" t="s">
        <v>261</v>
      </c>
      <c r="D32" s="80" t="s">
        <v>479</v>
      </c>
      <c r="E32" s="142" t="s">
        <v>39</v>
      </c>
      <c r="F32" s="11" t="s">
        <v>775</v>
      </c>
      <c r="G32" s="11">
        <v>5</v>
      </c>
      <c r="H32" s="189">
        <f>5*730.5</f>
        <v>3652.5</v>
      </c>
      <c r="I32" s="11" t="s">
        <v>844</v>
      </c>
      <c r="J32" s="48">
        <v>3</v>
      </c>
      <c r="K32" s="48">
        <v>50</v>
      </c>
      <c r="L32" s="185">
        <f t="shared" si="33"/>
        <v>1.5</v>
      </c>
      <c r="M32" s="266">
        <f t="shared" si="19"/>
        <v>1.5</v>
      </c>
      <c r="N32" s="266">
        <f t="shared" si="20"/>
        <v>4.5</v>
      </c>
      <c r="O32" s="48" t="s">
        <v>506</v>
      </c>
      <c r="P32" s="93">
        <v>5</v>
      </c>
      <c r="Q32" s="93">
        <v>50</v>
      </c>
      <c r="R32" s="197">
        <f t="shared" si="34"/>
        <v>2.5</v>
      </c>
      <c r="S32" s="320">
        <f t="shared" si="21"/>
        <v>2.5</v>
      </c>
      <c r="T32" s="320">
        <f t="shared" si="22"/>
        <v>7.5</v>
      </c>
      <c r="U32" s="93" t="s">
        <v>506</v>
      </c>
      <c r="V32" s="174" t="s">
        <v>27</v>
      </c>
      <c r="W32" s="174" t="s">
        <v>33</v>
      </c>
      <c r="X32" s="174">
        <v>21</v>
      </c>
      <c r="Y32" s="174">
        <v>7</v>
      </c>
      <c r="Z32" s="174">
        <v>0</v>
      </c>
      <c r="AA32" s="174">
        <v>0</v>
      </c>
      <c r="AB32" s="224">
        <v>0</v>
      </c>
      <c r="AC32" s="26">
        <v>5</v>
      </c>
      <c r="AD32" s="26">
        <v>50</v>
      </c>
      <c r="AE32" s="176">
        <f t="shared" si="31"/>
        <v>2.5</v>
      </c>
      <c r="AF32" s="270">
        <f t="shared" si="23"/>
        <v>2.5</v>
      </c>
      <c r="AG32" s="270">
        <f t="shared" si="24"/>
        <v>7.5</v>
      </c>
      <c r="AH32" s="26" t="s">
        <v>1032</v>
      </c>
      <c r="AI32" s="326">
        <v>50</v>
      </c>
      <c r="AJ32" s="30">
        <v>1</v>
      </c>
      <c r="AK32" s="30">
        <v>50</v>
      </c>
      <c r="AL32" s="179">
        <f t="shared" si="35"/>
        <v>0.5</v>
      </c>
      <c r="AM32" s="235">
        <f t="shared" si="25"/>
        <v>0.5</v>
      </c>
      <c r="AN32" s="235">
        <f t="shared" si="26"/>
        <v>1.5</v>
      </c>
      <c r="AO32" s="30" t="s">
        <v>742</v>
      </c>
      <c r="AP32" s="32">
        <v>1</v>
      </c>
      <c r="AQ32" s="32" t="s">
        <v>845</v>
      </c>
      <c r="AR32" s="199">
        <f t="shared" si="10"/>
        <v>4</v>
      </c>
      <c r="AS32" s="199">
        <f t="shared" si="11"/>
        <v>8</v>
      </c>
      <c r="AT32" s="199">
        <f t="shared" si="12"/>
        <v>12</v>
      </c>
      <c r="AU32" s="200">
        <v>1.95</v>
      </c>
      <c r="AV32" s="200">
        <v>2.75</v>
      </c>
      <c r="AW32" s="200">
        <v>3.55</v>
      </c>
      <c r="AX32" s="202">
        <f t="shared" si="27"/>
        <v>7.8</v>
      </c>
      <c r="AY32" s="202">
        <f t="shared" si="28"/>
        <v>22</v>
      </c>
      <c r="AZ32" s="202">
        <f t="shared" si="29"/>
        <v>42.599999999999994</v>
      </c>
      <c r="BA32" s="272">
        <f t="shared" si="13"/>
        <v>0.3</v>
      </c>
      <c r="BB32" s="272">
        <f t="shared" si="14"/>
        <v>1.6</v>
      </c>
      <c r="BC32" s="272">
        <f t="shared" si="15"/>
        <v>3.5</v>
      </c>
      <c r="BD32" s="273">
        <f t="shared" si="16"/>
        <v>0.09</v>
      </c>
      <c r="BE32" s="273">
        <f t="shared" si="17"/>
        <v>0.48</v>
      </c>
      <c r="BF32" s="273">
        <f t="shared" si="18"/>
        <v>1.0499999999999998</v>
      </c>
      <c r="BG32" s="3" t="s">
        <v>931</v>
      </c>
    </row>
    <row r="33" spans="1:59" x14ac:dyDescent="0.25">
      <c r="A33" s="89">
        <v>1897</v>
      </c>
      <c r="B33" s="364"/>
      <c r="C33" s="80" t="s">
        <v>40</v>
      </c>
      <c r="D33" s="80" t="s">
        <v>433</v>
      </c>
      <c r="E33" s="347" t="s">
        <v>1016</v>
      </c>
      <c r="F33" s="11" t="s">
        <v>754</v>
      </c>
      <c r="G33" s="11">
        <v>11</v>
      </c>
      <c r="H33" s="189">
        <f>11*730.5</f>
        <v>8035.5</v>
      </c>
      <c r="I33" s="11" t="s">
        <v>768</v>
      </c>
      <c r="J33" s="48">
        <v>4</v>
      </c>
      <c r="K33" s="48">
        <v>50</v>
      </c>
      <c r="L33" s="185">
        <f t="shared" si="33"/>
        <v>2</v>
      </c>
      <c r="M33" s="266">
        <f t="shared" si="19"/>
        <v>2</v>
      </c>
      <c r="N33" s="266">
        <f t="shared" si="20"/>
        <v>6</v>
      </c>
      <c r="O33" s="48" t="s">
        <v>810</v>
      </c>
      <c r="P33" s="93">
        <v>3</v>
      </c>
      <c r="Q33" s="93">
        <v>50</v>
      </c>
      <c r="R33" s="197">
        <f t="shared" si="34"/>
        <v>1.5</v>
      </c>
      <c r="S33" s="320">
        <f t="shared" si="21"/>
        <v>1.5</v>
      </c>
      <c r="T33" s="320">
        <f t="shared" si="22"/>
        <v>4.5</v>
      </c>
      <c r="U33" s="93" t="s">
        <v>810</v>
      </c>
      <c r="V33" s="174" t="s">
        <v>41</v>
      </c>
      <c r="W33" s="174" t="s">
        <v>42</v>
      </c>
      <c r="X33" s="174">
        <v>10</v>
      </c>
      <c r="Y33" s="174">
        <v>12</v>
      </c>
      <c r="Z33" s="174">
        <v>0</v>
      </c>
      <c r="AA33" s="174">
        <v>0</v>
      </c>
      <c r="AB33" s="224">
        <v>0.1</v>
      </c>
      <c r="AC33" s="26">
        <v>5</v>
      </c>
      <c r="AD33" s="26">
        <v>50</v>
      </c>
      <c r="AE33" s="176">
        <f t="shared" si="31"/>
        <v>2.5</v>
      </c>
      <c r="AF33" s="270">
        <f t="shared" si="23"/>
        <v>2.5</v>
      </c>
      <c r="AG33" s="270">
        <f t="shared" si="24"/>
        <v>7.5</v>
      </c>
      <c r="AH33" s="26" t="s">
        <v>1033</v>
      </c>
      <c r="AI33" s="326">
        <v>50</v>
      </c>
      <c r="AJ33" s="30">
        <v>1</v>
      </c>
      <c r="AK33" s="30">
        <v>50</v>
      </c>
      <c r="AL33" s="179">
        <f t="shared" si="35"/>
        <v>0.5</v>
      </c>
      <c r="AM33" s="235">
        <f t="shared" si="25"/>
        <v>0.5</v>
      </c>
      <c r="AN33" s="235">
        <f t="shared" si="26"/>
        <v>1.5</v>
      </c>
      <c r="AO33" s="30" t="s">
        <v>742</v>
      </c>
      <c r="AP33" s="32">
        <v>1</v>
      </c>
      <c r="AQ33" s="32" t="s">
        <v>898</v>
      </c>
      <c r="AR33" s="199">
        <f t="shared" si="10"/>
        <v>7.6999999999999993</v>
      </c>
      <c r="AS33" s="199">
        <f t="shared" si="11"/>
        <v>15.399999999999999</v>
      </c>
      <c r="AT33" s="199">
        <f t="shared" si="12"/>
        <v>23.099999999999998</v>
      </c>
      <c r="AU33" s="200">
        <v>3.5625</v>
      </c>
      <c r="AV33" s="200">
        <v>4.5</v>
      </c>
      <c r="AW33" s="200">
        <v>5.4375</v>
      </c>
      <c r="AX33" s="202">
        <f t="shared" si="27"/>
        <v>27.431249999999999</v>
      </c>
      <c r="AY33" s="202">
        <f t="shared" si="28"/>
        <v>69.3</v>
      </c>
      <c r="AZ33" s="202">
        <f t="shared" si="29"/>
        <v>125.60624999999999</v>
      </c>
      <c r="BA33" s="272">
        <f t="shared" si="13"/>
        <v>2.2000000000000002</v>
      </c>
      <c r="BB33" s="272">
        <f t="shared" si="14"/>
        <v>5</v>
      </c>
      <c r="BC33" s="272">
        <f t="shared" si="15"/>
        <v>6.5</v>
      </c>
      <c r="BD33" s="273">
        <f t="shared" si="16"/>
        <v>0.66</v>
      </c>
      <c r="BE33" s="273">
        <f t="shared" si="17"/>
        <v>1.5</v>
      </c>
      <c r="BF33" s="273">
        <f t="shared" si="18"/>
        <v>1.9500000000000002</v>
      </c>
      <c r="BG33" s="3" t="s">
        <v>932</v>
      </c>
    </row>
    <row r="34" spans="1:59" x14ac:dyDescent="0.25">
      <c r="A34" s="120">
        <v>1905</v>
      </c>
      <c r="B34" s="364"/>
      <c r="C34" s="80" t="s">
        <v>44</v>
      </c>
      <c r="D34" s="80" t="s">
        <v>434</v>
      </c>
      <c r="E34" s="347" t="s">
        <v>1015</v>
      </c>
      <c r="F34" s="11" t="s">
        <v>778</v>
      </c>
      <c r="G34" s="11">
        <v>11</v>
      </c>
      <c r="H34" s="189">
        <f>11*730.5</f>
        <v>8035.5</v>
      </c>
      <c r="I34" s="11" t="s">
        <v>768</v>
      </c>
      <c r="J34" s="48">
        <v>4</v>
      </c>
      <c r="K34" s="48">
        <v>50</v>
      </c>
      <c r="L34" s="185">
        <f t="shared" si="33"/>
        <v>2</v>
      </c>
      <c r="M34" s="266">
        <f t="shared" si="19"/>
        <v>2</v>
      </c>
      <c r="N34" s="266">
        <f t="shared" si="20"/>
        <v>6</v>
      </c>
      <c r="O34" s="48" t="s">
        <v>833</v>
      </c>
      <c r="P34" s="93">
        <v>3</v>
      </c>
      <c r="Q34" s="93">
        <v>50</v>
      </c>
      <c r="R34" s="197">
        <f t="shared" si="34"/>
        <v>1.5</v>
      </c>
      <c r="S34" s="320">
        <f t="shared" si="21"/>
        <v>1.5</v>
      </c>
      <c r="T34" s="320">
        <f t="shared" si="22"/>
        <v>4.5</v>
      </c>
      <c r="U34" s="93" t="s">
        <v>833</v>
      </c>
      <c r="V34" s="174" t="s">
        <v>41</v>
      </c>
      <c r="W34" s="174" t="s">
        <v>42</v>
      </c>
      <c r="X34" s="174">
        <v>10</v>
      </c>
      <c r="Y34" s="174">
        <v>12</v>
      </c>
      <c r="Z34" s="174">
        <v>0</v>
      </c>
      <c r="AA34" s="174">
        <v>0</v>
      </c>
      <c r="AB34" s="224">
        <v>0.1</v>
      </c>
      <c r="AC34" s="26">
        <v>5</v>
      </c>
      <c r="AD34" s="26">
        <v>50</v>
      </c>
      <c r="AE34" s="176">
        <f t="shared" si="31"/>
        <v>2.5</v>
      </c>
      <c r="AF34" s="270">
        <f t="shared" si="23"/>
        <v>2.5</v>
      </c>
      <c r="AG34" s="270">
        <f t="shared" si="24"/>
        <v>7.5</v>
      </c>
      <c r="AH34" s="26" t="s">
        <v>1034</v>
      </c>
      <c r="AI34" s="326">
        <v>50</v>
      </c>
      <c r="AJ34" s="30">
        <v>1</v>
      </c>
      <c r="AK34" s="30">
        <v>50</v>
      </c>
      <c r="AL34" s="179">
        <f t="shared" si="35"/>
        <v>0.5</v>
      </c>
      <c r="AM34" s="235">
        <f t="shared" si="25"/>
        <v>0.5</v>
      </c>
      <c r="AN34" s="235">
        <f t="shared" si="26"/>
        <v>1.5</v>
      </c>
      <c r="AO34" s="30" t="s">
        <v>742</v>
      </c>
      <c r="AP34" s="32">
        <v>1.5</v>
      </c>
      <c r="AQ34" s="32" t="s">
        <v>897</v>
      </c>
      <c r="AR34" s="199">
        <f t="shared" si="10"/>
        <v>11.549999999999999</v>
      </c>
      <c r="AS34" s="199">
        <f t="shared" si="11"/>
        <v>23.099999999999998</v>
      </c>
      <c r="AT34" s="199">
        <f t="shared" si="12"/>
        <v>34.65</v>
      </c>
      <c r="AU34" s="200">
        <v>2.5375000000000001</v>
      </c>
      <c r="AV34" s="200">
        <v>3.25</v>
      </c>
      <c r="AW34" s="200">
        <v>3.9624999999999999</v>
      </c>
      <c r="AX34" s="202">
        <f t="shared" si="27"/>
        <v>29.308124999999997</v>
      </c>
      <c r="AY34" s="202">
        <f t="shared" si="28"/>
        <v>75.074999999999989</v>
      </c>
      <c r="AZ34" s="202">
        <f t="shared" si="29"/>
        <v>137.300625</v>
      </c>
      <c r="BA34" s="272">
        <f t="shared" si="13"/>
        <v>2.3000000000000003</v>
      </c>
      <c r="BB34" s="272">
        <f t="shared" si="14"/>
        <v>5.3000000000000007</v>
      </c>
      <c r="BC34" s="272">
        <f t="shared" si="15"/>
        <v>6.6000000000000005</v>
      </c>
      <c r="BD34" s="273">
        <f t="shared" si="16"/>
        <v>0.69000000000000006</v>
      </c>
      <c r="BE34" s="273">
        <f t="shared" si="17"/>
        <v>1.59</v>
      </c>
      <c r="BF34" s="273">
        <f t="shared" si="18"/>
        <v>1.98</v>
      </c>
      <c r="BG34" s="3" t="s">
        <v>932</v>
      </c>
    </row>
    <row r="35" spans="1:59" x14ac:dyDescent="0.25">
      <c r="A35" s="120">
        <v>1886</v>
      </c>
      <c r="B35" s="364"/>
      <c r="C35" s="80" t="s">
        <v>571</v>
      </c>
      <c r="D35" s="80" t="s">
        <v>432</v>
      </c>
      <c r="E35" s="347" t="s">
        <v>1024</v>
      </c>
      <c r="F35" s="11" t="s">
        <v>753</v>
      </c>
      <c r="G35" s="11">
        <v>12</v>
      </c>
      <c r="H35" s="189">
        <v>8766</v>
      </c>
      <c r="I35" s="11" t="s">
        <v>790</v>
      </c>
      <c r="J35" s="48">
        <v>4</v>
      </c>
      <c r="K35" s="48">
        <v>50</v>
      </c>
      <c r="L35" s="185">
        <f t="shared" si="33"/>
        <v>2</v>
      </c>
      <c r="M35" s="266">
        <f t="shared" si="19"/>
        <v>2</v>
      </c>
      <c r="N35" s="266">
        <f t="shared" si="20"/>
        <v>6</v>
      </c>
      <c r="O35" s="48" t="s">
        <v>833</v>
      </c>
      <c r="P35" s="93">
        <v>3</v>
      </c>
      <c r="Q35" s="93">
        <v>50</v>
      </c>
      <c r="R35" s="197">
        <f t="shared" si="34"/>
        <v>1.5</v>
      </c>
      <c r="S35" s="320">
        <f t="shared" si="21"/>
        <v>1.5</v>
      </c>
      <c r="T35" s="320">
        <f t="shared" si="22"/>
        <v>4.5</v>
      </c>
      <c r="U35" s="93" t="s">
        <v>833</v>
      </c>
      <c r="V35" s="174" t="s">
        <v>41</v>
      </c>
      <c r="W35" s="174" t="s">
        <v>42</v>
      </c>
      <c r="X35" s="174">
        <v>10</v>
      </c>
      <c r="Y35" s="174">
        <v>12</v>
      </c>
      <c r="Z35" s="174">
        <v>0</v>
      </c>
      <c r="AA35" s="174">
        <v>0</v>
      </c>
      <c r="AB35" s="224">
        <v>0.1</v>
      </c>
      <c r="AC35" s="26">
        <v>5</v>
      </c>
      <c r="AD35" s="26">
        <v>50</v>
      </c>
      <c r="AE35" s="176">
        <f t="shared" si="31"/>
        <v>2.5</v>
      </c>
      <c r="AF35" s="270">
        <f t="shared" si="23"/>
        <v>2.5</v>
      </c>
      <c r="AG35" s="270">
        <f t="shared" si="24"/>
        <v>7.5</v>
      </c>
      <c r="AH35" s="26" t="s">
        <v>1035</v>
      </c>
      <c r="AI35" s="326">
        <v>50</v>
      </c>
      <c r="AJ35" s="30">
        <v>1</v>
      </c>
      <c r="AK35" s="30">
        <v>50</v>
      </c>
      <c r="AL35" s="179">
        <f t="shared" si="35"/>
        <v>0.5</v>
      </c>
      <c r="AM35" s="235">
        <f t="shared" si="25"/>
        <v>0.5</v>
      </c>
      <c r="AN35" s="235">
        <f t="shared" si="26"/>
        <v>1.5</v>
      </c>
      <c r="AO35" s="30" t="s">
        <v>742</v>
      </c>
      <c r="AP35" s="32">
        <v>1.5</v>
      </c>
      <c r="AQ35" s="32" t="s">
        <v>866</v>
      </c>
      <c r="AR35" s="199">
        <f t="shared" si="10"/>
        <v>12.599999999999998</v>
      </c>
      <c r="AS35" s="199">
        <f t="shared" si="11"/>
        <v>25.199999999999996</v>
      </c>
      <c r="AT35" s="199">
        <f t="shared" si="12"/>
        <v>37.799999999999997</v>
      </c>
      <c r="AU35" s="200">
        <v>1.5375000000000001</v>
      </c>
      <c r="AV35" s="200">
        <v>2.125</v>
      </c>
      <c r="AW35" s="200">
        <v>2.7124999999999999</v>
      </c>
      <c r="AX35" s="202">
        <f t="shared" si="27"/>
        <v>19.372499999999999</v>
      </c>
      <c r="AY35" s="202">
        <f t="shared" si="28"/>
        <v>53.54999999999999</v>
      </c>
      <c r="AZ35" s="202">
        <f t="shared" si="29"/>
        <v>102.53249999999998</v>
      </c>
      <c r="BA35" s="272">
        <f t="shared" si="13"/>
        <v>1.4000000000000001</v>
      </c>
      <c r="BB35" s="272">
        <f t="shared" si="14"/>
        <v>4.2</v>
      </c>
      <c r="BC35" s="272">
        <f t="shared" si="15"/>
        <v>6</v>
      </c>
      <c r="BD35" s="273">
        <f t="shared" si="16"/>
        <v>0.42000000000000004</v>
      </c>
      <c r="BE35" s="273">
        <f t="shared" si="17"/>
        <v>1.26</v>
      </c>
      <c r="BF35" s="273">
        <f t="shared" si="18"/>
        <v>1.7999999999999998</v>
      </c>
      <c r="BG35" s="3" t="s">
        <v>932</v>
      </c>
    </row>
    <row r="36" spans="1:59" x14ac:dyDescent="0.25">
      <c r="A36" s="120">
        <v>1890</v>
      </c>
      <c r="B36" s="364"/>
      <c r="C36" s="80" t="s">
        <v>573</v>
      </c>
      <c r="D36" s="80" t="s">
        <v>590</v>
      </c>
      <c r="E36" s="347" t="s">
        <v>1017</v>
      </c>
      <c r="F36" s="11" t="s">
        <v>753</v>
      </c>
      <c r="G36" s="11">
        <v>12</v>
      </c>
      <c r="H36" s="189">
        <v>8766</v>
      </c>
      <c r="I36" s="11" t="s">
        <v>769</v>
      </c>
      <c r="J36" s="48">
        <v>4</v>
      </c>
      <c r="K36" s="48">
        <v>25</v>
      </c>
      <c r="L36" s="185">
        <f t="shared" si="33"/>
        <v>1</v>
      </c>
      <c r="M36" s="266">
        <f t="shared" si="19"/>
        <v>3</v>
      </c>
      <c r="N36" s="266">
        <f t="shared" si="20"/>
        <v>5</v>
      </c>
      <c r="O36" s="48" t="s">
        <v>1062</v>
      </c>
      <c r="P36" s="93">
        <v>3</v>
      </c>
      <c r="Q36" s="93">
        <v>25</v>
      </c>
      <c r="R36" s="197">
        <f t="shared" si="34"/>
        <v>0.75</v>
      </c>
      <c r="S36" s="320">
        <f t="shared" si="21"/>
        <v>2.25</v>
      </c>
      <c r="T36" s="320">
        <f t="shared" si="22"/>
        <v>3.75</v>
      </c>
      <c r="U36" s="93" t="s">
        <v>280</v>
      </c>
      <c r="V36" s="174" t="s">
        <v>41</v>
      </c>
      <c r="W36" s="174" t="s">
        <v>42</v>
      </c>
      <c r="X36" s="174">
        <v>10</v>
      </c>
      <c r="Y36" s="174">
        <v>12</v>
      </c>
      <c r="Z36" s="174">
        <v>0</v>
      </c>
      <c r="AA36" s="174">
        <v>0</v>
      </c>
      <c r="AB36" s="224" t="s">
        <v>714</v>
      </c>
      <c r="AC36" s="26">
        <v>5</v>
      </c>
      <c r="AD36" s="26">
        <v>10</v>
      </c>
      <c r="AE36" s="176">
        <f t="shared" si="31"/>
        <v>0.5</v>
      </c>
      <c r="AF36" s="270">
        <f t="shared" si="23"/>
        <v>4.5</v>
      </c>
      <c r="AG36" s="270">
        <f t="shared" si="24"/>
        <v>5.5</v>
      </c>
      <c r="AH36" s="26" t="s">
        <v>1036</v>
      </c>
      <c r="AI36" s="326">
        <v>50</v>
      </c>
      <c r="AJ36" s="30">
        <v>1</v>
      </c>
      <c r="AK36" s="30">
        <v>25</v>
      </c>
      <c r="AL36" s="179">
        <f t="shared" si="35"/>
        <v>0.25</v>
      </c>
      <c r="AM36" s="235">
        <f t="shared" si="25"/>
        <v>0.75</v>
      </c>
      <c r="AN36" s="235">
        <f t="shared" si="26"/>
        <v>1.25</v>
      </c>
      <c r="AO36" s="30" t="s">
        <v>1009</v>
      </c>
      <c r="AP36" s="32">
        <v>2</v>
      </c>
      <c r="AQ36" s="32" t="s">
        <v>899</v>
      </c>
      <c r="AR36" s="199">
        <f t="shared" ref="AR36:AR67" si="36">G36*((M36+S36)/AF36)*(AM36*AP36)</f>
        <v>21</v>
      </c>
      <c r="AS36" s="199">
        <f t="shared" ref="AS36:AS67" si="37">G36*((J36+P36)/AC36)*(AJ36*AP36)</f>
        <v>33.599999999999994</v>
      </c>
      <c r="AT36" s="199">
        <f t="shared" ref="AT36:AT67" si="38">G36*((N36+T36)/AG36)*(AN36*AP36)</f>
        <v>47.727272727272727</v>
      </c>
      <c r="AU36" s="200">
        <v>1.6</v>
      </c>
      <c r="AV36" s="200">
        <v>2.25</v>
      </c>
      <c r="AW36" s="200">
        <v>2.9</v>
      </c>
      <c r="AX36" s="202">
        <f t="shared" si="27"/>
        <v>33.6</v>
      </c>
      <c r="AY36" s="202">
        <f t="shared" si="28"/>
        <v>75.599999999999994</v>
      </c>
      <c r="AZ36" s="202">
        <f t="shared" si="29"/>
        <v>138.40909090909091</v>
      </c>
      <c r="BA36" s="272">
        <f t="shared" ref="BA36:BA67" si="39">_xlfn.PERCENTRANK.INC($AX$4:$AZ$79,AX36,2)*10</f>
        <v>2.7</v>
      </c>
      <c r="BB36" s="272">
        <f t="shared" ref="BB36:BB67" si="40">_xlfn.PERCENTRANK.INC($AX$4:$AZ$79,AY36,2)*10</f>
        <v>5.3000000000000007</v>
      </c>
      <c r="BC36" s="272">
        <f t="shared" ref="BC36:BC67" si="41">_xlfn.PERCENTRANK.INC($AX$4:$AZ$79,AZ36,2)*10</f>
        <v>6.7</v>
      </c>
      <c r="BD36" s="273">
        <f t="shared" ref="BD36:BD67" si="42">_xlfn.PERCENTRANK.INC($AX$4:$AZ$79,AX36,2)*3</f>
        <v>0.81</v>
      </c>
      <c r="BE36" s="273">
        <f t="shared" ref="BE36:BE67" si="43">_xlfn.PERCENTRANK.INC($AX$4:$AZ$79,AY36,2)*3</f>
        <v>1.59</v>
      </c>
      <c r="BF36" s="273">
        <f t="shared" ref="BF36:BF67" si="44">_xlfn.PERCENTRANK.INC($AX$4:$AZ$79,AZ36,2)*3</f>
        <v>2.0100000000000002</v>
      </c>
      <c r="BG36" s="3" t="s">
        <v>932</v>
      </c>
    </row>
    <row r="37" spans="1:59" s="88" customFormat="1" x14ac:dyDescent="0.25">
      <c r="A37" s="120">
        <v>1857</v>
      </c>
      <c r="B37" s="365"/>
      <c r="C37" s="80" t="s">
        <v>577</v>
      </c>
      <c r="D37" s="98" t="s">
        <v>480</v>
      </c>
      <c r="E37" s="343" t="s">
        <v>303</v>
      </c>
      <c r="F37" s="11" t="s">
        <v>758</v>
      </c>
      <c r="G37" s="11">
        <v>5</v>
      </c>
      <c r="H37" s="189">
        <f>5*730.5</f>
        <v>3652.5</v>
      </c>
      <c r="I37" s="11" t="s">
        <v>768</v>
      </c>
      <c r="J37" s="48">
        <v>4</v>
      </c>
      <c r="K37" s="48">
        <v>25</v>
      </c>
      <c r="L37" s="185">
        <f t="shared" si="33"/>
        <v>1</v>
      </c>
      <c r="M37" s="266">
        <f t="shared" si="19"/>
        <v>3</v>
      </c>
      <c r="N37" s="266">
        <f t="shared" si="20"/>
        <v>5</v>
      </c>
      <c r="O37" s="48" t="s">
        <v>280</v>
      </c>
      <c r="P37" s="93">
        <v>3</v>
      </c>
      <c r="Q37" s="93">
        <v>25</v>
      </c>
      <c r="R37" s="197">
        <f t="shared" si="34"/>
        <v>0.75</v>
      </c>
      <c r="S37" s="320">
        <f t="shared" si="21"/>
        <v>2.25</v>
      </c>
      <c r="T37" s="320">
        <f t="shared" si="22"/>
        <v>3.75</v>
      </c>
      <c r="U37" s="93" t="s">
        <v>280</v>
      </c>
      <c r="V37" s="174" t="s">
        <v>698</v>
      </c>
      <c r="W37" s="174" t="s">
        <v>699</v>
      </c>
      <c r="X37" s="174">
        <v>23</v>
      </c>
      <c r="Y37" s="174">
        <v>10</v>
      </c>
      <c r="Z37" s="174">
        <v>0</v>
      </c>
      <c r="AA37" s="174">
        <v>0</v>
      </c>
      <c r="AB37" s="224">
        <v>0.1</v>
      </c>
      <c r="AC37" s="26">
        <v>5</v>
      </c>
      <c r="AD37" s="26">
        <v>50</v>
      </c>
      <c r="AE37" s="176">
        <f t="shared" si="31"/>
        <v>2.5</v>
      </c>
      <c r="AF37" s="270">
        <f t="shared" si="23"/>
        <v>2.5</v>
      </c>
      <c r="AG37" s="270">
        <f t="shared" si="24"/>
        <v>7.5</v>
      </c>
      <c r="AH37" s="26" t="s">
        <v>1026</v>
      </c>
      <c r="AI37" s="326">
        <v>50</v>
      </c>
      <c r="AJ37" s="30">
        <v>1</v>
      </c>
      <c r="AK37" s="30">
        <v>25</v>
      </c>
      <c r="AL37" s="179">
        <f t="shared" si="35"/>
        <v>0.25</v>
      </c>
      <c r="AM37" s="235">
        <f t="shared" si="25"/>
        <v>0.75</v>
      </c>
      <c r="AN37" s="235">
        <f t="shared" si="26"/>
        <v>1.25</v>
      </c>
      <c r="AO37" s="30" t="s">
        <v>1009</v>
      </c>
      <c r="AP37" s="32">
        <v>1</v>
      </c>
      <c r="AQ37" s="32" t="s">
        <v>313</v>
      </c>
      <c r="AR37" s="199">
        <f t="shared" si="36"/>
        <v>7.875</v>
      </c>
      <c r="AS37" s="199">
        <f t="shared" si="37"/>
        <v>7</v>
      </c>
      <c r="AT37" s="199">
        <f t="shared" si="38"/>
        <v>7.2916666666666679</v>
      </c>
      <c r="AU37" s="200">
        <v>1.4125000000000001</v>
      </c>
      <c r="AV37" s="200">
        <v>1.8125</v>
      </c>
      <c r="AW37" s="200">
        <v>2.2124999999999999</v>
      </c>
      <c r="AX37" s="202">
        <f t="shared" si="27"/>
        <v>11.123437500000001</v>
      </c>
      <c r="AY37" s="202">
        <f t="shared" si="28"/>
        <v>12.6875</v>
      </c>
      <c r="AZ37" s="202">
        <f t="shared" si="29"/>
        <v>16.132812500000004</v>
      </c>
      <c r="BA37" s="272">
        <f t="shared" si="39"/>
        <v>0.70000000000000007</v>
      </c>
      <c r="BB37" s="272">
        <f t="shared" si="40"/>
        <v>0.8</v>
      </c>
      <c r="BC37" s="272">
        <f t="shared" si="41"/>
        <v>1.1000000000000001</v>
      </c>
      <c r="BD37" s="273">
        <f t="shared" si="42"/>
        <v>0.21000000000000002</v>
      </c>
      <c r="BE37" s="273">
        <f t="shared" si="43"/>
        <v>0.24</v>
      </c>
      <c r="BF37" s="273">
        <f t="shared" si="44"/>
        <v>0.33</v>
      </c>
      <c r="BG37" s="3" t="s">
        <v>931</v>
      </c>
    </row>
    <row r="38" spans="1:59" x14ac:dyDescent="0.25">
      <c r="A38" s="107">
        <v>2070</v>
      </c>
      <c r="B38" s="367" t="s">
        <v>46</v>
      </c>
      <c r="C38" s="98" t="s">
        <v>47</v>
      </c>
      <c r="D38" s="98" t="s">
        <v>435</v>
      </c>
      <c r="E38" s="142" t="s">
        <v>48</v>
      </c>
      <c r="F38" s="11" t="s">
        <v>753</v>
      </c>
      <c r="G38" s="11">
        <v>12</v>
      </c>
      <c r="H38" s="189">
        <v>8766</v>
      </c>
      <c r="I38" s="11" t="s">
        <v>792</v>
      </c>
      <c r="J38" s="48">
        <v>1</v>
      </c>
      <c r="K38" s="48">
        <v>25</v>
      </c>
      <c r="L38" s="185">
        <f>(K38/100)*J38</f>
        <v>0.25</v>
      </c>
      <c r="M38" s="266">
        <f t="shared" si="19"/>
        <v>0.75</v>
      </c>
      <c r="N38" s="266">
        <f t="shared" si="20"/>
        <v>1.25</v>
      </c>
      <c r="O38" s="48" t="s">
        <v>1090</v>
      </c>
      <c r="P38" s="93">
        <v>3</v>
      </c>
      <c r="Q38" s="93">
        <v>25</v>
      </c>
      <c r="R38" s="197">
        <f>(Q38/100)*P38</f>
        <v>0.75</v>
      </c>
      <c r="S38" s="320">
        <f t="shared" si="21"/>
        <v>2.25</v>
      </c>
      <c r="T38" s="320">
        <f t="shared" si="22"/>
        <v>3.75</v>
      </c>
      <c r="U38" s="93" t="s">
        <v>812</v>
      </c>
      <c r="V38" s="174" t="s">
        <v>41</v>
      </c>
      <c r="W38" s="174" t="s">
        <v>49</v>
      </c>
      <c r="X38" s="174">
        <v>11</v>
      </c>
      <c r="Y38" s="174">
        <v>14</v>
      </c>
      <c r="Z38" s="174">
        <v>0</v>
      </c>
      <c r="AA38" s="174">
        <v>0</v>
      </c>
      <c r="AB38" s="224">
        <v>29.9</v>
      </c>
      <c r="AC38" s="26">
        <v>1</v>
      </c>
      <c r="AD38" s="26">
        <v>50</v>
      </c>
      <c r="AE38" s="176">
        <f>(AD38/100)*AC38</f>
        <v>0.5</v>
      </c>
      <c r="AF38" s="270">
        <f t="shared" si="23"/>
        <v>0.5</v>
      </c>
      <c r="AG38" s="270">
        <f t="shared" si="24"/>
        <v>1.5</v>
      </c>
      <c r="AH38" s="26" t="s">
        <v>1037</v>
      </c>
      <c r="AI38" s="326"/>
      <c r="AJ38" s="30">
        <v>5</v>
      </c>
      <c r="AK38" s="30">
        <v>50</v>
      </c>
      <c r="AL38" s="179">
        <f>(AK38/100)*AJ38</f>
        <v>2.5</v>
      </c>
      <c r="AM38" s="235">
        <f t="shared" si="25"/>
        <v>2.5</v>
      </c>
      <c r="AN38" s="235">
        <f t="shared" si="26"/>
        <v>7.5</v>
      </c>
      <c r="AO38" s="30" t="s">
        <v>280</v>
      </c>
      <c r="AP38" s="32">
        <v>1.5</v>
      </c>
      <c r="AQ38" s="32" t="s">
        <v>867</v>
      </c>
      <c r="AR38" s="199">
        <f t="shared" si="36"/>
        <v>270</v>
      </c>
      <c r="AS38" s="199">
        <f t="shared" si="37"/>
        <v>360</v>
      </c>
      <c r="AT38" s="199">
        <f t="shared" si="38"/>
        <v>450</v>
      </c>
      <c r="AU38" s="200">
        <v>3.5</v>
      </c>
      <c r="AV38" s="200">
        <v>4.25</v>
      </c>
      <c r="AW38" s="200">
        <v>5</v>
      </c>
      <c r="AX38" s="202">
        <f t="shared" si="27"/>
        <v>945</v>
      </c>
      <c r="AY38" s="202">
        <f t="shared" si="28"/>
        <v>1530</v>
      </c>
      <c r="AZ38" s="202">
        <f t="shared" si="29"/>
        <v>2250</v>
      </c>
      <c r="BA38" s="272">
        <f t="shared" si="39"/>
        <v>9.6999999999999993</v>
      </c>
      <c r="BB38" s="272">
        <f t="shared" si="40"/>
        <v>9.9</v>
      </c>
      <c r="BC38" s="272">
        <f t="shared" si="41"/>
        <v>10</v>
      </c>
      <c r="BD38" s="273">
        <f t="shared" si="42"/>
        <v>2.91</v>
      </c>
      <c r="BE38" s="273">
        <f t="shared" si="43"/>
        <v>2.9699999999999998</v>
      </c>
      <c r="BF38" s="273">
        <f t="shared" si="44"/>
        <v>3</v>
      </c>
      <c r="BG38" s="3" t="s">
        <v>933</v>
      </c>
    </row>
    <row r="39" spans="1:59" x14ac:dyDescent="0.25">
      <c r="A39" s="107">
        <v>2069</v>
      </c>
      <c r="B39" s="369"/>
      <c r="C39" s="98" t="s">
        <v>334</v>
      </c>
      <c r="D39" s="98" t="s">
        <v>436</v>
      </c>
      <c r="E39" s="142" t="s">
        <v>50</v>
      </c>
      <c r="F39" s="11" t="s">
        <v>753</v>
      </c>
      <c r="G39" s="11">
        <v>12</v>
      </c>
      <c r="H39" s="189">
        <v>8766</v>
      </c>
      <c r="I39" s="11" t="s">
        <v>768</v>
      </c>
      <c r="J39" s="48">
        <v>1</v>
      </c>
      <c r="K39" s="48">
        <v>50</v>
      </c>
      <c r="L39" s="185">
        <f>(K39/100)*J39</f>
        <v>0.5</v>
      </c>
      <c r="M39" s="266">
        <f t="shared" si="19"/>
        <v>0.5</v>
      </c>
      <c r="N39" s="266">
        <f t="shared" si="20"/>
        <v>1.5</v>
      </c>
      <c r="O39" s="48" t="s">
        <v>1091</v>
      </c>
      <c r="P39" s="93">
        <v>3</v>
      </c>
      <c r="Q39" s="93">
        <v>50</v>
      </c>
      <c r="R39" s="197">
        <f>(Q39/100)*P39</f>
        <v>1.5</v>
      </c>
      <c r="S39" s="320">
        <f t="shared" si="21"/>
        <v>1.5</v>
      </c>
      <c r="T39" s="320">
        <f t="shared" si="22"/>
        <v>4.5</v>
      </c>
      <c r="U39" s="93" t="s">
        <v>813</v>
      </c>
      <c r="V39" s="174" t="s">
        <v>41</v>
      </c>
      <c r="W39" s="174" t="s">
        <v>49</v>
      </c>
      <c r="X39" s="174">
        <v>11</v>
      </c>
      <c r="Y39" s="174">
        <v>14</v>
      </c>
      <c r="Z39" s="174">
        <v>1</v>
      </c>
      <c r="AA39" s="174">
        <v>1</v>
      </c>
      <c r="AB39" s="224">
        <v>29.9</v>
      </c>
      <c r="AC39" s="26">
        <v>1</v>
      </c>
      <c r="AD39" s="26">
        <v>50</v>
      </c>
      <c r="AE39" s="176">
        <f>(AD39/100)*AC39</f>
        <v>0.5</v>
      </c>
      <c r="AF39" s="270">
        <f t="shared" si="23"/>
        <v>0.5</v>
      </c>
      <c r="AG39" s="270">
        <f t="shared" si="24"/>
        <v>1.5</v>
      </c>
      <c r="AH39" s="26" t="s">
        <v>1037</v>
      </c>
      <c r="AI39" s="326"/>
      <c r="AJ39" s="30">
        <v>5</v>
      </c>
      <c r="AK39" s="30">
        <v>50</v>
      </c>
      <c r="AL39" s="179">
        <f>(AK39/100)*AJ39</f>
        <v>2.5</v>
      </c>
      <c r="AM39" s="235">
        <f t="shared" si="25"/>
        <v>2.5</v>
      </c>
      <c r="AN39" s="235">
        <f t="shared" si="26"/>
        <v>7.5</v>
      </c>
      <c r="AO39" s="30" t="s">
        <v>506</v>
      </c>
      <c r="AP39" s="32">
        <v>1</v>
      </c>
      <c r="AQ39" s="32" t="s">
        <v>813</v>
      </c>
      <c r="AR39" s="199">
        <f t="shared" si="36"/>
        <v>120</v>
      </c>
      <c r="AS39" s="199">
        <f t="shared" si="37"/>
        <v>240</v>
      </c>
      <c r="AT39" s="199">
        <f t="shared" si="38"/>
        <v>360</v>
      </c>
      <c r="AU39" s="200">
        <v>2.9</v>
      </c>
      <c r="AV39" s="200">
        <v>3.75</v>
      </c>
      <c r="AW39" s="200">
        <v>4.5999999999999996</v>
      </c>
      <c r="AX39" s="202">
        <f t="shared" si="27"/>
        <v>348</v>
      </c>
      <c r="AY39" s="202">
        <f t="shared" si="28"/>
        <v>900</v>
      </c>
      <c r="AZ39" s="202">
        <f t="shared" si="29"/>
        <v>1655.9999999999998</v>
      </c>
      <c r="BA39" s="272">
        <f t="shared" si="39"/>
        <v>8.2999999999999989</v>
      </c>
      <c r="BB39" s="272">
        <f t="shared" si="40"/>
        <v>9.6</v>
      </c>
      <c r="BC39" s="272">
        <f t="shared" si="41"/>
        <v>9.9</v>
      </c>
      <c r="BD39" s="273">
        <f t="shared" si="42"/>
        <v>2.4899999999999998</v>
      </c>
      <c r="BE39" s="273">
        <f t="shared" si="43"/>
        <v>2.88</v>
      </c>
      <c r="BF39" s="273">
        <f t="shared" si="44"/>
        <v>2.9699999999999998</v>
      </c>
      <c r="BG39" s="3" t="s">
        <v>933</v>
      </c>
    </row>
    <row r="40" spans="1:59" x14ac:dyDescent="0.25">
      <c r="A40" s="107">
        <v>1984</v>
      </c>
      <c r="B40" s="367" t="s">
        <v>51</v>
      </c>
      <c r="C40" s="98" t="s">
        <v>576</v>
      </c>
      <c r="D40" s="98" t="s">
        <v>1014</v>
      </c>
      <c r="E40" s="142" t="s">
        <v>52</v>
      </c>
      <c r="F40" s="11" t="s">
        <v>753</v>
      </c>
      <c r="G40" s="11">
        <v>12</v>
      </c>
      <c r="H40" s="189">
        <v>8766</v>
      </c>
      <c r="I40" s="11" t="s">
        <v>792</v>
      </c>
      <c r="J40" s="48">
        <v>1</v>
      </c>
      <c r="K40" s="48">
        <v>50</v>
      </c>
      <c r="L40" s="185">
        <f t="shared" si="33"/>
        <v>0.5</v>
      </c>
      <c r="M40" s="266">
        <f t="shared" si="19"/>
        <v>0.5</v>
      </c>
      <c r="N40" s="266">
        <f t="shared" si="20"/>
        <v>1.5</v>
      </c>
      <c r="O40" s="48" t="s">
        <v>1092</v>
      </c>
      <c r="P40" s="93">
        <v>3</v>
      </c>
      <c r="Q40" s="93">
        <v>50</v>
      </c>
      <c r="R40" s="197">
        <f t="shared" si="34"/>
        <v>1.5</v>
      </c>
      <c r="S40" s="320">
        <f t="shared" si="21"/>
        <v>1.5</v>
      </c>
      <c r="T40" s="320">
        <f t="shared" si="22"/>
        <v>4.5</v>
      </c>
      <c r="U40" s="93" t="s">
        <v>1092</v>
      </c>
      <c r="V40" s="174" t="s">
        <v>11</v>
      </c>
      <c r="W40" s="174" t="s">
        <v>12</v>
      </c>
      <c r="X40" s="174">
        <v>3</v>
      </c>
      <c r="Y40" s="174">
        <v>22</v>
      </c>
      <c r="Z40" s="174">
        <v>0</v>
      </c>
      <c r="AA40" s="174">
        <v>0</v>
      </c>
      <c r="AB40" s="224" t="s">
        <v>705</v>
      </c>
      <c r="AC40" s="26">
        <v>3</v>
      </c>
      <c r="AD40" s="26">
        <v>25</v>
      </c>
      <c r="AE40" s="176">
        <f t="shared" si="31"/>
        <v>0.75</v>
      </c>
      <c r="AF40" s="270">
        <f t="shared" si="23"/>
        <v>2.25</v>
      </c>
      <c r="AG40" s="270">
        <f t="shared" si="24"/>
        <v>3.75</v>
      </c>
      <c r="AH40" s="26" t="s">
        <v>1038</v>
      </c>
      <c r="AI40" s="326" t="s">
        <v>736</v>
      </c>
      <c r="AJ40" s="30">
        <v>3</v>
      </c>
      <c r="AK40" s="30">
        <v>50</v>
      </c>
      <c r="AL40" s="179">
        <f t="shared" si="35"/>
        <v>1.5</v>
      </c>
      <c r="AM40" s="235">
        <f t="shared" si="25"/>
        <v>1.5</v>
      </c>
      <c r="AN40" s="235">
        <f t="shared" si="26"/>
        <v>4.5</v>
      </c>
      <c r="AO40" s="30" t="s">
        <v>742</v>
      </c>
      <c r="AP40" s="32">
        <v>2</v>
      </c>
      <c r="AQ40" s="32" t="s">
        <v>849</v>
      </c>
      <c r="AR40" s="199">
        <f t="shared" si="36"/>
        <v>32</v>
      </c>
      <c r="AS40" s="199">
        <f t="shared" si="37"/>
        <v>96</v>
      </c>
      <c r="AT40" s="199">
        <f t="shared" si="38"/>
        <v>172.8</v>
      </c>
      <c r="AU40" s="200">
        <v>3.2249999999999996</v>
      </c>
      <c r="AV40" s="200">
        <v>3.5</v>
      </c>
      <c r="AW40" s="200">
        <v>3.7750000000000004</v>
      </c>
      <c r="AX40" s="202">
        <f t="shared" si="27"/>
        <v>103.19999999999999</v>
      </c>
      <c r="AY40" s="202">
        <f t="shared" si="28"/>
        <v>336</v>
      </c>
      <c r="AZ40" s="202">
        <f t="shared" si="29"/>
        <v>652.32000000000005</v>
      </c>
      <c r="BA40" s="272">
        <f t="shared" si="39"/>
        <v>6</v>
      </c>
      <c r="BB40" s="272">
        <f t="shared" si="40"/>
        <v>8.1999999999999993</v>
      </c>
      <c r="BC40" s="272">
        <f t="shared" si="41"/>
        <v>9.1</v>
      </c>
      <c r="BD40" s="273">
        <f t="shared" si="42"/>
        <v>1.7999999999999998</v>
      </c>
      <c r="BE40" s="273">
        <f t="shared" si="43"/>
        <v>2.46</v>
      </c>
      <c r="BF40" s="273">
        <f t="shared" si="44"/>
        <v>2.73</v>
      </c>
      <c r="BG40" s="3" t="s">
        <v>933</v>
      </c>
    </row>
    <row r="41" spans="1:59" x14ac:dyDescent="0.25">
      <c r="A41" s="107">
        <v>1988</v>
      </c>
      <c r="B41" s="368"/>
      <c r="C41" s="346" t="s">
        <v>575</v>
      </c>
      <c r="D41" s="346" t="s">
        <v>437</v>
      </c>
      <c r="E41" s="142" t="s">
        <v>54</v>
      </c>
      <c r="F41" s="11" t="s">
        <v>753</v>
      </c>
      <c r="G41" s="11">
        <v>12</v>
      </c>
      <c r="H41" s="189">
        <v>8766</v>
      </c>
      <c r="I41" s="11" t="s">
        <v>791</v>
      </c>
      <c r="J41" s="48">
        <v>1</v>
      </c>
      <c r="K41" s="48">
        <v>10</v>
      </c>
      <c r="L41" s="185">
        <f t="shared" si="33"/>
        <v>0.1</v>
      </c>
      <c r="M41" s="266">
        <f t="shared" si="19"/>
        <v>0.9</v>
      </c>
      <c r="N41" s="266">
        <f t="shared" si="20"/>
        <v>1.1000000000000001</v>
      </c>
      <c r="O41" s="48" t="s">
        <v>1093</v>
      </c>
      <c r="P41" s="93">
        <v>5</v>
      </c>
      <c r="Q41" s="93">
        <v>10</v>
      </c>
      <c r="R41" s="197">
        <f t="shared" si="34"/>
        <v>0.5</v>
      </c>
      <c r="S41" s="320">
        <f t="shared" si="21"/>
        <v>4.5</v>
      </c>
      <c r="T41" s="320">
        <f t="shared" si="22"/>
        <v>5.5</v>
      </c>
      <c r="U41" s="93" t="s">
        <v>811</v>
      </c>
      <c r="V41" s="174" t="s">
        <v>11</v>
      </c>
      <c r="W41" s="174" t="s">
        <v>12</v>
      </c>
      <c r="X41" s="174">
        <v>3</v>
      </c>
      <c r="Y41" s="174">
        <v>22</v>
      </c>
      <c r="Z41" s="174">
        <v>0</v>
      </c>
      <c r="AA41" s="174">
        <v>0</v>
      </c>
      <c r="AB41" s="224" t="s">
        <v>715</v>
      </c>
      <c r="AC41" s="26">
        <v>3</v>
      </c>
      <c r="AD41" s="26">
        <v>50</v>
      </c>
      <c r="AE41" s="176">
        <f t="shared" si="31"/>
        <v>1.5</v>
      </c>
      <c r="AF41" s="270">
        <f t="shared" si="23"/>
        <v>1.5</v>
      </c>
      <c r="AG41" s="270">
        <f t="shared" si="24"/>
        <v>4.5</v>
      </c>
      <c r="AH41" s="26" t="s">
        <v>1038</v>
      </c>
      <c r="AI41" s="326" t="s">
        <v>736</v>
      </c>
      <c r="AJ41" s="30">
        <v>3</v>
      </c>
      <c r="AK41" s="30">
        <v>50</v>
      </c>
      <c r="AL41" s="179">
        <f t="shared" si="35"/>
        <v>1.5</v>
      </c>
      <c r="AM41" s="235">
        <f t="shared" si="25"/>
        <v>1.5</v>
      </c>
      <c r="AN41" s="235">
        <f t="shared" si="26"/>
        <v>4.5</v>
      </c>
      <c r="AO41" s="30" t="s">
        <v>742</v>
      </c>
      <c r="AP41" s="32">
        <v>2</v>
      </c>
      <c r="AQ41" s="32" t="s">
        <v>849</v>
      </c>
      <c r="AR41" s="199">
        <f t="shared" si="36"/>
        <v>129.60000000000002</v>
      </c>
      <c r="AS41" s="199">
        <f t="shared" si="37"/>
        <v>144</v>
      </c>
      <c r="AT41" s="199">
        <f t="shared" si="38"/>
        <v>158.39999999999998</v>
      </c>
      <c r="AU41" s="200">
        <v>1.9624999999999999</v>
      </c>
      <c r="AV41" s="200">
        <v>2.3125</v>
      </c>
      <c r="AW41" s="200">
        <v>2.6625000000000001</v>
      </c>
      <c r="AX41" s="202">
        <f t="shared" si="27"/>
        <v>254.34000000000003</v>
      </c>
      <c r="AY41" s="202">
        <f t="shared" si="28"/>
        <v>333</v>
      </c>
      <c r="AZ41" s="202">
        <f t="shared" si="29"/>
        <v>421.73999999999995</v>
      </c>
      <c r="BA41" s="272">
        <f t="shared" si="39"/>
        <v>7.9</v>
      </c>
      <c r="BB41" s="272">
        <f t="shared" si="40"/>
        <v>8.1000000000000014</v>
      </c>
      <c r="BC41" s="272">
        <f t="shared" si="41"/>
        <v>8.6999999999999993</v>
      </c>
      <c r="BD41" s="273">
        <f t="shared" si="42"/>
        <v>2.37</v>
      </c>
      <c r="BE41" s="273">
        <f t="shared" si="43"/>
        <v>2.4300000000000002</v>
      </c>
      <c r="BF41" s="273">
        <f t="shared" si="44"/>
        <v>2.61</v>
      </c>
      <c r="BG41" s="3" t="s">
        <v>933</v>
      </c>
    </row>
    <row r="42" spans="1:59" x14ac:dyDescent="0.25">
      <c r="A42" s="107">
        <v>2010</v>
      </c>
      <c r="B42" s="369"/>
      <c r="C42" s="98" t="s">
        <v>56</v>
      </c>
      <c r="D42" s="98" t="s">
        <v>438</v>
      </c>
      <c r="E42" s="142" t="s">
        <v>57</v>
      </c>
      <c r="F42" s="11" t="s">
        <v>753</v>
      </c>
      <c r="G42" s="11">
        <v>12</v>
      </c>
      <c r="H42" s="189">
        <v>8766</v>
      </c>
      <c r="I42" s="11" t="s">
        <v>791</v>
      </c>
      <c r="J42" s="48">
        <v>1</v>
      </c>
      <c r="K42" s="48">
        <v>50</v>
      </c>
      <c r="L42" s="185">
        <f t="shared" si="33"/>
        <v>0.5</v>
      </c>
      <c r="M42" s="266">
        <f t="shared" si="19"/>
        <v>0.5</v>
      </c>
      <c r="N42" s="266">
        <f t="shared" si="20"/>
        <v>1.5</v>
      </c>
      <c r="O42" s="48" t="s">
        <v>1094</v>
      </c>
      <c r="P42" s="93">
        <v>3</v>
      </c>
      <c r="Q42" s="93">
        <v>50</v>
      </c>
      <c r="R42" s="197">
        <f t="shared" si="34"/>
        <v>1.5</v>
      </c>
      <c r="S42" s="320">
        <f t="shared" si="21"/>
        <v>1.5</v>
      </c>
      <c r="T42" s="320">
        <f t="shared" si="22"/>
        <v>4.5</v>
      </c>
      <c r="U42" s="93" t="s">
        <v>1094</v>
      </c>
      <c r="V42" s="174" t="s">
        <v>11</v>
      </c>
      <c r="W42" s="174" t="s">
        <v>12</v>
      </c>
      <c r="X42" s="174">
        <v>3</v>
      </c>
      <c r="Y42" s="174">
        <v>22</v>
      </c>
      <c r="Z42" s="174">
        <v>0</v>
      </c>
      <c r="AA42" s="174">
        <v>0</v>
      </c>
      <c r="AB42" s="224" t="s">
        <v>705</v>
      </c>
      <c r="AC42" s="26">
        <v>3</v>
      </c>
      <c r="AD42" s="26">
        <v>25</v>
      </c>
      <c r="AE42" s="176">
        <f t="shared" ref="AE42:AE69" si="45">(AD42/100)*AC42</f>
        <v>0.75</v>
      </c>
      <c r="AF42" s="270">
        <f t="shared" si="23"/>
        <v>2.25</v>
      </c>
      <c r="AG42" s="270">
        <f t="shared" si="24"/>
        <v>3.75</v>
      </c>
      <c r="AH42" s="26" t="s">
        <v>1038</v>
      </c>
      <c r="AI42" s="326" t="s">
        <v>736</v>
      </c>
      <c r="AJ42" s="30">
        <v>3</v>
      </c>
      <c r="AK42" s="30">
        <v>50</v>
      </c>
      <c r="AL42" s="179">
        <f t="shared" si="35"/>
        <v>1.5</v>
      </c>
      <c r="AM42" s="235">
        <f t="shared" si="25"/>
        <v>1.5</v>
      </c>
      <c r="AN42" s="235">
        <f t="shared" si="26"/>
        <v>4.5</v>
      </c>
      <c r="AO42" s="30" t="s">
        <v>742</v>
      </c>
      <c r="AP42" s="32">
        <v>2</v>
      </c>
      <c r="AQ42" s="32" t="s">
        <v>849</v>
      </c>
      <c r="AR42" s="199">
        <f t="shared" si="36"/>
        <v>32</v>
      </c>
      <c r="AS42" s="199">
        <f t="shared" si="37"/>
        <v>96</v>
      </c>
      <c r="AT42" s="199">
        <f t="shared" si="38"/>
        <v>172.8</v>
      </c>
      <c r="AU42" s="200">
        <v>2.7250000000000001</v>
      </c>
      <c r="AV42" s="200">
        <v>3.25</v>
      </c>
      <c r="AW42" s="200">
        <v>3.7750000000000004</v>
      </c>
      <c r="AX42" s="202">
        <f t="shared" si="27"/>
        <v>87.2</v>
      </c>
      <c r="AY42" s="202">
        <f t="shared" si="28"/>
        <v>312</v>
      </c>
      <c r="AZ42" s="202">
        <f t="shared" si="29"/>
        <v>652.32000000000005</v>
      </c>
      <c r="BA42" s="272">
        <f t="shared" si="39"/>
        <v>5.5</v>
      </c>
      <c r="BB42" s="272">
        <f t="shared" si="40"/>
        <v>8.1000000000000014</v>
      </c>
      <c r="BC42" s="272">
        <f t="shared" si="41"/>
        <v>9.1</v>
      </c>
      <c r="BD42" s="273">
        <f t="shared" si="42"/>
        <v>1.6500000000000001</v>
      </c>
      <c r="BE42" s="273">
        <f t="shared" si="43"/>
        <v>2.4300000000000002</v>
      </c>
      <c r="BF42" s="273">
        <f t="shared" si="44"/>
        <v>2.73</v>
      </c>
      <c r="BG42" s="3" t="s">
        <v>933</v>
      </c>
    </row>
    <row r="43" spans="1:59" x14ac:dyDescent="0.25">
      <c r="A43" s="107">
        <v>3816</v>
      </c>
      <c r="B43" s="367" t="s">
        <v>135</v>
      </c>
      <c r="C43" s="98" t="s">
        <v>136</v>
      </c>
      <c r="D43" s="98" t="s">
        <v>504</v>
      </c>
      <c r="E43" s="142" t="s">
        <v>137</v>
      </c>
      <c r="F43" s="11" t="s">
        <v>779</v>
      </c>
      <c r="G43" s="11">
        <v>12</v>
      </c>
      <c r="H43" s="189">
        <v>8766</v>
      </c>
      <c r="I43" s="11" t="s">
        <v>769</v>
      </c>
      <c r="J43" s="48">
        <v>3</v>
      </c>
      <c r="K43" s="48">
        <v>50</v>
      </c>
      <c r="L43" s="185">
        <f t="shared" si="33"/>
        <v>1.5</v>
      </c>
      <c r="M43" s="266">
        <f t="shared" si="19"/>
        <v>1.5</v>
      </c>
      <c r="N43" s="266">
        <f t="shared" si="20"/>
        <v>4.5</v>
      </c>
      <c r="O43" s="48" t="s">
        <v>280</v>
      </c>
      <c r="P43" s="93">
        <v>3</v>
      </c>
      <c r="Q43" s="93">
        <v>50</v>
      </c>
      <c r="R43" s="197">
        <f t="shared" si="34"/>
        <v>1.5</v>
      </c>
      <c r="S43" s="320">
        <f t="shared" si="21"/>
        <v>1.5</v>
      </c>
      <c r="T43" s="320">
        <f t="shared" si="22"/>
        <v>4.5</v>
      </c>
      <c r="U43" s="93" t="s">
        <v>280</v>
      </c>
      <c r="V43" s="174" t="s">
        <v>11</v>
      </c>
      <c r="W43" s="174" t="s">
        <v>45</v>
      </c>
      <c r="X43" s="174">
        <v>7</v>
      </c>
      <c r="Y43" s="174">
        <v>21</v>
      </c>
      <c r="Z43" s="174">
        <v>0</v>
      </c>
      <c r="AA43" s="174">
        <v>0</v>
      </c>
      <c r="AB43" s="224" t="s">
        <v>716</v>
      </c>
      <c r="AC43" s="26">
        <v>5</v>
      </c>
      <c r="AD43" s="26">
        <v>50</v>
      </c>
      <c r="AE43" s="176">
        <f>(AD43/100)*AC43</f>
        <v>2.5</v>
      </c>
      <c r="AF43" s="270">
        <f t="shared" si="23"/>
        <v>2.5</v>
      </c>
      <c r="AG43" s="270">
        <f t="shared" si="24"/>
        <v>7.5</v>
      </c>
      <c r="AH43" s="26" t="s">
        <v>1039</v>
      </c>
      <c r="AI43" s="326">
        <v>27</v>
      </c>
      <c r="AJ43" s="30">
        <v>3</v>
      </c>
      <c r="AK43" s="30">
        <v>50</v>
      </c>
      <c r="AL43" s="179">
        <f>(AK43/100)*AJ43</f>
        <v>1.5</v>
      </c>
      <c r="AM43" s="235">
        <f t="shared" si="25"/>
        <v>1.5</v>
      </c>
      <c r="AN43" s="235">
        <f t="shared" si="26"/>
        <v>4.5</v>
      </c>
      <c r="AO43" s="30" t="s">
        <v>280</v>
      </c>
      <c r="AP43" s="32">
        <v>1</v>
      </c>
      <c r="AQ43" s="32" t="s">
        <v>868</v>
      </c>
      <c r="AR43" s="199">
        <f t="shared" si="36"/>
        <v>21.599999999999998</v>
      </c>
      <c r="AS43" s="199">
        <f t="shared" si="37"/>
        <v>43.199999999999996</v>
      </c>
      <c r="AT43" s="199">
        <f t="shared" si="38"/>
        <v>64.8</v>
      </c>
      <c r="AU43" s="200">
        <v>1.6375</v>
      </c>
      <c r="AV43" s="200">
        <v>2.0625</v>
      </c>
      <c r="AW43" s="200">
        <v>2.4874999999999998</v>
      </c>
      <c r="AX43" s="202">
        <f t="shared" si="27"/>
        <v>35.369999999999997</v>
      </c>
      <c r="AY43" s="202">
        <f t="shared" si="28"/>
        <v>89.1</v>
      </c>
      <c r="AZ43" s="202">
        <f t="shared" si="29"/>
        <v>161.18999999999997</v>
      </c>
      <c r="BA43" s="272">
        <f t="shared" si="39"/>
        <v>2.8000000000000003</v>
      </c>
      <c r="BB43" s="272">
        <f t="shared" si="40"/>
        <v>5.6000000000000005</v>
      </c>
      <c r="BC43" s="272">
        <f t="shared" si="41"/>
        <v>7</v>
      </c>
      <c r="BD43" s="273">
        <f t="shared" si="42"/>
        <v>0.84000000000000008</v>
      </c>
      <c r="BE43" s="273">
        <f t="shared" si="43"/>
        <v>1.6800000000000002</v>
      </c>
      <c r="BF43" s="273">
        <f t="shared" si="44"/>
        <v>2.0999999999999996</v>
      </c>
      <c r="BG43" s="3" t="s">
        <v>932</v>
      </c>
    </row>
    <row r="44" spans="1:59" x14ac:dyDescent="0.25">
      <c r="A44" s="107">
        <v>4137</v>
      </c>
      <c r="B44" s="369"/>
      <c r="C44" s="98" t="s">
        <v>589</v>
      </c>
      <c r="D44" s="98" t="s">
        <v>503</v>
      </c>
      <c r="E44" s="142" t="s">
        <v>139</v>
      </c>
      <c r="F44" s="11" t="s">
        <v>753</v>
      </c>
      <c r="G44" s="11">
        <v>12</v>
      </c>
      <c r="H44" s="189">
        <v>8766</v>
      </c>
      <c r="I44" s="11" t="s">
        <v>769</v>
      </c>
      <c r="J44" s="48">
        <v>2</v>
      </c>
      <c r="K44" s="48">
        <v>50</v>
      </c>
      <c r="L44" s="185">
        <f t="shared" si="33"/>
        <v>1</v>
      </c>
      <c r="M44" s="266">
        <f t="shared" si="19"/>
        <v>1</v>
      </c>
      <c r="N44" s="266">
        <f t="shared" si="20"/>
        <v>3</v>
      </c>
      <c r="O44" s="48" t="s">
        <v>814</v>
      </c>
      <c r="P44" s="93">
        <v>3</v>
      </c>
      <c r="Q44" s="93">
        <v>50</v>
      </c>
      <c r="R44" s="197">
        <f t="shared" si="34"/>
        <v>1.5</v>
      </c>
      <c r="S44" s="320">
        <f t="shared" si="21"/>
        <v>1.5</v>
      </c>
      <c r="T44" s="320">
        <f t="shared" si="22"/>
        <v>4.5</v>
      </c>
      <c r="U44" s="93" t="s">
        <v>814</v>
      </c>
      <c r="V44" s="174" t="s">
        <v>11</v>
      </c>
      <c r="W44" s="174" t="s">
        <v>45</v>
      </c>
      <c r="X44" s="174">
        <v>7</v>
      </c>
      <c r="Y44" s="174">
        <v>21</v>
      </c>
      <c r="Z44" s="174">
        <v>0</v>
      </c>
      <c r="AA44" s="174">
        <v>0</v>
      </c>
      <c r="AB44" s="224" t="s">
        <v>716</v>
      </c>
      <c r="AC44" s="26">
        <v>5</v>
      </c>
      <c r="AD44" s="26">
        <v>50</v>
      </c>
      <c r="AE44" s="176">
        <f>(AD44/100)*AC44</f>
        <v>2.5</v>
      </c>
      <c r="AF44" s="270">
        <f t="shared" si="23"/>
        <v>2.5</v>
      </c>
      <c r="AG44" s="270">
        <f t="shared" si="24"/>
        <v>7.5</v>
      </c>
      <c r="AH44" s="26" t="s">
        <v>1039</v>
      </c>
      <c r="AI44" s="326">
        <v>27</v>
      </c>
      <c r="AJ44" s="30">
        <v>3</v>
      </c>
      <c r="AK44" s="30">
        <v>50</v>
      </c>
      <c r="AL44" s="179">
        <f>(AK44/100)*AJ44</f>
        <v>1.5</v>
      </c>
      <c r="AM44" s="235">
        <f t="shared" si="25"/>
        <v>1.5</v>
      </c>
      <c r="AN44" s="235">
        <f t="shared" si="26"/>
        <v>4.5</v>
      </c>
      <c r="AO44" s="30" t="s">
        <v>280</v>
      </c>
      <c r="AP44" s="32">
        <v>1</v>
      </c>
      <c r="AQ44" s="32" t="s">
        <v>869</v>
      </c>
      <c r="AR44" s="199">
        <f t="shared" si="36"/>
        <v>18</v>
      </c>
      <c r="AS44" s="199">
        <f t="shared" si="37"/>
        <v>36</v>
      </c>
      <c r="AT44" s="199">
        <f t="shared" si="38"/>
        <v>54</v>
      </c>
      <c r="AU44" s="200">
        <v>1.4125000000000001</v>
      </c>
      <c r="AV44" s="200">
        <v>1.8125</v>
      </c>
      <c r="AW44" s="200">
        <v>2.2124999999999999</v>
      </c>
      <c r="AX44" s="202">
        <f t="shared" si="27"/>
        <v>25.425000000000001</v>
      </c>
      <c r="AY44" s="202">
        <f t="shared" si="28"/>
        <v>65.25</v>
      </c>
      <c r="AZ44" s="202">
        <f t="shared" si="29"/>
        <v>119.47499999999999</v>
      </c>
      <c r="BA44" s="272">
        <f t="shared" si="39"/>
        <v>2.1</v>
      </c>
      <c r="BB44" s="272">
        <f t="shared" si="40"/>
        <v>4.8</v>
      </c>
      <c r="BC44" s="272">
        <f t="shared" si="41"/>
        <v>6.4</v>
      </c>
      <c r="BD44" s="273">
        <f t="shared" si="42"/>
        <v>0.63</v>
      </c>
      <c r="BE44" s="273">
        <f t="shared" si="43"/>
        <v>1.44</v>
      </c>
      <c r="BF44" s="273">
        <f t="shared" si="44"/>
        <v>1.92</v>
      </c>
      <c r="BG44" s="3" t="s">
        <v>932</v>
      </c>
    </row>
    <row r="45" spans="1:59" ht="15.75" customHeight="1" x14ac:dyDescent="0.25">
      <c r="A45" s="120">
        <v>4264</v>
      </c>
      <c r="B45" s="363" t="s">
        <v>69</v>
      </c>
      <c r="C45" s="80" t="s">
        <v>263</v>
      </c>
      <c r="D45" s="80" t="s">
        <v>487</v>
      </c>
      <c r="E45" s="142" t="s">
        <v>70</v>
      </c>
      <c r="F45" s="11" t="s">
        <v>795</v>
      </c>
      <c r="G45" s="11">
        <v>8</v>
      </c>
      <c r="H45" s="189">
        <f>8*730.5</f>
        <v>5844</v>
      </c>
      <c r="I45" s="11" t="s">
        <v>789</v>
      </c>
      <c r="J45" s="48">
        <v>3</v>
      </c>
      <c r="K45" s="48">
        <v>25</v>
      </c>
      <c r="L45" s="185">
        <f t="shared" si="33"/>
        <v>0.75</v>
      </c>
      <c r="M45" s="266">
        <f t="shared" si="19"/>
        <v>2.25</v>
      </c>
      <c r="N45" s="266">
        <f t="shared" si="20"/>
        <v>3.75</v>
      </c>
      <c r="O45" s="48" t="s">
        <v>850</v>
      </c>
      <c r="P45" s="93">
        <v>3</v>
      </c>
      <c r="Q45" s="93">
        <v>25</v>
      </c>
      <c r="R45" s="197">
        <f t="shared" si="34"/>
        <v>0.75</v>
      </c>
      <c r="S45" s="320">
        <f t="shared" si="21"/>
        <v>2.25</v>
      </c>
      <c r="T45" s="320">
        <f t="shared" si="22"/>
        <v>3.75</v>
      </c>
      <c r="U45" s="93" t="s">
        <v>280</v>
      </c>
      <c r="V45" s="174" t="s">
        <v>11</v>
      </c>
      <c r="W45" s="174" t="s">
        <v>45</v>
      </c>
      <c r="X45" s="174">
        <v>4</v>
      </c>
      <c r="Y45" s="174">
        <v>18</v>
      </c>
      <c r="Z45" s="174">
        <v>0</v>
      </c>
      <c r="AA45" s="174">
        <v>0</v>
      </c>
      <c r="AB45" s="322" t="s">
        <v>830</v>
      </c>
      <c r="AC45" s="26">
        <v>1</v>
      </c>
      <c r="AD45" s="26">
        <v>25</v>
      </c>
      <c r="AE45" s="176">
        <f t="shared" si="45"/>
        <v>0.25</v>
      </c>
      <c r="AF45" s="270">
        <f t="shared" si="23"/>
        <v>0.75</v>
      </c>
      <c r="AG45" s="270">
        <f t="shared" si="24"/>
        <v>1.25</v>
      </c>
      <c r="AH45" s="26" t="s">
        <v>1030</v>
      </c>
      <c r="AI45" s="326" t="s">
        <v>1013</v>
      </c>
      <c r="AJ45" s="30">
        <v>1</v>
      </c>
      <c r="AK45" s="30">
        <v>50</v>
      </c>
      <c r="AL45" s="179">
        <f t="shared" si="35"/>
        <v>0.5</v>
      </c>
      <c r="AM45" s="235">
        <f t="shared" si="25"/>
        <v>0.5</v>
      </c>
      <c r="AN45" s="235">
        <f t="shared" si="26"/>
        <v>1.5</v>
      </c>
      <c r="AO45" s="30" t="s">
        <v>1012</v>
      </c>
      <c r="AP45" s="32">
        <v>1</v>
      </c>
      <c r="AQ45" s="32" t="s">
        <v>842</v>
      </c>
      <c r="AR45" s="199">
        <f t="shared" si="36"/>
        <v>24</v>
      </c>
      <c r="AS45" s="199">
        <f t="shared" si="37"/>
        <v>48</v>
      </c>
      <c r="AT45" s="199">
        <f t="shared" si="38"/>
        <v>72</v>
      </c>
      <c r="AU45" s="200">
        <v>1.4875</v>
      </c>
      <c r="AV45" s="200">
        <v>2.0625</v>
      </c>
      <c r="AW45" s="200">
        <v>2.6375000000000002</v>
      </c>
      <c r="AX45" s="202">
        <f t="shared" si="27"/>
        <v>35.700000000000003</v>
      </c>
      <c r="AY45" s="202">
        <f t="shared" si="28"/>
        <v>99</v>
      </c>
      <c r="AZ45" s="202">
        <f t="shared" si="29"/>
        <v>189.9</v>
      </c>
      <c r="BA45" s="272">
        <f t="shared" si="39"/>
        <v>2.8000000000000003</v>
      </c>
      <c r="BB45" s="272">
        <f t="shared" si="40"/>
        <v>5.8999999999999995</v>
      </c>
      <c r="BC45" s="272">
        <f t="shared" si="41"/>
        <v>7.3</v>
      </c>
      <c r="BD45" s="273">
        <f t="shared" si="42"/>
        <v>0.84000000000000008</v>
      </c>
      <c r="BE45" s="273">
        <f t="shared" si="43"/>
        <v>1.77</v>
      </c>
      <c r="BF45" s="273">
        <f t="shared" si="44"/>
        <v>2.19</v>
      </c>
      <c r="BG45" s="3" t="s">
        <v>932</v>
      </c>
    </row>
    <row r="46" spans="1:59" x14ac:dyDescent="0.25">
      <c r="A46" s="120">
        <v>4276</v>
      </c>
      <c r="B46" s="364"/>
      <c r="C46" s="80" t="s">
        <v>579</v>
      </c>
      <c r="D46" s="80" t="s">
        <v>488</v>
      </c>
      <c r="E46" s="142" t="s">
        <v>72</v>
      </c>
      <c r="F46" s="11" t="s">
        <v>753</v>
      </c>
      <c r="G46" s="11">
        <v>12</v>
      </c>
      <c r="H46" s="189">
        <v>8766</v>
      </c>
      <c r="I46" s="11" t="s">
        <v>774</v>
      </c>
      <c r="J46" s="48">
        <v>2</v>
      </c>
      <c r="K46" s="48">
        <v>50</v>
      </c>
      <c r="L46" s="185">
        <f t="shared" si="33"/>
        <v>1</v>
      </c>
      <c r="M46" s="266">
        <f t="shared" si="19"/>
        <v>1</v>
      </c>
      <c r="N46" s="266">
        <f t="shared" si="20"/>
        <v>3</v>
      </c>
      <c r="O46" s="48" t="s">
        <v>815</v>
      </c>
      <c r="P46" s="93">
        <v>3</v>
      </c>
      <c r="Q46" s="93">
        <v>50</v>
      </c>
      <c r="R46" s="197">
        <f t="shared" si="34"/>
        <v>1.5</v>
      </c>
      <c r="S46" s="320">
        <f t="shared" si="21"/>
        <v>1.5</v>
      </c>
      <c r="T46" s="320">
        <f t="shared" si="22"/>
        <v>4.5</v>
      </c>
      <c r="U46" s="93" t="s">
        <v>815</v>
      </c>
      <c r="V46" s="174" t="s">
        <v>11</v>
      </c>
      <c r="W46" s="174" t="s">
        <v>45</v>
      </c>
      <c r="X46" s="174">
        <v>4</v>
      </c>
      <c r="Y46" s="174">
        <v>19</v>
      </c>
      <c r="Z46" s="174">
        <v>0</v>
      </c>
      <c r="AA46" s="174">
        <v>0</v>
      </c>
      <c r="AB46" s="322" t="s">
        <v>718</v>
      </c>
      <c r="AC46" s="26">
        <v>1</v>
      </c>
      <c r="AD46" s="26">
        <v>25</v>
      </c>
      <c r="AE46" s="176">
        <f t="shared" si="45"/>
        <v>0.25</v>
      </c>
      <c r="AF46" s="270">
        <f t="shared" si="23"/>
        <v>0.75</v>
      </c>
      <c r="AG46" s="270">
        <f t="shared" si="24"/>
        <v>1.25</v>
      </c>
      <c r="AH46" s="26" t="s">
        <v>1030</v>
      </c>
      <c r="AI46" s="326" t="s">
        <v>739</v>
      </c>
      <c r="AJ46" s="30">
        <v>2</v>
      </c>
      <c r="AK46" s="30">
        <v>50</v>
      </c>
      <c r="AL46" s="179">
        <f t="shared" si="35"/>
        <v>1</v>
      </c>
      <c r="AM46" s="235">
        <f t="shared" si="25"/>
        <v>1</v>
      </c>
      <c r="AN46" s="235">
        <f t="shared" si="26"/>
        <v>3</v>
      </c>
      <c r="AO46" s="30" t="s">
        <v>1008</v>
      </c>
      <c r="AP46" s="32">
        <v>1</v>
      </c>
      <c r="AQ46" s="32" t="s">
        <v>870</v>
      </c>
      <c r="AR46" s="199">
        <f t="shared" si="36"/>
        <v>40</v>
      </c>
      <c r="AS46" s="199">
        <f t="shared" si="37"/>
        <v>120</v>
      </c>
      <c r="AT46" s="199">
        <f t="shared" si="38"/>
        <v>216</v>
      </c>
      <c r="AU46" s="200">
        <v>1.9375</v>
      </c>
      <c r="AV46" s="200">
        <v>3.0625</v>
      </c>
      <c r="AW46" s="200">
        <v>4.1875</v>
      </c>
      <c r="AX46" s="202">
        <f t="shared" si="27"/>
        <v>77.5</v>
      </c>
      <c r="AY46" s="202">
        <f t="shared" si="28"/>
        <v>367.5</v>
      </c>
      <c r="AZ46" s="202">
        <f t="shared" si="29"/>
        <v>904.5</v>
      </c>
      <c r="BA46" s="272">
        <f t="shared" si="39"/>
        <v>5.4</v>
      </c>
      <c r="BB46" s="272">
        <f t="shared" si="40"/>
        <v>8.4</v>
      </c>
      <c r="BC46" s="272">
        <f t="shared" si="41"/>
        <v>9.6</v>
      </c>
      <c r="BD46" s="273">
        <f t="shared" si="42"/>
        <v>1.62</v>
      </c>
      <c r="BE46" s="273">
        <f t="shared" si="43"/>
        <v>2.52</v>
      </c>
      <c r="BF46" s="273">
        <f t="shared" si="44"/>
        <v>2.88</v>
      </c>
      <c r="BG46" s="3" t="s">
        <v>933</v>
      </c>
    </row>
    <row r="47" spans="1:59" x14ac:dyDescent="0.25">
      <c r="A47" s="120">
        <v>4269</v>
      </c>
      <c r="B47" s="364"/>
      <c r="C47" s="80" t="s">
        <v>580</v>
      </c>
      <c r="D47" s="80" t="s">
        <v>489</v>
      </c>
      <c r="E47" s="142" t="s">
        <v>74</v>
      </c>
      <c r="F47" s="11" t="s">
        <v>767</v>
      </c>
      <c r="G47" s="11">
        <v>7</v>
      </c>
      <c r="H47" s="189">
        <f>7*730.5</f>
        <v>5113.5</v>
      </c>
      <c r="I47" s="11" t="s">
        <v>790</v>
      </c>
      <c r="J47" s="48">
        <v>2</v>
      </c>
      <c r="K47" s="48">
        <v>50</v>
      </c>
      <c r="L47" s="185">
        <f t="shared" si="33"/>
        <v>1</v>
      </c>
      <c r="M47" s="266">
        <f t="shared" si="19"/>
        <v>1</v>
      </c>
      <c r="N47" s="266">
        <f t="shared" si="20"/>
        <v>3</v>
      </c>
      <c r="O47" s="48" t="s">
        <v>280</v>
      </c>
      <c r="P47" s="93">
        <v>3</v>
      </c>
      <c r="Q47" s="93">
        <v>50</v>
      </c>
      <c r="R47" s="197">
        <f t="shared" si="34"/>
        <v>1.5</v>
      </c>
      <c r="S47" s="320">
        <f t="shared" si="21"/>
        <v>1.5</v>
      </c>
      <c r="T47" s="320">
        <f t="shared" si="22"/>
        <v>4.5</v>
      </c>
      <c r="U47" s="93" t="s">
        <v>280</v>
      </c>
      <c r="V47" s="174" t="s">
        <v>11</v>
      </c>
      <c r="W47" s="174" t="s">
        <v>45</v>
      </c>
      <c r="X47" s="174">
        <v>4</v>
      </c>
      <c r="Y47" s="174">
        <v>19</v>
      </c>
      <c r="Z47" s="174">
        <v>0</v>
      </c>
      <c r="AA47" s="174">
        <v>0</v>
      </c>
      <c r="AB47" s="224" t="s">
        <v>717</v>
      </c>
      <c r="AC47" s="26">
        <v>1</v>
      </c>
      <c r="AD47" s="26">
        <v>25</v>
      </c>
      <c r="AE47" s="176">
        <f t="shared" si="45"/>
        <v>0.25</v>
      </c>
      <c r="AF47" s="270">
        <f t="shared" si="23"/>
        <v>0.75</v>
      </c>
      <c r="AG47" s="270">
        <f t="shared" si="24"/>
        <v>1.25</v>
      </c>
      <c r="AH47" s="26" t="s">
        <v>1030</v>
      </c>
      <c r="AI47" s="326" t="s">
        <v>739</v>
      </c>
      <c r="AJ47" s="30">
        <v>2</v>
      </c>
      <c r="AK47" s="30">
        <v>50</v>
      </c>
      <c r="AL47" s="179">
        <f t="shared" si="35"/>
        <v>1</v>
      </c>
      <c r="AM47" s="235">
        <f t="shared" si="25"/>
        <v>1</v>
      </c>
      <c r="AN47" s="235">
        <f t="shared" si="26"/>
        <v>3</v>
      </c>
      <c r="AO47" s="30" t="s">
        <v>1008</v>
      </c>
      <c r="AP47" s="32">
        <v>1</v>
      </c>
      <c r="AQ47" s="32" t="s">
        <v>871</v>
      </c>
      <c r="AR47" s="199">
        <f t="shared" si="36"/>
        <v>23.333333333333336</v>
      </c>
      <c r="AS47" s="199">
        <f t="shared" si="37"/>
        <v>70</v>
      </c>
      <c r="AT47" s="199">
        <f t="shared" si="38"/>
        <v>126</v>
      </c>
      <c r="AU47" s="200">
        <v>1.8125</v>
      </c>
      <c r="AV47" s="200">
        <v>2.3125</v>
      </c>
      <c r="AW47" s="200">
        <v>2.8125</v>
      </c>
      <c r="AX47" s="202">
        <f t="shared" si="27"/>
        <v>42.291666666666671</v>
      </c>
      <c r="AY47" s="202">
        <f t="shared" si="28"/>
        <v>161.875</v>
      </c>
      <c r="AZ47" s="202">
        <f t="shared" si="29"/>
        <v>354.375</v>
      </c>
      <c r="BA47" s="272">
        <f t="shared" si="39"/>
        <v>3.5</v>
      </c>
      <c r="BB47" s="272">
        <f t="shared" si="40"/>
        <v>7</v>
      </c>
      <c r="BC47" s="272">
        <f t="shared" si="41"/>
        <v>8.2999999999999989</v>
      </c>
      <c r="BD47" s="273">
        <f t="shared" si="42"/>
        <v>1.0499999999999998</v>
      </c>
      <c r="BE47" s="273">
        <f t="shared" si="43"/>
        <v>2.0999999999999996</v>
      </c>
      <c r="BF47" s="273">
        <f t="shared" si="44"/>
        <v>2.4899999999999998</v>
      </c>
      <c r="BG47" s="3" t="s">
        <v>933</v>
      </c>
    </row>
    <row r="48" spans="1:59" x14ac:dyDescent="0.25">
      <c r="A48" s="120">
        <v>4325</v>
      </c>
      <c r="B48" s="364"/>
      <c r="C48" s="80" t="s">
        <v>76</v>
      </c>
      <c r="D48" s="80" t="s">
        <v>441</v>
      </c>
      <c r="E48" s="142" t="s">
        <v>77</v>
      </c>
      <c r="F48" s="11" t="s">
        <v>753</v>
      </c>
      <c r="G48" s="11">
        <v>12</v>
      </c>
      <c r="H48" s="189">
        <v>8766</v>
      </c>
      <c r="I48" s="11" t="s">
        <v>763</v>
      </c>
      <c r="J48" s="48">
        <v>2</v>
      </c>
      <c r="K48" s="48">
        <v>50</v>
      </c>
      <c r="L48" s="185">
        <f t="shared" si="33"/>
        <v>1</v>
      </c>
      <c r="M48" s="266">
        <f t="shared" si="19"/>
        <v>1</v>
      </c>
      <c r="N48" s="266">
        <f t="shared" si="20"/>
        <v>3</v>
      </c>
      <c r="O48" s="48" t="s">
        <v>816</v>
      </c>
      <c r="P48" s="93">
        <v>3</v>
      </c>
      <c r="Q48" s="93">
        <v>50</v>
      </c>
      <c r="R48" s="197">
        <f t="shared" si="34"/>
        <v>1.5</v>
      </c>
      <c r="S48" s="320">
        <f t="shared" si="21"/>
        <v>1.5</v>
      </c>
      <c r="T48" s="320">
        <f t="shared" si="22"/>
        <v>4.5</v>
      </c>
      <c r="U48" s="93" t="s">
        <v>817</v>
      </c>
      <c r="V48" s="174" t="s">
        <v>11</v>
      </c>
      <c r="W48" s="174" t="s">
        <v>45</v>
      </c>
      <c r="X48" s="174">
        <v>4</v>
      </c>
      <c r="Y48" s="174">
        <v>18</v>
      </c>
      <c r="Z48" s="174">
        <v>0</v>
      </c>
      <c r="AA48" s="174">
        <v>0</v>
      </c>
      <c r="AB48" s="224">
        <v>46</v>
      </c>
      <c r="AC48" s="26">
        <v>1</v>
      </c>
      <c r="AD48" s="26">
        <v>25</v>
      </c>
      <c r="AE48" s="176">
        <f t="shared" si="45"/>
        <v>0.25</v>
      </c>
      <c r="AF48" s="270">
        <f t="shared" si="23"/>
        <v>0.75</v>
      </c>
      <c r="AG48" s="270">
        <f t="shared" si="24"/>
        <v>1.25</v>
      </c>
      <c r="AH48" s="26" t="s">
        <v>1030</v>
      </c>
      <c r="AI48" s="326" t="s">
        <v>739</v>
      </c>
      <c r="AJ48" s="30">
        <v>2</v>
      </c>
      <c r="AK48" s="30">
        <v>50</v>
      </c>
      <c r="AL48" s="179">
        <f t="shared" si="35"/>
        <v>1</v>
      </c>
      <c r="AM48" s="235">
        <f t="shared" si="25"/>
        <v>1</v>
      </c>
      <c r="AN48" s="235">
        <f t="shared" si="26"/>
        <v>3</v>
      </c>
      <c r="AO48" s="30" t="s">
        <v>1008</v>
      </c>
      <c r="AP48" s="32">
        <v>1.5</v>
      </c>
      <c r="AQ48" s="32" t="s">
        <v>872</v>
      </c>
      <c r="AR48" s="199">
        <f t="shared" si="36"/>
        <v>60</v>
      </c>
      <c r="AS48" s="199">
        <f t="shared" si="37"/>
        <v>180</v>
      </c>
      <c r="AT48" s="199">
        <f t="shared" si="38"/>
        <v>324</v>
      </c>
      <c r="AU48" s="200">
        <v>2.1124999999999998</v>
      </c>
      <c r="AV48" s="200">
        <v>2.75</v>
      </c>
      <c r="AW48" s="200">
        <v>3.3875000000000002</v>
      </c>
      <c r="AX48" s="202">
        <f t="shared" si="27"/>
        <v>126.74999999999999</v>
      </c>
      <c r="AY48" s="202">
        <f t="shared" si="28"/>
        <v>495</v>
      </c>
      <c r="AZ48" s="202">
        <f t="shared" si="29"/>
        <v>1097.55</v>
      </c>
      <c r="BA48" s="272">
        <f t="shared" si="39"/>
        <v>6.6000000000000005</v>
      </c>
      <c r="BB48" s="272">
        <f t="shared" si="40"/>
        <v>8.8000000000000007</v>
      </c>
      <c r="BC48" s="272">
        <f t="shared" si="41"/>
        <v>9.8000000000000007</v>
      </c>
      <c r="BD48" s="273">
        <f t="shared" si="42"/>
        <v>1.98</v>
      </c>
      <c r="BE48" s="273">
        <f t="shared" si="43"/>
        <v>2.64</v>
      </c>
      <c r="BF48" s="273">
        <f t="shared" si="44"/>
        <v>2.94</v>
      </c>
      <c r="BG48" s="3" t="s">
        <v>933</v>
      </c>
    </row>
    <row r="49" spans="1:59" x14ac:dyDescent="0.25">
      <c r="A49" s="120">
        <v>4313</v>
      </c>
      <c r="B49" s="364"/>
      <c r="C49" s="80" t="s">
        <v>581</v>
      </c>
      <c r="D49" s="80" t="s">
        <v>439</v>
      </c>
      <c r="E49" s="142" t="s">
        <v>78</v>
      </c>
      <c r="F49" s="11" t="s">
        <v>753</v>
      </c>
      <c r="G49" s="11">
        <v>12</v>
      </c>
      <c r="H49" s="189">
        <v>8766</v>
      </c>
      <c r="I49" s="11" t="s">
        <v>790</v>
      </c>
      <c r="J49" s="48">
        <v>2</v>
      </c>
      <c r="K49" s="48">
        <v>50</v>
      </c>
      <c r="L49" s="185">
        <f t="shared" si="33"/>
        <v>1</v>
      </c>
      <c r="M49" s="266">
        <f t="shared" si="19"/>
        <v>1</v>
      </c>
      <c r="N49" s="266">
        <f t="shared" si="20"/>
        <v>3</v>
      </c>
      <c r="O49" s="48" t="s">
        <v>506</v>
      </c>
      <c r="P49" s="93">
        <v>3</v>
      </c>
      <c r="Q49" s="93">
        <v>50</v>
      </c>
      <c r="R49" s="197">
        <f t="shared" si="34"/>
        <v>1.5</v>
      </c>
      <c r="S49" s="320">
        <f t="shared" si="21"/>
        <v>1.5</v>
      </c>
      <c r="T49" s="320">
        <f t="shared" si="22"/>
        <v>4.5</v>
      </c>
      <c r="U49" s="93" t="s">
        <v>506</v>
      </c>
      <c r="V49" s="174" t="s">
        <v>11</v>
      </c>
      <c r="W49" s="174" t="s">
        <v>45</v>
      </c>
      <c r="X49" s="174">
        <v>4</v>
      </c>
      <c r="Y49" s="174">
        <v>18</v>
      </c>
      <c r="Z49" s="174">
        <v>0</v>
      </c>
      <c r="AA49" s="174">
        <v>0</v>
      </c>
      <c r="AB49" s="224">
        <v>46</v>
      </c>
      <c r="AC49" s="26">
        <v>1</v>
      </c>
      <c r="AD49" s="26">
        <v>25</v>
      </c>
      <c r="AE49" s="176">
        <f t="shared" si="45"/>
        <v>0.25</v>
      </c>
      <c r="AF49" s="270">
        <f t="shared" si="23"/>
        <v>0.75</v>
      </c>
      <c r="AG49" s="270">
        <f t="shared" si="24"/>
        <v>1.25</v>
      </c>
      <c r="AH49" s="26" t="s">
        <v>1030</v>
      </c>
      <c r="AI49" s="326" t="s">
        <v>739</v>
      </c>
      <c r="AJ49" s="30">
        <v>2</v>
      </c>
      <c r="AK49" s="30">
        <v>50</v>
      </c>
      <c r="AL49" s="179">
        <f t="shared" si="35"/>
        <v>1</v>
      </c>
      <c r="AM49" s="235">
        <f t="shared" si="25"/>
        <v>1</v>
      </c>
      <c r="AN49" s="235">
        <f t="shared" si="26"/>
        <v>3</v>
      </c>
      <c r="AO49" s="30" t="s">
        <v>1008</v>
      </c>
      <c r="AP49" s="32">
        <v>1</v>
      </c>
      <c r="AQ49" s="32" t="s">
        <v>873</v>
      </c>
      <c r="AR49" s="199">
        <f t="shared" si="36"/>
        <v>40</v>
      </c>
      <c r="AS49" s="199">
        <f t="shared" si="37"/>
        <v>120</v>
      </c>
      <c r="AT49" s="199">
        <f t="shared" si="38"/>
        <v>216</v>
      </c>
      <c r="AU49" s="200">
        <v>2.1749999999999998</v>
      </c>
      <c r="AV49" s="200">
        <v>3</v>
      </c>
      <c r="AW49" s="200">
        <v>3.8250000000000002</v>
      </c>
      <c r="AX49" s="202">
        <f t="shared" si="27"/>
        <v>87</v>
      </c>
      <c r="AY49" s="202">
        <f t="shared" si="28"/>
        <v>360</v>
      </c>
      <c r="AZ49" s="202">
        <f t="shared" si="29"/>
        <v>826.2</v>
      </c>
      <c r="BA49" s="272">
        <f t="shared" si="39"/>
        <v>5.5</v>
      </c>
      <c r="BB49" s="272">
        <f t="shared" si="40"/>
        <v>8.4</v>
      </c>
      <c r="BC49" s="272">
        <f t="shared" si="41"/>
        <v>9.5</v>
      </c>
      <c r="BD49" s="273">
        <f t="shared" si="42"/>
        <v>1.6500000000000001</v>
      </c>
      <c r="BE49" s="273">
        <f t="shared" si="43"/>
        <v>2.52</v>
      </c>
      <c r="BF49" s="273">
        <f t="shared" si="44"/>
        <v>2.8499999999999996</v>
      </c>
      <c r="BG49" s="3" t="s">
        <v>933</v>
      </c>
    </row>
    <row r="50" spans="1:59" x14ac:dyDescent="0.25">
      <c r="A50" s="120">
        <v>4318</v>
      </c>
      <c r="B50" s="364"/>
      <c r="C50" s="80" t="s">
        <v>79</v>
      </c>
      <c r="D50" s="80" t="s">
        <v>490</v>
      </c>
      <c r="E50" s="142" t="s">
        <v>80</v>
      </c>
      <c r="F50" s="11" t="s">
        <v>782</v>
      </c>
      <c r="G50" s="11">
        <v>6</v>
      </c>
      <c r="H50" s="189">
        <f>6*730.5</f>
        <v>4383</v>
      </c>
      <c r="I50" s="11" t="s">
        <v>826</v>
      </c>
      <c r="J50" s="48">
        <v>2</v>
      </c>
      <c r="K50" s="48">
        <v>50</v>
      </c>
      <c r="L50" s="185">
        <f t="shared" si="33"/>
        <v>1</v>
      </c>
      <c r="M50" s="266">
        <f t="shared" si="19"/>
        <v>1</v>
      </c>
      <c r="N50" s="266">
        <f t="shared" si="20"/>
        <v>3</v>
      </c>
      <c r="O50" s="48" t="s">
        <v>506</v>
      </c>
      <c r="P50" s="93">
        <v>3</v>
      </c>
      <c r="Q50" s="93">
        <v>50</v>
      </c>
      <c r="R50" s="197">
        <f t="shared" si="34"/>
        <v>1.5</v>
      </c>
      <c r="S50" s="320">
        <f t="shared" si="21"/>
        <v>1.5</v>
      </c>
      <c r="T50" s="320">
        <f t="shared" si="22"/>
        <v>4.5</v>
      </c>
      <c r="U50" s="93" t="s">
        <v>506</v>
      </c>
      <c r="V50" s="174" t="s">
        <v>11</v>
      </c>
      <c r="W50" s="174" t="s">
        <v>45</v>
      </c>
      <c r="X50" s="174">
        <v>4</v>
      </c>
      <c r="Y50" s="174">
        <v>18</v>
      </c>
      <c r="Z50" s="174">
        <v>1</v>
      </c>
      <c r="AA50" s="174">
        <v>1</v>
      </c>
      <c r="AB50" s="224">
        <v>46</v>
      </c>
      <c r="AC50" s="26">
        <v>1</v>
      </c>
      <c r="AD50" s="26">
        <v>25</v>
      </c>
      <c r="AE50" s="176">
        <f t="shared" si="45"/>
        <v>0.25</v>
      </c>
      <c r="AF50" s="270">
        <f t="shared" si="23"/>
        <v>0.75</v>
      </c>
      <c r="AG50" s="270">
        <f t="shared" si="24"/>
        <v>1.25</v>
      </c>
      <c r="AH50" s="26" t="s">
        <v>1030</v>
      </c>
      <c r="AI50" s="326" t="s">
        <v>739</v>
      </c>
      <c r="AJ50" s="30">
        <v>2</v>
      </c>
      <c r="AK50" s="30">
        <v>50</v>
      </c>
      <c r="AL50" s="179">
        <f t="shared" si="35"/>
        <v>1</v>
      </c>
      <c r="AM50" s="235">
        <f t="shared" si="25"/>
        <v>1</v>
      </c>
      <c r="AN50" s="235">
        <f t="shared" si="26"/>
        <v>3</v>
      </c>
      <c r="AO50" s="30" t="s">
        <v>1008</v>
      </c>
      <c r="AP50" s="32">
        <v>1</v>
      </c>
      <c r="AQ50" s="32" t="s">
        <v>874</v>
      </c>
      <c r="AR50" s="199">
        <f t="shared" si="36"/>
        <v>20</v>
      </c>
      <c r="AS50" s="199">
        <f t="shared" si="37"/>
        <v>60</v>
      </c>
      <c r="AT50" s="199">
        <f t="shared" si="38"/>
        <v>108</v>
      </c>
      <c r="AU50" s="200">
        <v>1</v>
      </c>
      <c r="AV50" s="200">
        <v>1.5625</v>
      </c>
      <c r="AW50" s="200">
        <v>2.125</v>
      </c>
      <c r="AX50" s="202">
        <f t="shared" si="27"/>
        <v>20</v>
      </c>
      <c r="AY50" s="202">
        <f t="shared" si="28"/>
        <v>93.75</v>
      </c>
      <c r="AZ50" s="202">
        <f t="shared" si="29"/>
        <v>229.5</v>
      </c>
      <c r="BA50" s="272">
        <f t="shared" si="39"/>
        <v>1.4000000000000001</v>
      </c>
      <c r="BB50" s="272">
        <f t="shared" si="40"/>
        <v>5.6000000000000005</v>
      </c>
      <c r="BC50" s="272">
        <f t="shared" si="41"/>
        <v>7.7</v>
      </c>
      <c r="BD50" s="273">
        <f t="shared" si="42"/>
        <v>0.42000000000000004</v>
      </c>
      <c r="BE50" s="273">
        <f t="shared" si="43"/>
        <v>1.6800000000000002</v>
      </c>
      <c r="BF50" s="273">
        <f t="shared" si="44"/>
        <v>2.31</v>
      </c>
      <c r="BG50" s="3" t="s">
        <v>932</v>
      </c>
    </row>
    <row r="51" spans="1:59" x14ac:dyDescent="0.25">
      <c r="A51" s="120">
        <v>4319</v>
      </c>
      <c r="B51" s="364"/>
      <c r="C51" s="80" t="s">
        <v>582</v>
      </c>
      <c r="D51" s="80" t="s">
        <v>440</v>
      </c>
      <c r="E51" s="142" t="s">
        <v>82</v>
      </c>
      <c r="F51" s="11" t="s">
        <v>753</v>
      </c>
      <c r="G51" s="11">
        <v>12</v>
      </c>
      <c r="H51" s="189">
        <v>8766</v>
      </c>
      <c r="I51" s="11" t="s">
        <v>748</v>
      </c>
      <c r="J51" s="48">
        <v>3</v>
      </c>
      <c r="K51" s="48">
        <v>50</v>
      </c>
      <c r="L51" s="185">
        <f t="shared" si="33"/>
        <v>1.5</v>
      </c>
      <c r="M51" s="266">
        <f t="shared" si="19"/>
        <v>1.5</v>
      </c>
      <c r="N51" s="266">
        <f t="shared" si="20"/>
        <v>4.5</v>
      </c>
      <c r="O51" s="48" t="s">
        <v>280</v>
      </c>
      <c r="P51" s="93">
        <v>3</v>
      </c>
      <c r="Q51" s="93">
        <v>50</v>
      </c>
      <c r="R51" s="197">
        <f t="shared" si="34"/>
        <v>1.5</v>
      </c>
      <c r="S51" s="320">
        <f t="shared" si="21"/>
        <v>1.5</v>
      </c>
      <c r="T51" s="320">
        <f t="shared" si="22"/>
        <v>4.5</v>
      </c>
      <c r="U51" s="93" t="s">
        <v>280</v>
      </c>
      <c r="V51" s="174" t="s">
        <v>11</v>
      </c>
      <c r="W51" s="174" t="s">
        <v>45</v>
      </c>
      <c r="X51" s="174">
        <v>4</v>
      </c>
      <c r="Y51" s="174">
        <v>18</v>
      </c>
      <c r="Z51" s="174">
        <v>1</v>
      </c>
      <c r="AA51" s="174">
        <v>1</v>
      </c>
      <c r="AB51" s="224" t="s">
        <v>719</v>
      </c>
      <c r="AC51" s="26">
        <v>1</v>
      </c>
      <c r="AD51" s="26">
        <v>25</v>
      </c>
      <c r="AE51" s="176">
        <f t="shared" si="45"/>
        <v>0.25</v>
      </c>
      <c r="AF51" s="270">
        <f t="shared" si="23"/>
        <v>0.75</v>
      </c>
      <c r="AG51" s="270">
        <f t="shared" si="24"/>
        <v>1.25</v>
      </c>
      <c r="AH51" s="26" t="s">
        <v>1030</v>
      </c>
      <c r="AI51" s="326" t="s">
        <v>739</v>
      </c>
      <c r="AJ51" s="30">
        <v>2</v>
      </c>
      <c r="AK51" s="30">
        <v>50</v>
      </c>
      <c r="AL51" s="179">
        <f t="shared" si="35"/>
        <v>1</v>
      </c>
      <c r="AM51" s="235">
        <f t="shared" si="25"/>
        <v>1</v>
      </c>
      <c r="AN51" s="235">
        <f t="shared" si="26"/>
        <v>3</v>
      </c>
      <c r="AO51" s="30" t="s">
        <v>1008</v>
      </c>
      <c r="AP51" s="32">
        <v>1.5</v>
      </c>
      <c r="AQ51" s="32" t="s">
        <v>875</v>
      </c>
      <c r="AR51" s="199">
        <f t="shared" si="36"/>
        <v>72</v>
      </c>
      <c r="AS51" s="199">
        <f t="shared" si="37"/>
        <v>216</v>
      </c>
      <c r="AT51" s="199">
        <f t="shared" si="38"/>
        <v>388.8</v>
      </c>
      <c r="AU51" s="200">
        <v>1.7</v>
      </c>
      <c r="AV51" s="200">
        <v>2.0625</v>
      </c>
      <c r="AW51" s="200">
        <v>2.4249999999999998</v>
      </c>
      <c r="AX51" s="202">
        <f t="shared" si="27"/>
        <v>122.39999999999999</v>
      </c>
      <c r="AY51" s="202">
        <f t="shared" si="28"/>
        <v>445.5</v>
      </c>
      <c r="AZ51" s="202">
        <f t="shared" si="29"/>
        <v>942.83999999999992</v>
      </c>
      <c r="BA51" s="272">
        <f t="shared" si="39"/>
        <v>6.4</v>
      </c>
      <c r="BB51" s="272">
        <f t="shared" si="40"/>
        <v>8.8000000000000007</v>
      </c>
      <c r="BC51" s="272">
        <f t="shared" si="41"/>
        <v>9.6</v>
      </c>
      <c r="BD51" s="273">
        <f t="shared" si="42"/>
        <v>1.92</v>
      </c>
      <c r="BE51" s="273">
        <f t="shared" si="43"/>
        <v>2.64</v>
      </c>
      <c r="BF51" s="273">
        <f t="shared" si="44"/>
        <v>2.88</v>
      </c>
      <c r="BG51" s="3" t="s">
        <v>933</v>
      </c>
    </row>
    <row r="52" spans="1:59" x14ac:dyDescent="0.25">
      <c r="A52" s="120">
        <v>4329</v>
      </c>
      <c r="B52" s="364"/>
      <c r="C52" s="80" t="s">
        <v>83</v>
      </c>
      <c r="D52" s="80" t="s">
        <v>491</v>
      </c>
      <c r="E52" s="142" t="s">
        <v>84</v>
      </c>
      <c r="F52" s="11" t="s">
        <v>773</v>
      </c>
      <c r="G52" s="11">
        <v>10</v>
      </c>
      <c r="H52" s="189">
        <f>10*730.5</f>
        <v>7305</v>
      </c>
      <c r="I52" s="11" t="s">
        <v>774</v>
      </c>
      <c r="J52" s="48">
        <v>3</v>
      </c>
      <c r="K52" s="48">
        <v>25</v>
      </c>
      <c r="L52" s="185">
        <f t="shared" si="33"/>
        <v>0.75</v>
      </c>
      <c r="M52" s="266">
        <f t="shared" si="19"/>
        <v>2.25</v>
      </c>
      <c r="N52" s="266">
        <f t="shared" si="20"/>
        <v>3.75</v>
      </c>
      <c r="O52" s="48" t="s">
        <v>280</v>
      </c>
      <c r="P52" s="93">
        <v>2</v>
      </c>
      <c r="Q52" s="93">
        <v>50</v>
      </c>
      <c r="R52" s="197">
        <f t="shared" si="34"/>
        <v>1</v>
      </c>
      <c r="S52" s="320">
        <f t="shared" si="21"/>
        <v>1</v>
      </c>
      <c r="T52" s="320">
        <f t="shared" si="22"/>
        <v>3</v>
      </c>
      <c r="U52" s="93" t="s">
        <v>280</v>
      </c>
      <c r="V52" s="174" t="s">
        <v>11</v>
      </c>
      <c r="W52" s="174" t="s">
        <v>45</v>
      </c>
      <c r="X52" s="174">
        <v>6</v>
      </c>
      <c r="Y52" s="174">
        <v>17</v>
      </c>
      <c r="Z52" s="174">
        <v>0</v>
      </c>
      <c r="AA52" s="174">
        <v>0</v>
      </c>
      <c r="AB52" s="322" t="s">
        <v>831</v>
      </c>
      <c r="AC52" s="26">
        <v>1</v>
      </c>
      <c r="AD52" s="26">
        <v>10</v>
      </c>
      <c r="AE52" s="176">
        <f t="shared" si="45"/>
        <v>0.1</v>
      </c>
      <c r="AF52" s="270">
        <f t="shared" si="23"/>
        <v>0.9</v>
      </c>
      <c r="AG52" s="270">
        <f t="shared" si="24"/>
        <v>1.1000000000000001</v>
      </c>
      <c r="AH52" s="26" t="s">
        <v>1030</v>
      </c>
      <c r="AI52" s="326" t="s">
        <v>1011</v>
      </c>
      <c r="AJ52" s="30">
        <v>2</v>
      </c>
      <c r="AK52" s="30">
        <v>50</v>
      </c>
      <c r="AL52" s="179">
        <f t="shared" si="35"/>
        <v>1</v>
      </c>
      <c r="AM52" s="235">
        <f t="shared" si="25"/>
        <v>1</v>
      </c>
      <c r="AN52" s="235">
        <f t="shared" si="26"/>
        <v>3</v>
      </c>
      <c r="AO52" s="30" t="s">
        <v>1012</v>
      </c>
      <c r="AP52" s="32">
        <v>1</v>
      </c>
      <c r="AQ52" s="32" t="s">
        <v>876</v>
      </c>
      <c r="AR52" s="199">
        <f t="shared" si="36"/>
        <v>36.111111111111114</v>
      </c>
      <c r="AS52" s="199">
        <f t="shared" si="37"/>
        <v>100</v>
      </c>
      <c r="AT52" s="199">
        <f t="shared" si="38"/>
        <v>184.09090909090907</v>
      </c>
      <c r="AU52" s="200">
        <v>1.25</v>
      </c>
      <c r="AV52" s="200">
        <v>1.8125</v>
      </c>
      <c r="AW52" s="200">
        <v>2.375</v>
      </c>
      <c r="AX52" s="202">
        <f t="shared" si="27"/>
        <v>45.138888888888893</v>
      </c>
      <c r="AY52" s="202">
        <f t="shared" si="28"/>
        <v>181.25</v>
      </c>
      <c r="AZ52" s="202">
        <f t="shared" si="29"/>
        <v>437.21590909090901</v>
      </c>
      <c r="BA52" s="272">
        <f t="shared" si="39"/>
        <v>3.7</v>
      </c>
      <c r="BB52" s="272">
        <f t="shared" si="40"/>
        <v>7.1999999999999993</v>
      </c>
      <c r="BC52" s="272">
        <f t="shared" si="41"/>
        <v>8.6999999999999993</v>
      </c>
      <c r="BD52" s="273">
        <f t="shared" si="42"/>
        <v>1.1099999999999999</v>
      </c>
      <c r="BE52" s="273">
        <f t="shared" si="43"/>
        <v>2.16</v>
      </c>
      <c r="BF52" s="273">
        <f t="shared" si="44"/>
        <v>2.61</v>
      </c>
      <c r="BG52" s="3" t="s">
        <v>933</v>
      </c>
    </row>
    <row r="53" spans="1:59" x14ac:dyDescent="0.25">
      <c r="A53" s="120">
        <v>4349</v>
      </c>
      <c r="B53" s="364"/>
      <c r="C53" s="80" t="s">
        <v>583</v>
      </c>
      <c r="D53" s="80" t="s">
        <v>492</v>
      </c>
      <c r="E53" s="142" t="s">
        <v>85</v>
      </c>
      <c r="F53" s="11" t="s">
        <v>756</v>
      </c>
      <c r="G53" s="11">
        <v>9</v>
      </c>
      <c r="H53" s="189">
        <f>9*730.5</f>
        <v>6574.5</v>
      </c>
      <c r="I53" s="11" t="s">
        <v>790</v>
      </c>
      <c r="J53" s="48">
        <v>2</v>
      </c>
      <c r="K53" s="48">
        <v>50</v>
      </c>
      <c r="L53" s="185">
        <f t="shared" si="33"/>
        <v>1</v>
      </c>
      <c r="M53" s="266">
        <f t="shared" si="19"/>
        <v>1</v>
      </c>
      <c r="N53" s="266">
        <f t="shared" si="20"/>
        <v>3</v>
      </c>
      <c r="O53" s="48" t="s">
        <v>506</v>
      </c>
      <c r="P53" s="93">
        <v>3</v>
      </c>
      <c r="Q53" s="93">
        <v>50</v>
      </c>
      <c r="R53" s="197">
        <f t="shared" si="34"/>
        <v>1.5</v>
      </c>
      <c r="S53" s="320">
        <f t="shared" si="21"/>
        <v>1.5</v>
      </c>
      <c r="T53" s="320">
        <f t="shared" si="22"/>
        <v>4.5</v>
      </c>
      <c r="U53" s="93" t="s">
        <v>506</v>
      </c>
      <c r="V53" s="174" t="s">
        <v>11</v>
      </c>
      <c r="W53" s="174" t="s">
        <v>45</v>
      </c>
      <c r="X53" s="174">
        <v>6</v>
      </c>
      <c r="Y53" s="174">
        <v>17</v>
      </c>
      <c r="Z53" s="174">
        <v>1</v>
      </c>
      <c r="AA53" s="174">
        <v>1</v>
      </c>
      <c r="AB53" s="224" t="s">
        <v>831</v>
      </c>
      <c r="AC53" s="26">
        <v>1</v>
      </c>
      <c r="AD53" s="26">
        <v>10</v>
      </c>
      <c r="AE53" s="176">
        <f t="shared" si="45"/>
        <v>0.1</v>
      </c>
      <c r="AF53" s="270">
        <f t="shared" si="23"/>
        <v>0.9</v>
      </c>
      <c r="AG53" s="270">
        <f t="shared" si="24"/>
        <v>1.1000000000000001</v>
      </c>
      <c r="AH53" s="26" t="s">
        <v>1030</v>
      </c>
      <c r="AI53" s="326" t="s">
        <v>739</v>
      </c>
      <c r="AJ53" s="30">
        <v>2</v>
      </c>
      <c r="AK53" s="30">
        <v>50</v>
      </c>
      <c r="AL53" s="179">
        <f t="shared" si="35"/>
        <v>1</v>
      </c>
      <c r="AM53" s="235">
        <f t="shared" si="25"/>
        <v>1</v>
      </c>
      <c r="AN53" s="235">
        <f t="shared" si="26"/>
        <v>3</v>
      </c>
      <c r="AO53" s="30" t="s">
        <v>1008</v>
      </c>
      <c r="AP53" s="32">
        <v>1</v>
      </c>
      <c r="AQ53" s="32" t="s">
        <v>877</v>
      </c>
      <c r="AR53" s="199">
        <f t="shared" si="36"/>
        <v>25</v>
      </c>
      <c r="AS53" s="199">
        <f t="shared" si="37"/>
        <v>90</v>
      </c>
      <c r="AT53" s="199">
        <f t="shared" si="38"/>
        <v>184.09090909090907</v>
      </c>
      <c r="AU53" s="200">
        <v>2.0625</v>
      </c>
      <c r="AV53" s="200">
        <v>2.8125</v>
      </c>
      <c r="AW53" s="200">
        <v>3.5625</v>
      </c>
      <c r="AX53" s="202">
        <f t="shared" si="27"/>
        <v>51.5625</v>
      </c>
      <c r="AY53" s="202">
        <f t="shared" si="28"/>
        <v>253.125</v>
      </c>
      <c r="AZ53" s="202">
        <f t="shared" si="29"/>
        <v>655.82386363636351</v>
      </c>
      <c r="BA53" s="272">
        <f t="shared" si="39"/>
        <v>4.0999999999999996</v>
      </c>
      <c r="BB53" s="272">
        <f t="shared" si="40"/>
        <v>7.8000000000000007</v>
      </c>
      <c r="BC53" s="272">
        <f t="shared" si="41"/>
        <v>9.2000000000000011</v>
      </c>
      <c r="BD53" s="273">
        <f t="shared" si="42"/>
        <v>1.23</v>
      </c>
      <c r="BE53" s="273">
        <f t="shared" si="43"/>
        <v>2.34</v>
      </c>
      <c r="BF53" s="273">
        <f t="shared" si="44"/>
        <v>2.7600000000000002</v>
      </c>
      <c r="BG53" s="3" t="s">
        <v>933</v>
      </c>
    </row>
    <row r="54" spans="1:59" x14ac:dyDescent="0.25">
      <c r="A54" s="120">
        <v>4363</v>
      </c>
      <c r="B54" s="364"/>
      <c r="C54" s="80" t="s">
        <v>584</v>
      </c>
      <c r="D54" s="80" t="s">
        <v>591</v>
      </c>
      <c r="E54" s="142" t="s">
        <v>86</v>
      </c>
      <c r="F54" s="11" t="s">
        <v>753</v>
      </c>
      <c r="G54" s="11">
        <v>12</v>
      </c>
      <c r="H54" s="189">
        <v>8766</v>
      </c>
      <c r="I54" s="11" t="s">
        <v>794</v>
      </c>
      <c r="J54" s="48">
        <v>3</v>
      </c>
      <c r="K54" s="48">
        <v>50</v>
      </c>
      <c r="L54" s="185">
        <f t="shared" si="33"/>
        <v>1.5</v>
      </c>
      <c r="M54" s="266">
        <f t="shared" si="19"/>
        <v>1.5</v>
      </c>
      <c r="N54" s="266">
        <f t="shared" si="20"/>
        <v>4.5</v>
      </c>
      <c r="O54" s="48" t="s">
        <v>818</v>
      </c>
      <c r="P54" s="93">
        <v>3</v>
      </c>
      <c r="Q54" s="93">
        <v>50</v>
      </c>
      <c r="R54" s="197">
        <f t="shared" si="34"/>
        <v>1.5</v>
      </c>
      <c r="S54" s="320">
        <f t="shared" si="21"/>
        <v>1.5</v>
      </c>
      <c r="T54" s="320">
        <f t="shared" si="22"/>
        <v>4.5</v>
      </c>
      <c r="U54" s="93" t="s">
        <v>818</v>
      </c>
      <c r="V54" s="174" t="s">
        <v>11</v>
      </c>
      <c r="W54" s="174" t="s">
        <v>45</v>
      </c>
      <c r="X54" s="174">
        <v>6</v>
      </c>
      <c r="Y54" s="174">
        <v>17</v>
      </c>
      <c r="Z54" s="174">
        <v>0</v>
      </c>
      <c r="AA54" s="174">
        <v>0</v>
      </c>
      <c r="AB54" s="224">
        <v>47.9</v>
      </c>
      <c r="AC54" s="26">
        <v>1</v>
      </c>
      <c r="AD54" s="26">
        <v>10</v>
      </c>
      <c r="AE54" s="176">
        <f t="shared" si="45"/>
        <v>0.1</v>
      </c>
      <c r="AF54" s="270">
        <f t="shared" si="23"/>
        <v>0.9</v>
      </c>
      <c r="AG54" s="270">
        <f t="shared" si="24"/>
        <v>1.1000000000000001</v>
      </c>
      <c r="AH54" s="26" t="s">
        <v>1030</v>
      </c>
      <c r="AI54" s="326" t="s">
        <v>1011</v>
      </c>
      <c r="AJ54" s="30">
        <v>1</v>
      </c>
      <c r="AK54" s="30">
        <v>50</v>
      </c>
      <c r="AL54" s="179">
        <f t="shared" si="35"/>
        <v>0.5</v>
      </c>
      <c r="AM54" s="235">
        <f t="shared" si="25"/>
        <v>0.5</v>
      </c>
      <c r="AN54" s="235">
        <f t="shared" si="26"/>
        <v>1.5</v>
      </c>
      <c r="AO54" s="30" t="s">
        <v>1012</v>
      </c>
      <c r="AP54" s="32">
        <v>1.5</v>
      </c>
      <c r="AQ54" s="32" t="s">
        <v>818</v>
      </c>
      <c r="AR54" s="199">
        <f t="shared" si="36"/>
        <v>30</v>
      </c>
      <c r="AS54" s="199">
        <f t="shared" si="37"/>
        <v>108</v>
      </c>
      <c r="AT54" s="199">
        <f t="shared" si="38"/>
        <v>220.90909090909093</v>
      </c>
      <c r="AU54" s="200">
        <v>1.6125</v>
      </c>
      <c r="AV54" s="200">
        <v>2.3125</v>
      </c>
      <c r="AW54" s="200">
        <v>3.0125000000000002</v>
      </c>
      <c r="AX54" s="202">
        <f t="shared" si="27"/>
        <v>48.375</v>
      </c>
      <c r="AY54" s="202">
        <f t="shared" si="28"/>
        <v>249.75</v>
      </c>
      <c r="AZ54" s="202">
        <f t="shared" si="29"/>
        <v>665.48863636363649</v>
      </c>
      <c r="BA54" s="272">
        <f t="shared" si="39"/>
        <v>3.9000000000000004</v>
      </c>
      <c r="BB54" s="272">
        <f t="shared" si="40"/>
        <v>7.8000000000000007</v>
      </c>
      <c r="BC54" s="272">
        <f t="shared" si="41"/>
        <v>9.3000000000000007</v>
      </c>
      <c r="BD54" s="273">
        <f t="shared" si="42"/>
        <v>1.17</v>
      </c>
      <c r="BE54" s="273">
        <f t="shared" si="43"/>
        <v>2.34</v>
      </c>
      <c r="BF54" s="273">
        <f t="shared" si="44"/>
        <v>2.79</v>
      </c>
      <c r="BG54" s="3" t="s">
        <v>933</v>
      </c>
    </row>
    <row r="55" spans="1:59" x14ac:dyDescent="0.25">
      <c r="A55" s="120">
        <v>4320</v>
      </c>
      <c r="B55" s="364"/>
      <c r="C55" s="80" t="s">
        <v>87</v>
      </c>
      <c r="D55" s="80" t="s">
        <v>442</v>
      </c>
      <c r="E55" s="142" t="s">
        <v>88</v>
      </c>
      <c r="F55" s="11" t="s">
        <v>753</v>
      </c>
      <c r="G55" s="11">
        <v>12</v>
      </c>
      <c r="H55" s="189">
        <v>8766</v>
      </c>
      <c r="I55" s="11" t="s">
        <v>792</v>
      </c>
      <c r="J55" s="48">
        <v>3</v>
      </c>
      <c r="K55" s="48">
        <v>50</v>
      </c>
      <c r="L55" s="185">
        <f t="shared" si="33"/>
        <v>1.5</v>
      </c>
      <c r="M55" s="266">
        <f t="shared" si="19"/>
        <v>1.5</v>
      </c>
      <c r="N55" s="266">
        <f t="shared" si="20"/>
        <v>4.5</v>
      </c>
      <c r="O55" s="48" t="s">
        <v>927</v>
      </c>
      <c r="P55" s="93">
        <v>3</v>
      </c>
      <c r="Q55" s="93">
        <v>50</v>
      </c>
      <c r="R55" s="197">
        <f t="shared" si="34"/>
        <v>1.5</v>
      </c>
      <c r="S55" s="320">
        <f t="shared" si="21"/>
        <v>1.5</v>
      </c>
      <c r="T55" s="320">
        <f t="shared" si="22"/>
        <v>4.5</v>
      </c>
      <c r="U55" s="93" t="s">
        <v>927</v>
      </c>
      <c r="V55" s="174" t="s">
        <v>11</v>
      </c>
      <c r="W55" s="174" t="s">
        <v>45</v>
      </c>
      <c r="X55" s="174">
        <v>6</v>
      </c>
      <c r="Y55" s="174">
        <v>17</v>
      </c>
      <c r="Z55" s="174">
        <v>0</v>
      </c>
      <c r="AA55" s="174">
        <v>0</v>
      </c>
      <c r="AB55" s="224">
        <v>47.9</v>
      </c>
      <c r="AC55" s="26">
        <v>1</v>
      </c>
      <c r="AD55" s="26">
        <v>10</v>
      </c>
      <c r="AE55" s="176">
        <f t="shared" si="45"/>
        <v>0.1</v>
      </c>
      <c r="AF55" s="270">
        <f t="shared" si="23"/>
        <v>0.9</v>
      </c>
      <c r="AG55" s="270">
        <f t="shared" si="24"/>
        <v>1.1000000000000001</v>
      </c>
      <c r="AH55" s="26" t="s">
        <v>1030</v>
      </c>
      <c r="AI55" s="326" t="s">
        <v>1011</v>
      </c>
      <c r="AJ55" s="30">
        <v>1</v>
      </c>
      <c r="AK55" s="30">
        <v>50</v>
      </c>
      <c r="AL55" s="179">
        <f t="shared" si="35"/>
        <v>0.5</v>
      </c>
      <c r="AM55" s="235">
        <f t="shared" si="25"/>
        <v>0.5</v>
      </c>
      <c r="AN55" s="235">
        <f t="shared" si="26"/>
        <v>1.5</v>
      </c>
      <c r="AO55" s="30" t="s">
        <v>1012</v>
      </c>
      <c r="AP55" s="32">
        <v>1</v>
      </c>
      <c r="AQ55" s="32" t="s">
        <v>878</v>
      </c>
      <c r="AR55" s="199">
        <f t="shared" si="36"/>
        <v>20</v>
      </c>
      <c r="AS55" s="199">
        <f t="shared" si="37"/>
        <v>72</v>
      </c>
      <c r="AT55" s="199">
        <f t="shared" si="38"/>
        <v>147.27272727272728</v>
      </c>
      <c r="AU55" s="200">
        <v>2.0874999999999999</v>
      </c>
      <c r="AV55" s="200">
        <v>3.0625</v>
      </c>
      <c r="AW55" s="200">
        <v>4.0374999999999996</v>
      </c>
      <c r="AX55" s="202">
        <f t="shared" si="27"/>
        <v>41.75</v>
      </c>
      <c r="AY55" s="202">
        <f t="shared" si="28"/>
        <v>220.5</v>
      </c>
      <c r="AZ55" s="202">
        <f t="shared" si="29"/>
        <v>594.61363636363637</v>
      </c>
      <c r="BA55" s="272">
        <f t="shared" si="39"/>
        <v>3.4000000000000004</v>
      </c>
      <c r="BB55" s="272">
        <f t="shared" si="40"/>
        <v>7.6</v>
      </c>
      <c r="BC55" s="272">
        <f t="shared" si="41"/>
        <v>9</v>
      </c>
      <c r="BD55" s="273">
        <f t="shared" si="42"/>
        <v>1.02</v>
      </c>
      <c r="BE55" s="273">
        <f t="shared" si="43"/>
        <v>2.2800000000000002</v>
      </c>
      <c r="BF55" s="273">
        <f t="shared" si="44"/>
        <v>2.7</v>
      </c>
      <c r="BG55" s="3" t="s">
        <v>933</v>
      </c>
    </row>
    <row r="56" spans="1:59" x14ac:dyDescent="0.25">
      <c r="A56" s="120">
        <v>4463</v>
      </c>
      <c r="B56" s="364"/>
      <c r="C56" s="80" t="s">
        <v>89</v>
      </c>
      <c r="D56" s="80" t="s">
        <v>443</v>
      </c>
      <c r="E56" s="142" t="s">
        <v>90</v>
      </c>
      <c r="F56" s="11" t="s">
        <v>753</v>
      </c>
      <c r="G56" s="11">
        <v>12</v>
      </c>
      <c r="H56" s="189">
        <v>8766</v>
      </c>
      <c r="I56" s="11" t="s">
        <v>768</v>
      </c>
      <c r="J56" s="48">
        <v>5</v>
      </c>
      <c r="K56" s="48">
        <v>10</v>
      </c>
      <c r="L56" s="185">
        <f t="shared" si="33"/>
        <v>0.5</v>
      </c>
      <c r="M56" s="266">
        <f t="shared" si="19"/>
        <v>4.5</v>
      </c>
      <c r="N56" s="266">
        <f t="shared" si="20"/>
        <v>5.5</v>
      </c>
      <c r="O56" s="48" t="s">
        <v>819</v>
      </c>
      <c r="P56" s="93">
        <v>5</v>
      </c>
      <c r="Q56" s="93">
        <v>10</v>
      </c>
      <c r="R56" s="197">
        <f t="shared" si="34"/>
        <v>0.5</v>
      </c>
      <c r="S56" s="320">
        <f t="shared" si="21"/>
        <v>4.5</v>
      </c>
      <c r="T56" s="320">
        <f t="shared" si="22"/>
        <v>5.5</v>
      </c>
      <c r="U56" s="93" t="s">
        <v>819</v>
      </c>
      <c r="V56" s="174" t="s">
        <v>11</v>
      </c>
      <c r="W56" s="174" t="s">
        <v>45</v>
      </c>
      <c r="X56" s="174">
        <v>5</v>
      </c>
      <c r="Y56" s="174">
        <v>20</v>
      </c>
      <c r="Z56" s="174">
        <v>1</v>
      </c>
      <c r="AA56" s="174">
        <v>1</v>
      </c>
      <c r="AB56" s="224">
        <v>62.6</v>
      </c>
      <c r="AC56" s="26">
        <v>1</v>
      </c>
      <c r="AD56" s="26">
        <v>50</v>
      </c>
      <c r="AE56" s="176">
        <f t="shared" si="45"/>
        <v>0.5</v>
      </c>
      <c r="AF56" s="270">
        <f t="shared" si="23"/>
        <v>0.5</v>
      </c>
      <c r="AG56" s="270">
        <f t="shared" si="24"/>
        <v>1.5</v>
      </c>
      <c r="AH56" s="26" t="s">
        <v>1040</v>
      </c>
      <c r="AI56" s="326" t="s">
        <v>740</v>
      </c>
      <c r="AJ56" s="30">
        <v>1</v>
      </c>
      <c r="AK56" s="30">
        <v>50</v>
      </c>
      <c r="AL56" s="179">
        <f t="shared" si="35"/>
        <v>0.5</v>
      </c>
      <c r="AM56" s="235">
        <f t="shared" si="25"/>
        <v>0.5</v>
      </c>
      <c r="AN56" s="235">
        <f t="shared" si="26"/>
        <v>1.5</v>
      </c>
      <c r="AO56" s="30" t="s">
        <v>1008</v>
      </c>
      <c r="AP56" s="32">
        <v>1.5</v>
      </c>
      <c r="AQ56" s="32" t="s">
        <v>879</v>
      </c>
      <c r="AR56" s="199">
        <f t="shared" si="36"/>
        <v>162</v>
      </c>
      <c r="AS56" s="199">
        <f t="shared" si="37"/>
        <v>180</v>
      </c>
      <c r="AT56" s="199">
        <f t="shared" si="38"/>
        <v>198</v>
      </c>
      <c r="AU56" s="200">
        <v>2.5249999999999999</v>
      </c>
      <c r="AV56" s="200">
        <v>3.25</v>
      </c>
      <c r="AW56" s="200">
        <v>3.9750000000000001</v>
      </c>
      <c r="AX56" s="202">
        <f t="shared" si="27"/>
        <v>409.05</v>
      </c>
      <c r="AY56" s="202">
        <f t="shared" si="28"/>
        <v>585</v>
      </c>
      <c r="AZ56" s="202">
        <f t="shared" si="29"/>
        <v>787.05000000000007</v>
      </c>
      <c r="BA56" s="272">
        <f t="shared" si="39"/>
        <v>8.6</v>
      </c>
      <c r="BB56" s="272">
        <f t="shared" si="40"/>
        <v>8.9</v>
      </c>
      <c r="BC56" s="272">
        <f t="shared" si="41"/>
        <v>9.3999999999999986</v>
      </c>
      <c r="BD56" s="273">
        <f t="shared" si="42"/>
        <v>2.58</v>
      </c>
      <c r="BE56" s="273">
        <f t="shared" si="43"/>
        <v>2.67</v>
      </c>
      <c r="BF56" s="273">
        <f t="shared" si="44"/>
        <v>2.82</v>
      </c>
      <c r="BG56" s="3" t="s">
        <v>933</v>
      </c>
    </row>
    <row r="57" spans="1:59" x14ac:dyDescent="0.25">
      <c r="A57" s="120">
        <v>4497</v>
      </c>
      <c r="B57" s="364"/>
      <c r="C57" s="80" t="s">
        <v>92</v>
      </c>
      <c r="D57" s="80" t="s">
        <v>493</v>
      </c>
      <c r="E57" s="142" t="s">
        <v>93</v>
      </c>
      <c r="F57" s="11" t="s">
        <v>767</v>
      </c>
      <c r="G57" s="11">
        <v>7</v>
      </c>
      <c r="H57" s="189">
        <f>7*730.5</f>
        <v>5113.5</v>
      </c>
      <c r="I57" s="11" t="s">
        <v>769</v>
      </c>
      <c r="J57" s="48">
        <v>2</v>
      </c>
      <c r="K57" s="48">
        <v>50</v>
      </c>
      <c r="L57" s="185">
        <f t="shared" si="33"/>
        <v>1</v>
      </c>
      <c r="M57" s="266">
        <f t="shared" si="19"/>
        <v>1</v>
      </c>
      <c r="N57" s="266">
        <f t="shared" si="20"/>
        <v>3</v>
      </c>
      <c r="O57" s="48" t="s">
        <v>820</v>
      </c>
      <c r="P57" s="93">
        <v>5</v>
      </c>
      <c r="Q57" s="93">
        <v>25</v>
      </c>
      <c r="R57" s="197">
        <f t="shared" si="34"/>
        <v>1.25</v>
      </c>
      <c r="S57" s="320">
        <f t="shared" si="21"/>
        <v>3.75</v>
      </c>
      <c r="T57" s="320">
        <f t="shared" si="22"/>
        <v>6.25</v>
      </c>
      <c r="U57" s="93" t="s">
        <v>820</v>
      </c>
      <c r="V57" s="174" t="s">
        <v>11</v>
      </c>
      <c r="W57" s="174" t="s">
        <v>45</v>
      </c>
      <c r="X57" s="174">
        <v>5</v>
      </c>
      <c r="Y57" s="174">
        <v>20</v>
      </c>
      <c r="Z57" s="174">
        <v>1</v>
      </c>
      <c r="AA57" s="174">
        <v>1</v>
      </c>
      <c r="AB57" s="224" t="s">
        <v>707</v>
      </c>
      <c r="AC57" s="26">
        <v>1</v>
      </c>
      <c r="AD57" s="26">
        <v>50</v>
      </c>
      <c r="AE57" s="176">
        <f t="shared" si="45"/>
        <v>0.5</v>
      </c>
      <c r="AF57" s="270">
        <f t="shared" si="23"/>
        <v>0.5</v>
      </c>
      <c r="AG57" s="270">
        <f t="shared" si="24"/>
        <v>1.5</v>
      </c>
      <c r="AH57" s="26" t="s">
        <v>1030</v>
      </c>
      <c r="AI57" s="326" t="s">
        <v>740</v>
      </c>
      <c r="AJ57" s="30">
        <v>1</v>
      </c>
      <c r="AK57" s="30">
        <v>50</v>
      </c>
      <c r="AL57" s="179">
        <f t="shared" si="35"/>
        <v>0.5</v>
      </c>
      <c r="AM57" s="235">
        <f t="shared" si="25"/>
        <v>0.5</v>
      </c>
      <c r="AN57" s="235">
        <f t="shared" si="26"/>
        <v>1.5</v>
      </c>
      <c r="AO57" s="30" t="s">
        <v>1008</v>
      </c>
      <c r="AP57" s="32">
        <v>1</v>
      </c>
      <c r="AQ57" s="32" t="s">
        <v>880</v>
      </c>
      <c r="AR57" s="199">
        <f t="shared" si="36"/>
        <v>33.25</v>
      </c>
      <c r="AS57" s="199">
        <f t="shared" si="37"/>
        <v>49</v>
      </c>
      <c r="AT57" s="199">
        <f t="shared" si="38"/>
        <v>64.75</v>
      </c>
      <c r="AU57" s="200">
        <v>1.825</v>
      </c>
      <c r="AV57" s="200">
        <v>2.5</v>
      </c>
      <c r="AW57" s="200">
        <v>3.1749999999999998</v>
      </c>
      <c r="AX57" s="202">
        <f t="shared" si="27"/>
        <v>60.681249999999999</v>
      </c>
      <c r="AY57" s="202">
        <f t="shared" si="28"/>
        <v>122.5</v>
      </c>
      <c r="AZ57" s="202">
        <f t="shared" si="29"/>
        <v>205.58124999999998</v>
      </c>
      <c r="BA57" s="272">
        <f t="shared" si="39"/>
        <v>4.6000000000000005</v>
      </c>
      <c r="BB57" s="272">
        <f t="shared" si="40"/>
        <v>6.5</v>
      </c>
      <c r="BC57" s="272">
        <f t="shared" si="41"/>
        <v>7.5</v>
      </c>
      <c r="BD57" s="273">
        <f t="shared" si="42"/>
        <v>1.3800000000000001</v>
      </c>
      <c r="BE57" s="273">
        <f t="shared" si="43"/>
        <v>1.9500000000000002</v>
      </c>
      <c r="BF57" s="273">
        <f t="shared" si="44"/>
        <v>2.25</v>
      </c>
      <c r="BG57" s="3" t="s">
        <v>932</v>
      </c>
    </row>
    <row r="58" spans="1:59" x14ac:dyDescent="0.25">
      <c r="A58" s="120">
        <v>4492</v>
      </c>
      <c r="B58" s="364"/>
      <c r="C58" s="80" t="s">
        <v>94</v>
      </c>
      <c r="D58" s="80" t="s">
        <v>494</v>
      </c>
      <c r="E58" s="345" t="s">
        <v>95</v>
      </c>
      <c r="F58" s="11" t="s">
        <v>754</v>
      </c>
      <c r="G58" s="11">
        <v>11</v>
      </c>
      <c r="H58" s="189">
        <f>11*730.5</f>
        <v>8035.5</v>
      </c>
      <c r="I58" s="11" t="s">
        <v>769</v>
      </c>
      <c r="J58" s="48">
        <v>3</v>
      </c>
      <c r="K58" s="48">
        <v>50</v>
      </c>
      <c r="L58" s="185">
        <f t="shared" si="33"/>
        <v>1.5</v>
      </c>
      <c r="M58" s="266">
        <f t="shared" si="19"/>
        <v>1.5</v>
      </c>
      <c r="N58" s="266">
        <f t="shared" si="20"/>
        <v>4.5</v>
      </c>
      <c r="O58" s="48" t="s">
        <v>821</v>
      </c>
      <c r="P58" s="93">
        <v>5</v>
      </c>
      <c r="Q58" s="93">
        <v>25</v>
      </c>
      <c r="R58" s="197">
        <f t="shared" si="34"/>
        <v>1.25</v>
      </c>
      <c r="S58" s="320">
        <f t="shared" si="21"/>
        <v>3.75</v>
      </c>
      <c r="T58" s="320">
        <f t="shared" si="22"/>
        <v>6.25</v>
      </c>
      <c r="U58" s="93" t="s">
        <v>821</v>
      </c>
      <c r="V58" s="174" t="s">
        <v>11</v>
      </c>
      <c r="W58" s="174" t="s">
        <v>45</v>
      </c>
      <c r="X58" s="174">
        <v>5</v>
      </c>
      <c r="Y58" s="174">
        <v>20</v>
      </c>
      <c r="Z58" s="96">
        <v>0</v>
      </c>
      <c r="AA58" s="96">
        <v>0</v>
      </c>
      <c r="AB58" s="224" t="s">
        <v>727</v>
      </c>
      <c r="AC58" s="26">
        <v>1</v>
      </c>
      <c r="AD58" s="26">
        <v>50</v>
      </c>
      <c r="AE58" s="176">
        <f t="shared" si="45"/>
        <v>0.5</v>
      </c>
      <c r="AF58" s="270">
        <f t="shared" si="23"/>
        <v>0.5</v>
      </c>
      <c r="AG58" s="270">
        <f t="shared" si="24"/>
        <v>1.5</v>
      </c>
      <c r="AH58" s="26" t="s">
        <v>1041</v>
      </c>
      <c r="AI58" s="326" t="s">
        <v>740</v>
      </c>
      <c r="AJ58" s="30">
        <v>1</v>
      </c>
      <c r="AK58" s="30">
        <v>50</v>
      </c>
      <c r="AL58" s="179">
        <f t="shared" si="35"/>
        <v>0.5</v>
      </c>
      <c r="AM58" s="235">
        <f t="shared" si="25"/>
        <v>0.5</v>
      </c>
      <c r="AN58" s="235">
        <f t="shared" si="26"/>
        <v>1.5</v>
      </c>
      <c r="AO58" s="30" t="s">
        <v>1008</v>
      </c>
      <c r="AP58" s="32">
        <v>1</v>
      </c>
      <c r="AQ58" s="32" t="s">
        <v>881</v>
      </c>
      <c r="AR58" s="199">
        <f t="shared" si="36"/>
        <v>57.75</v>
      </c>
      <c r="AS58" s="199">
        <f t="shared" si="37"/>
        <v>88</v>
      </c>
      <c r="AT58" s="199">
        <f t="shared" si="38"/>
        <v>118.25000000000001</v>
      </c>
      <c r="AU58" s="200">
        <v>1.8125</v>
      </c>
      <c r="AV58" s="200">
        <v>2.25</v>
      </c>
      <c r="AW58" s="200">
        <v>2.6875</v>
      </c>
      <c r="AX58" s="202">
        <f t="shared" si="27"/>
        <v>104.671875</v>
      </c>
      <c r="AY58" s="202">
        <f t="shared" si="28"/>
        <v>198</v>
      </c>
      <c r="AZ58" s="202">
        <f t="shared" si="29"/>
        <v>317.79687500000006</v>
      </c>
      <c r="BA58" s="272">
        <f t="shared" si="39"/>
        <v>6.1</v>
      </c>
      <c r="BB58" s="272">
        <f t="shared" si="40"/>
        <v>7.4</v>
      </c>
      <c r="BC58" s="272">
        <f t="shared" si="41"/>
        <v>8.1000000000000014</v>
      </c>
      <c r="BD58" s="273">
        <f t="shared" si="42"/>
        <v>1.83</v>
      </c>
      <c r="BE58" s="273">
        <f t="shared" si="43"/>
        <v>2.2199999999999998</v>
      </c>
      <c r="BF58" s="273">
        <f t="shared" si="44"/>
        <v>2.4300000000000002</v>
      </c>
      <c r="BG58" s="3" t="s">
        <v>933</v>
      </c>
    </row>
    <row r="59" spans="1:59" x14ac:dyDescent="0.25">
      <c r="A59" s="120">
        <v>4530</v>
      </c>
      <c r="B59" s="364"/>
      <c r="C59" s="80" t="s">
        <v>96</v>
      </c>
      <c r="D59" s="80" t="s">
        <v>446</v>
      </c>
      <c r="E59" s="142" t="s">
        <v>97</v>
      </c>
      <c r="F59" s="11" t="s">
        <v>759</v>
      </c>
      <c r="G59" s="11">
        <v>8</v>
      </c>
      <c r="H59" s="189">
        <f>8*730.5</f>
        <v>5844</v>
      </c>
      <c r="I59" s="11" t="s">
        <v>826</v>
      </c>
      <c r="J59" s="48">
        <v>2</v>
      </c>
      <c r="K59" s="48">
        <v>50</v>
      </c>
      <c r="L59" s="185">
        <f t="shared" si="33"/>
        <v>1</v>
      </c>
      <c r="M59" s="266">
        <f t="shared" si="19"/>
        <v>1</v>
      </c>
      <c r="N59" s="266">
        <f t="shared" si="20"/>
        <v>3</v>
      </c>
      <c r="O59" s="48" t="s">
        <v>834</v>
      </c>
      <c r="P59" s="93">
        <v>5</v>
      </c>
      <c r="Q59" s="93">
        <v>50</v>
      </c>
      <c r="R59" s="197">
        <f t="shared" si="34"/>
        <v>2.5</v>
      </c>
      <c r="S59" s="320">
        <f t="shared" si="21"/>
        <v>2.5</v>
      </c>
      <c r="T59" s="320">
        <f t="shared" si="22"/>
        <v>7.5</v>
      </c>
      <c r="U59" s="93" t="s">
        <v>506</v>
      </c>
      <c r="V59" s="174" t="s">
        <v>11</v>
      </c>
      <c r="W59" s="174" t="s">
        <v>45</v>
      </c>
      <c r="X59" s="174">
        <v>5</v>
      </c>
      <c r="Y59" s="174">
        <v>20</v>
      </c>
      <c r="Z59" s="174">
        <v>1</v>
      </c>
      <c r="AA59" s="174">
        <v>1</v>
      </c>
      <c r="AB59" s="224">
        <v>62.6</v>
      </c>
      <c r="AC59" s="26">
        <v>1</v>
      </c>
      <c r="AD59" s="26">
        <v>50</v>
      </c>
      <c r="AE59" s="176">
        <f t="shared" si="45"/>
        <v>0.5</v>
      </c>
      <c r="AF59" s="270">
        <f t="shared" si="23"/>
        <v>0.5</v>
      </c>
      <c r="AG59" s="270">
        <f t="shared" si="24"/>
        <v>1.5</v>
      </c>
      <c r="AH59" s="26" t="s">
        <v>1042</v>
      </c>
      <c r="AI59" s="326" t="s">
        <v>740</v>
      </c>
      <c r="AJ59" s="30">
        <v>1</v>
      </c>
      <c r="AK59" s="30">
        <v>50</v>
      </c>
      <c r="AL59" s="179">
        <f t="shared" si="35"/>
        <v>0.5</v>
      </c>
      <c r="AM59" s="235">
        <f t="shared" si="25"/>
        <v>0.5</v>
      </c>
      <c r="AN59" s="235">
        <f t="shared" si="26"/>
        <v>1.5</v>
      </c>
      <c r="AO59" s="30" t="s">
        <v>1008</v>
      </c>
      <c r="AP59" s="32">
        <v>1.5</v>
      </c>
      <c r="AQ59" s="32" t="s">
        <v>882</v>
      </c>
      <c r="AR59" s="199">
        <f t="shared" si="36"/>
        <v>42</v>
      </c>
      <c r="AS59" s="199">
        <f t="shared" si="37"/>
        <v>84</v>
      </c>
      <c r="AT59" s="199">
        <f t="shared" si="38"/>
        <v>126</v>
      </c>
      <c r="AU59" s="200">
        <v>3</v>
      </c>
      <c r="AV59" s="200">
        <v>4</v>
      </c>
      <c r="AW59" s="200">
        <v>5</v>
      </c>
      <c r="AX59" s="202">
        <f t="shared" si="27"/>
        <v>126</v>
      </c>
      <c r="AY59" s="202">
        <f t="shared" si="28"/>
        <v>336</v>
      </c>
      <c r="AZ59" s="202">
        <f t="shared" si="29"/>
        <v>630</v>
      </c>
      <c r="BA59" s="272">
        <f t="shared" si="39"/>
        <v>6.6000000000000005</v>
      </c>
      <c r="BB59" s="272">
        <f t="shared" si="40"/>
        <v>8.1999999999999993</v>
      </c>
      <c r="BC59" s="272">
        <f t="shared" si="41"/>
        <v>9.1</v>
      </c>
      <c r="BD59" s="273">
        <f t="shared" si="42"/>
        <v>1.98</v>
      </c>
      <c r="BE59" s="273">
        <f t="shared" si="43"/>
        <v>2.46</v>
      </c>
      <c r="BF59" s="273">
        <f t="shared" si="44"/>
        <v>2.73</v>
      </c>
      <c r="BG59" s="3" t="s">
        <v>933</v>
      </c>
    </row>
    <row r="60" spans="1:59" x14ac:dyDescent="0.25">
      <c r="A60" s="120">
        <v>4515</v>
      </c>
      <c r="B60" s="364"/>
      <c r="C60" s="80" t="s">
        <v>99</v>
      </c>
      <c r="D60" s="80" t="s">
        <v>447</v>
      </c>
      <c r="E60" s="142" t="s">
        <v>100</v>
      </c>
      <c r="F60" s="11" t="s">
        <v>784</v>
      </c>
      <c r="G60" s="11">
        <v>12</v>
      </c>
      <c r="H60" s="189">
        <v>8766</v>
      </c>
      <c r="I60" s="11" t="s">
        <v>768</v>
      </c>
      <c r="J60" s="48">
        <v>4</v>
      </c>
      <c r="K60" s="48">
        <v>25</v>
      </c>
      <c r="L60" s="185">
        <f t="shared" si="33"/>
        <v>1</v>
      </c>
      <c r="M60" s="266">
        <f t="shared" si="19"/>
        <v>3</v>
      </c>
      <c r="N60" s="266">
        <f t="shared" si="20"/>
        <v>5</v>
      </c>
      <c r="O60" s="48" t="s">
        <v>280</v>
      </c>
      <c r="P60" s="93">
        <v>4</v>
      </c>
      <c r="Q60" s="93">
        <v>25</v>
      </c>
      <c r="R60" s="197">
        <f t="shared" si="34"/>
        <v>1</v>
      </c>
      <c r="S60" s="320">
        <f t="shared" si="21"/>
        <v>3</v>
      </c>
      <c r="T60" s="320">
        <f t="shared" si="22"/>
        <v>5</v>
      </c>
      <c r="U60" s="93" t="s">
        <v>280</v>
      </c>
      <c r="V60" s="174" t="s">
        <v>11</v>
      </c>
      <c r="W60" s="174" t="s">
        <v>45</v>
      </c>
      <c r="X60" s="174">
        <v>5</v>
      </c>
      <c r="Y60" s="174">
        <v>20</v>
      </c>
      <c r="Z60" s="174">
        <v>1</v>
      </c>
      <c r="AA60" s="174">
        <v>1</v>
      </c>
      <c r="AB60" s="224" t="s">
        <v>721</v>
      </c>
      <c r="AC60" s="26">
        <v>1</v>
      </c>
      <c r="AD60" s="26">
        <v>50</v>
      </c>
      <c r="AE60" s="176">
        <f t="shared" si="45"/>
        <v>0.5</v>
      </c>
      <c r="AF60" s="270">
        <f t="shared" si="23"/>
        <v>0.5</v>
      </c>
      <c r="AG60" s="270">
        <f t="shared" si="24"/>
        <v>1.5</v>
      </c>
      <c r="AH60" s="26" t="s">
        <v>1043</v>
      </c>
      <c r="AI60" s="326" t="s">
        <v>740</v>
      </c>
      <c r="AJ60" s="30">
        <v>1</v>
      </c>
      <c r="AK60" s="30">
        <v>50</v>
      </c>
      <c r="AL60" s="179">
        <f t="shared" si="35"/>
        <v>0.5</v>
      </c>
      <c r="AM60" s="235">
        <f t="shared" si="25"/>
        <v>0.5</v>
      </c>
      <c r="AN60" s="235">
        <f t="shared" si="26"/>
        <v>1.5</v>
      </c>
      <c r="AO60" s="30" t="s">
        <v>1008</v>
      </c>
      <c r="AP60" s="32">
        <v>1.5</v>
      </c>
      <c r="AQ60" s="32" t="s">
        <v>883</v>
      </c>
      <c r="AR60" s="199">
        <f t="shared" si="36"/>
        <v>108</v>
      </c>
      <c r="AS60" s="199">
        <f t="shared" si="37"/>
        <v>144</v>
      </c>
      <c r="AT60" s="199">
        <f t="shared" si="38"/>
        <v>180</v>
      </c>
      <c r="AU60" s="200">
        <v>2.0874999999999999</v>
      </c>
      <c r="AV60" s="200">
        <v>2.75</v>
      </c>
      <c r="AW60" s="200">
        <v>3.4125000000000001</v>
      </c>
      <c r="AX60" s="202">
        <f t="shared" si="27"/>
        <v>225.45</v>
      </c>
      <c r="AY60" s="202">
        <f t="shared" si="28"/>
        <v>396</v>
      </c>
      <c r="AZ60" s="202">
        <f t="shared" si="29"/>
        <v>614.25</v>
      </c>
      <c r="BA60" s="272">
        <f t="shared" si="39"/>
        <v>7.7</v>
      </c>
      <c r="BB60" s="272">
        <f t="shared" si="40"/>
        <v>8.6</v>
      </c>
      <c r="BC60" s="272">
        <f t="shared" si="41"/>
        <v>9</v>
      </c>
      <c r="BD60" s="273">
        <f t="shared" si="42"/>
        <v>2.31</v>
      </c>
      <c r="BE60" s="273">
        <f t="shared" si="43"/>
        <v>2.58</v>
      </c>
      <c r="BF60" s="273">
        <f t="shared" si="44"/>
        <v>2.7</v>
      </c>
      <c r="BG60" s="3" t="s">
        <v>933</v>
      </c>
    </row>
    <row r="61" spans="1:59" x14ac:dyDescent="0.25">
      <c r="A61" s="120">
        <v>4508</v>
      </c>
      <c r="B61" s="364"/>
      <c r="C61" s="80" t="s">
        <v>148</v>
      </c>
      <c r="D61" s="80" t="s">
        <v>444</v>
      </c>
      <c r="E61" s="142" t="s">
        <v>101</v>
      </c>
      <c r="F61" s="11" t="s">
        <v>753</v>
      </c>
      <c r="G61" s="11">
        <v>12</v>
      </c>
      <c r="H61" s="189">
        <v>8766</v>
      </c>
      <c r="I61" s="11" t="s">
        <v>768</v>
      </c>
      <c r="J61" s="48">
        <v>5</v>
      </c>
      <c r="K61" s="48">
        <v>25</v>
      </c>
      <c r="L61" s="185">
        <f t="shared" si="33"/>
        <v>1.25</v>
      </c>
      <c r="M61" s="266">
        <f t="shared" si="19"/>
        <v>3.75</v>
      </c>
      <c r="N61" s="266">
        <f t="shared" si="20"/>
        <v>6.25</v>
      </c>
      <c r="O61" s="48" t="s">
        <v>280</v>
      </c>
      <c r="P61" s="93">
        <v>5</v>
      </c>
      <c r="Q61" s="93">
        <v>25</v>
      </c>
      <c r="R61" s="197">
        <f t="shared" si="34"/>
        <v>1.25</v>
      </c>
      <c r="S61" s="320">
        <f t="shared" si="21"/>
        <v>3.75</v>
      </c>
      <c r="T61" s="320">
        <f t="shared" si="22"/>
        <v>6.25</v>
      </c>
      <c r="U61" s="93" t="s">
        <v>280</v>
      </c>
      <c r="V61" s="174" t="s">
        <v>11</v>
      </c>
      <c r="W61" s="174" t="s">
        <v>45</v>
      </c>
      <c r="X61" s="174">
        <v>5</v>
      </c>
      <c r="Y61" s="174">
        <v>20</v>
      </c>
      <c r="Z61" s="174">
        <v>1</v>
      </c>
      <c r="AA61" s="174">
        <v>1</v>
      </c>
      <c r="AB61" s="224" t="s">
        <v>720</v>
      </c>
      <c r="AC61" s="26">
        <v>1</v>
      </c>
      <c r="AD61" s="26">
        <v>50</v>
      </c>
      <c r="AE61" s="176">
        <f t="shared" si="45"/>
        <v>0.5</v>
      </c>
      <c r="AF61" s="270">
        <f t="shared" si="23"/>
        <v>0.5</v>
      </c>
      <c r="AG61" s="270">
        <f t="shared" si="24"/>
        <v>1.5</v>
      </c>
      <c r="AH61" s="26" t="s">
        <v>1044</v>
      </c>
      <c r="AI61" s="326" t="s">
        <v>740</v>
      </c>
      <c r="AJ61" s="30">
        <v>1</v>
      </c>
      <c r="AK61" s="30">
        <v>50</v>
      </c>
      <c r="AL61" s="179">
        <f t="shared" si="35"/>
        <v>0.5</v>
      </c>
      <c r="AM61" s="235">
        <f t="shared" si="25"/>
        <v>0.5</v>
      </c>
      <c r="AN61" s="235">
        <f t="shared" si="26"/>
        <v>1.5</v>
      </c>
      <c r="AO61" s="30" t="s">
        <v>1008</v>
      </c>
      <c r="AP61" s="32">
        <v>1.5</v>
      </c>
      <c r="AQ61" s="32" t="s">
        <v>884</v>
      </c>
      <c r="AR61" s="199">
        <f t="shared" si="36"/>
        <v>135</v>
      </c>
      <c r="AS61" s="199">
        <f t="shared" si="37"/>
        <v>180</v>
      </c>
      <c r="AT61" s="199">
        <f t="shared" si="38"/>
        <v>225</v>
      </c>
      <c r="AU61" s="200">
        <v>2.1625000000000001</v>
      </c>
      <c r="AV61" s="200">
        <v>2.8125</v>
      </c>
      <c r="AW61" s="200">
        <v>3.4625000000000004</v>
      </c>
      <c r="AX61" s="202">
        <f t="shared" si="27"/>
        <v>291.9375</v>
      </c>
      <c r="AY61" s="202">
        <f t="shared" si="28"/>
        <v>506.25</v>
      </c>
      <c r="AZ61" s="202">
        <f t="shared" si="29"/>
        <v>779.06250000000011</v>
      </c>
      <c r="BA61" s="272">
        <f t="shared" si="39"/>
        <v>8</v>
      </c>
      <c r="BB61" s="272">
        <f t="shared" si="40"/>
        <v>8.9</v>
      </c>
      <c r="BC61" s="272">
        <f t="shared" si="41"/>
        <v>9.3999999999999986</v>
      </c>
      <c r="BD61" s="273">
        <f t="shared" si="42"/>
        <v>2.4000000000000004</v>
      </c>
      <c r="BE61" s="273">
        <f t="shared" si="43"/>
        <v>2.67</v>
      </c>
      <c r="BF61" s="273">
        <f t="shared" si="44"/>
        <v>2.82</v>
      </c>
      <c r="BG61" s="3" t="s">
        <v>933</v>
      </c>
    </row>
    <row r="62" spans="1:59" x14ac:dyDescent="0.25">
      <c r="A62" s="120">
        <v>4440</v>
      </c>
      <c r="B62" s="364"/>
      <c r="C62" s="80" t="s">
        <v>102</v>
      </c>
      <c r="D62" s="80" t="s">
        <v>445</v>
      </c>
      <c r="E62" s="347" t="s">
        <v>103</v>
      </c>
      <c r="F62" s="11" t="s">
        <v>759</v>
      </c>
      <c r="G62" s="11">
        <v>8</v>
      </c>
      <c r="H62" s="189">
        <f>8*730.5</f>
        <v>5844</v>
      </c>
      <c r="I62" s="11" t="s">
        <v>748</v>
      </c>
      <c r="J62" s="48">
        <v>1</v>
      </c>
      <c r="K62" s="48">
        <v>50</v>
      </c>
      <c r="L62" s="185">
        <f t="shared" si="33"/>
        <v>0.5</v>
      </c>
      <c r="M62" s="266">
        <f t="shared" si="19"/>
        <v>0.5</v>
      </c>
      <c r="N62" s="266">
        <f t="shared" si="20"/>
        <v>1.5</v>
      </c>
      <c r="O62" s="48" t="s">
        <v>280</v>
      </c>
      <c r="P62" s="93">
        <v>5</v>
      </c>
      <c r="Q62" s="93">
        <v>50</v>
      </c>
      <c r="R62" s="197">
        <f t="shared" si="34"/>
        <v>2.5</v>
      </c>
      <c r="S62" s="320">
        <f t="shared" si="21"/>
        <v>2.5</v>
      </c>
      <c r="T62" s="320">
        <f t="shared" si="22"/>
        <v>7.5</v>
      </c>
      <c r="U62" s="93" t="s">
        <v>280</v>
      </c>
      <c r="V62" s="174" t="s">
        <v>11</v>
      </c>
      <c r="W62" s="174" t="s">
        <v>45</v>
      </c>
      <c r="X62" s="174">
        <v>5</v>
      </c>
      <c r="Y62" s="174">
        <v>20</v>
      </c>
      <c r="Z62" s="174">
        <v>1</v>
      </c>
      <c r="AA62" s="174">
        <v>1</v>
      </c>
      <c r="AB62" s="224">
        <v>62.6</v>
      </c>
      <c r="AC62" s="26">
        <v>1</v>
      </c>
      <c r="AD62" s="26">
        <v>25</v>
      </c>
      <c r="AE62" s="176">
        <f t="shared" si="45"/>
        <v>0.25</v>
      </c>
      <c r="AF62" s="270">
        <f t="shared" si="23"/>
        <v>0.75</v>
      </c>
      <c r="AG62" s="270">
        <f t="shared" si="24"/>
        <v>1.25</v>
      </c>
      <c r="AH62" s="26" t="s">
        <v>1045</v>
      </c>
      <c r="AI62" s="326" t="s">
        <v>740</v>
      </c>
      <c r="AJ62" s="30">
        <v>1</v>
      </c>
      <c r="AK62" s="30">
        <v>50</v>
      </c>
      <c r="AL62" s="179">
        <f t="shared" si="35"/>
        <v>0.5</v>
      </c>
      <c r="AM62" s="235">
        <f t="shared" si="25"/>
        <v>0.5</v>
      </c>
      <c r="AN62" s="235">
        <f t="shared" si="26"/>
        <v>1.5</v>
      </c>
      <c r="AO62" s="30" t="s">
        <v>1008</v>
      </c>
      <c r="AP62" s="32">
        <v>2</v>
      </c>
      <c r="AQ62" s="32" t="s">
        <v>885</v>
      </c>
      <c r="AR62" s="199">
        <f t="shared" si="36"/>
        <v>32</v>
      </c>
      <c r="AS62" s="199">
        <f t="shared" si="37"/>
        <v>96</v>
      </c>
      <c r="AT62" s="199">
        <f t="shared" si="38"/>
        <v>172.8</v>
      </c>
      <c r="AU62" s="200">
        <v>3.25</v>
      </c>
      <c r="AV62" s="200">
        <v>4</v>
      </c>
      <c r="AW62" s="200">
        <v>4.75</v>
      </c>
      <c r="AX62" s="202">
        <f t="shared" si="27"/>
        <v>104</v>
      </c>
      <c r="AY62" s="202">
        <f t="shared" si="28"/>
        <v>384</v>
      </c>
      <c r="AZ62" s="202">
        <f t="shared" si="29"/>
        <v>820.80000000000007</v>
      </c>
      <c r="BA62" s="272">
        <f t="shared" si="39"/>
        <v>6.1</v>
      </c>
      <c r="BB62" s="272">
        <f t="shared" si="40"/>
        <v>8.5</v>
      </c>
      <c r="BC62" s="272">
        <f t="shared" si="41"/>
        <v>9.5</v>
      </c>
      <c r="BD62" s="273">
        <f t="shared" si="42"/>
        <v>1.83</v>
      </c>
      <c r="BE62" s="273">
        <f t="shared" si="43"/>
        <v>2.5499999999999998</v>
      </c>
      <c r="BF62" s="273">
        <f t="shared" si="44"/>
        <v>2.8499999999999996</v>
      </c>
      <c r="BG62" s="3" t="s">
        <v>933</v>
      </c>
    </row>
    <row r="63" spans="1:59" s="88" customFormat="1" x14ac:dyDescent="0.25">
      <c r="A63" s="120">
        <v>4456</v>
      </c>
      <c r="B63" s="364"/>
      <c r="C63" s="80" t="s">
        <v>325</v>
      </c>
      <c r="D63" s="80" t="s">
        <v>448</v>
      </c>
      <c r="E63" s="142" t="s">
        <v>328</v>
      </c>
      <c r="F63" s="11" t="s">
        <v>783</v>
      </c>
      <c r="G63" s="11">
        <v>6</v>
      </c>
      <c r="H63" s="189">
        <f>6*730.5</f>
        <v>4383</v>
      </c>
      <c r="I63" s="11" t="s">
        <v>781</v>
      </c>
      <c r="J63" s="48">
        <v>5</v>
      </c>
      <c r="K63" s="48">
        <v>10</v>
      </c>
      <c r="L63" s="185">
        <f t="shared" si="33"/>
        <v>0.5</v>
      </c>
      <c r="M63" s="266">
        <f t="shared" si="19"/>
        <v>4.5</v>
      </c>
      <c r="N63" s="266">
        <f t="shared" si="20"/>
        <v>5.5</v>
      </c>
      <c r="O63" s="48" t="s">
        <v>280</v>
      </c>
      <c r="P63" s="93">
        <v>5</v>
      </c>
      <c r="Q63" s="93">
        <v>10</v>
      </c>
      <c r="R63" s="197">
        <f t="shared" si="34"/>
        <v>0.5</v>
      </c>
      <c r="S63" s="320">
        <f t="shared" si="21"/>
        <v>4.5</v>
      </c>
      <c r="T63" s="320">
        <f t="shared" si="22"/>
        <v>5.5</v>
      </c>
      <c r="U63" s="93" t="s">
        <v>280</v>
      </c>
      <c r="V63" s="174" t="s">
        <v>11</v>
      </c>
      <c r="W63" s="174" t="s">
        <v>45</v>
      </c>
      <c r="X63" s="174">
        <v>5</v>
      </c>
      <c r="Y63" s="174">
        <v>20</v>
      </c>
      <c r="Z63" s="174">
        <v>1</v>
      </c>
      <c r="AA63" s="174">
        <v>1</v>
      </c>
      <c r="AB63" s="224">
        <v>62.6</v>
      </c>
      <c r="AC63" s="26">
        <v>1</v>
      </c>
      <c r="AD63" s="26">
        <v>50</v>
      </c>
      <c r="AE63" s="176">
        <f t="shared" si="45"/>
        <v>0.5</v>
      </c>
      <c r="AF63" s="270">
        <f t="shared" si="23"/>
        <v>0.5</v>
      </c>
      <c r="AG63" s="270">
        <f t="shared" si="24"/>
        <v>1.5</v>
      </c>
      <c r="AH63" s="26" t="s">
        <v>1046</v>
      </c>
      <c r="AI63" s="326" t="s">
        <v>740</v>
      </c>
      <c r="AJ63" s="30">
        <v>1</v>
      </c>
      <c r="AK63" s="30">
        <v>50</v>
      </c>
      <c r="AL63" s="179">
        <f t="shared" si="35"/>
        <v>0.5</v>
      </c>
      <c r="AM63" s="235">
        <f t="shared" si="25"/>
        <v>0.5</v>
      </c>
      <c r="AN63" s="235">
        <f t="shared" si="26"/>
        <v>1.5</v>
      </c>
      <c r="AO63" s="30" t="s">
        <v>1008</v>
      </c>
      <c r="AP63" s="32">
        <v>1</v>
      </c>
      <c r="AQ63" s="32" t="s">
        <v>886</v>
      </c>
      <c r="AR63" s="199">
        <f t="shared" si="36"/>
        <v>54</v>
      </c>
      <c r="AS63" s="199">
        <f t="shared" si="37"/>
        <v>60</v>
      </c>
      <c r="AT63" s="199">
        <f t="shared" si="38"/>
        <v>66</v>
      </c>
      <c r="AU63" s="200">
        <v>1.75</v>
      </c>
      <c r="AV63" s="200">
        <v>2.5625</v>
      </c>
      <c r="AW63" s="200">
        <v>3.375</v>
      </c>
      <c r="AX63" s="202">
        <f t="shared" si="27"/>
        <v>94.5</v>
      </c>
      <c r="AY63" s="202">
        <f t="shared" si="28"/>
        <v>153.75</v>
      </c>
      <c r="AZ63" s="202">
        <f t="shared" si="29"/>
        <v>222.75</v>
      </c>
      <c r="BA63" s="272">
        <f t="shared" si="39"/>
        <v>5.6999999999999993</v>
      </c>
      <c r="BB63" s="272">
        <f t="shared" si="40"/>
        <v>6.8999999999999995</v>
      </c>
      <c r="BC63" s="272">
        <f t="shared" si="41"/>
        <v>7.6</v>
      </c>
      <c r="BD63" s="273">
        <f t="shared" si="42"/>
        <v>1.71</v>
      </c>
      <c r="BE63" s="273">
        <f t="shared" si="43"/>
        <v>2.0699999999999998</v>
      </c>
      <c r="BF63" s="273">
        <f t="shared" si="44"/>
        <v>2.2800000000000002</v>
      </c>
      <c r="BG63" s="3" t="s">
        <v>933</v>
      </c>
    </row>
    <row r="64" spans="1:59" s="88" customFormat="1" x14ac:dyDescent="0.25">
      <c r="A64" s="120">
        <v>4539</v>
      </c>
      <c r="B64" s="365"/>
      <c r="C64" s="80" t="s">
        <v>294</v>
      </c>
      <c r="D64" s="98" t="s">
        <v>449</v>
      </c>
      <c r="E64" s="343" t="s">
        <v>304</v>
      </c>
      <c r="F64" s="11" t="s">
        <v>753</v>
      </c>
      <c r="G64" s="11">
        <v>12</v>
      </c>
      <c r="H64" s="189">
        <v>8766</v>
      </c>
      <c r="I64" s="11" t="s">
        <v>781</v>
      </c>
      <c r="J64" s="48">
        <v>3</v>
      </c>
      <c r="K64" s="48">
        <v>50</v>
      </c>
      <c r="L64" s="185">
        <f t="shared" si="33"/>
        <v>1.5</v>
      </c>
      <c r="M64" s="266">
        <f t="shared" si="19"/>
        <v>1.5</v>
      </c>
      <c r="N64" s="266">
        <f t="shared" si="20"/>
        <v>4.5</v>
      </c>
      <c r="O64" s="48" t="s">
        <v>280</v>
      </c>
      <c r="P64" s="93">
        <v>3</v>
      </c>
      <c r="Q64" s="93">
        <v>50</v>
      </c>
      <c r="R64" s="197">
        <f t="shared" si="34"/>
        <v>1.5</v>
      </c>
      <c r="S64" s="320">
        <f t="shared" si="21"/>
        <v>1.5</v>
      </c>
      <c r="T64" s="320">
        <f t="shared" si="22"/>
        <v>4.5</v>
      </c>
      <c r="U64" s="93" t="s">
        <v>280</v>
      </c>
      <c r="V64" s="174" t="s">
        <v>11</v>
      </c>
      <c r="W64" s="174" t="s">
        <v>45</v>
      </c>
      <c r="X64" s="174">
        <v>5</v>
      </c>
      <c r="Y64" s="174">
        <v>20</v>
      </c>
      <c r="Z64" s="174">
        <v>1</v>
      </c>
      <c r="AA64" s="174">
        <v>1</v>
      </c>
      <c r="AB64" s="224">
        <v>62.6</v>
      </c>
      <c r="AC64" s="26">
        <v>1</v>
      </c>
      <c r="AD64" s="26">
        <v>50</v>
      </c>
      <c r="AE64" s="176">
        <f t="shared" si="45"/>
        <v>0.5</v>
      </c>
      <c r="AF64" s="270">
        <f t="shared" si="23"/>
        <v>0.5</v>
      </c>
      <c r="AG64" s="270">
        <f t="shared" si="24"/>
        <v>1.5</v>
      </c>
      <c r="AH64" s="26" t="s">
        <v>1039</v>
      </c>
      <c r="AI64" s="326" t="s">
        <v>506</v>
      </c>
      <c r="AJ64" s="30">
        <v>1</v>
      </c>
      <c r="AK64" s="30">
        <v>50</v>
      </c>
      <c r="AL64" s="179">
        <f t="shared" si="35"/>
        <v>0.5</v>
      </c>
      <c r="AM64" s="235">
        <f t="shared" si="25"/>
        <v>0.5</v>
      </c>
      <c r="AN64" s="235">
        <f t="shared" si="26"/>
        <v>1.5</v>
      </c>
      <c r="AO64" s="30" t="s">
        <v>742</v>
      </c>
      <c r="AP64" s="32">
        <v>1.5</v>
      </c>
      <c r="AQ64" s="32" t="s">
        <v>887</v>
      </c>
      <c r="AR64" s="199">
        <f t="shared" si="36"/>
        <v>54</v>
      </c>
      <c r="AS64" s="199">
        <f t="shared" si="37"/>
        <v>108</v>
      </c>
      <c r="AT64" s="199">
        <f t="shared" si="38"/>
        <v>162</v>
      </c>
      <c r="AU64" s="200">
        <v>2.85</v>
      </c>
      <c r="AV64" s="200">
        <v>3.5</v>
      </c>
      <c r="AW64" s="200">
        <v>4.1500000000000004</v>
      </c>
      <c r="AX64" s="202">
        <f t="shared" si="27"/>
        <v>153.9</v>
      </c>
      <c r="AY64" s="202">
        <f t="shared" si="28"/>
        <v>378</v>
      </c>
      <c r="AZ64" s="202">
        <f t="shared" si="29"/>
        <v>672.30000000000007</v>
      </c>
      <c r="BA64" s="272">
        <f t="shared" si="39"/>
        <v>6.8999999999999995</v>
      </c>
      <c r="BB64" s="272">
        <f t="shared" si="40"/>
        <v>8.5</v>
      </c>
      <c r="BC64" s="272">
        <f t="shared" si="41"/>
        <v>9.3000000000000007</v>
      </c>
      <c r="BD64" s="273">
        <f t="shared" si="42"/>
        <v>2.0699999999999998</v>
      </c>
      <c r="BE64" s="273">
        <f t="shared" si="43"/>
        <v>2.5499999999999998</v>
      </c>
      <c r="BF64" s="273">
        <f t="shared" si="44"/>
        <v>2.79</v>
      </c>
      <c r="BG64" s="3" t="s">
        <v>933</v>
      </c>
    </row>
    <row r="65" spans="1:59" ht="15.75" customHeight="1" x14ac:dyDescent="0.25">
      <c r="A65" s="107">
        <v>4262.12</v>
      </c>
      <c r="B65" s="367" t="s">
        <v>105</v>
      </c>
      <c r="C65" s="98" t="s">
        <v>585</v>
      </c>
      <c r="D65" s="98" t="s">
        <v>495</v>
      </c>
      <c r="E65" s="142" t="s">
        <v>106</v>
      </c>
      <c r="F65" s="11" t="s">
        <v>766</v>
      </c>
      <c r="G65" s="11">
        <v>3</v>
      </c>
      <c r="H65" s="189">
        <f>3*730.5</f>
        <v>2191.5</v>
      </c>
      <c r="I65" s="11" t="s">
        <v>794</v>
      </c>
      <c r="J65" s="48">
        <v>1</v>
      </c>
      <c r="K65" s="48">
        <v>25</v>
      </c>
      <c r="L65" s="185">
        <f t="shared" si="33"/>
        <v>0.25</v>
      </c>
      <c r="M65" s="266">
        <f t="shared" si="19"/>
        <v>0.75</v>
      </c>
      <c r="N65" s="266">
        <f t="shared" si="20"/>
        <v>1.25</v>
      </c>
      <c r="O65" s="48" t="s">
        <v>280</v>
      </c>
      <c r="P65" s="93">
        <v>5</v>
      </c>
      <c r="Q65" s="93">
        <v>25</v>
      </c>
      <c r="R65" s="197">
        <f t="shared" si="34"/>
        <v>1.25</v>
      </c>
      <c r="S65" s="320">
        <f t="shared" si="21"/>
        <v>3.75</v>
      </c>
      <c r="T65" s="320">
        <f t="shared" si="22"/>
        <v>6.25</v>
      </c>
      <c r="U65" s="93" t="s">
        <v>280</v>
      </c>
      <c r="V65" s="174" t="s">
        <v>11</v>
      </c>
      <c r="W65" s="174" t="s">
        <v>45</v>
      </c>
      <c r="X65" s="174">
        <v>4</v>
      </c>
      <c r="Y65" s="174">
        <v>16</v>
      </c>
      <c r="Z65" s="96">
        <v>1</v>
      </c>
      <c r="AA65" s="96">
        <v>1</v>
      </c>
      <c r="AB65" s="322" t="s">
        <v>745</v>
      </c>
      <c r="AC65" s="26">
        <v>1</v>
      </c>
      <c r="AD65" s="26">
        <v>25</v>
      </c>
      <c r="AE65" s="176">
        <f t="shared" si="45"/>
        <v>0.25</v>
      </c>
      <c r="AF65" s="270">
        <f t="shared" si="23"/>
        <v>0.75</v>
      </c>
      <c r="AG65" s="270">
        <f t="shared" si="24"/>
        <v>1.25</v>
      </c>
      <c r="AH65" s="26" t="s">
        <v>1047</v>
      </c>
      <c r="AI65" s="326">
        <v>0</v>
      </c>
      <c r="AJ65" s="30">
        <v>5</v>
      </c>
      <c r="AK65" s="30">
        <v>25</v>
      </c>
      <c r="AL65" s="179">
        <f t="shared" si="35"/>
        <v>1.25</v>
      </c>
      <c r="AM65" s="235">
        <f t="shared" si="25"/>
        <v>3.75</v>
      </c>
      <c r="AN65" s="235">
        <f t="shared" si="26"/>
        <v>6.25</v>
      </c>
      <c r="AO65" s="30" t="s">
        <v>742</v>
      </c>
      <c r="AP65" s="32">
        <v>1</v>
      </c>
      <c r="AQ65" s="32" t="s">
        <v>888</v>
      </c>
      <c r="AR65" s="199">
        <f t="shared" si="36"/>
        <v>67.5</v>
      </c>
      <c r="AS65" s="199">
        <f t="shared" si="37"/>
        <v>90</v>
      </c>
      <c r="AT65" s="199">
        <f t="shared" si="38"/>
        <v>112.5</v>
      </c>
      <c r="AU65" s="200">
        <v>1.0625</v>
      </c>
      <c r="AV65" s="200">
        <v>1.8125</v>
      </c>
      <c r="AW65" s="200">
        <v>2.5625</v>
      </c>
      <c r="AX65" s="202">
        <f t="shared" si="27"/>
        <v>71.71875</v>
      </c>
      <c r="AY65" s="202">
        <f t="shared" si="28"/>
        <v>163.125</v>
      </c>
      <c r="AZ65" s="202">
        <f t="shared" si="29"/>
        <v>288.28125</v>
      </c>
      <c r="BA65" s="272">
        <f t="shared" si="39"/>
        <v>5.0999999999999996</v>
      </c>
      <c r="BB65" s="272">
        <f t="shared" si="40"/>
        <v>7</v>
      </c>
      <c r="BC65" s="272">
        <f t="shared" si="41"/>
        <v>8</v>
      </c>
      <c r="BD65" s="273">
        <f t="shared" si="42"/>
        <v>1.53</v>
      </c>
      <c r="BE65" s="273">
        <f t="shared" si="43"/>
        <v>2.0999999999999996</v>
      </c>
      <c r="BF65" s="273">
        <f t="shared" si="44"/>
        <v>2.4000000000000004</v>
      </c>
      <c r="BG65" s="3" t="s">
        <v>933</v>
      </c>
    </row>
    <row r="66" spans="1:59" x14ac:dyDescent="0.25">
      <c r="A66" s="107">
        <v>4262.1000000000004</v>
      </c>
      <c r="B66" s="368"/>
      <c r="C66" s="98" t="s">
        <v>108</v>
      </c>
      <c r="D66" s="98" t="s">
        <v>496</v>
      </c>
      <c r="E66" s="142" t="s">
        <v>109</v>
      </c>
      <c r="F66" s="11" t="s">
        <v>793</v>
      </c>
      <c r="G66" s="11">
        <v>12</v>
      </c>
      <c r="H66" s="189">
        <v>8766</v>
      </c>
      <c r="I66" s="11" t="s">
        <v>790</v>
      </c>
      <c r="J66" s="48">
        <v>1</v>
      </c>
      <c r="K66" s="48">
        <v>50</v>
      </c>
      <c r="L66" s="185">
        <f t="shared" si="33"/>
        <v>0.5</v>
      </c>
      <c r="M66" s="266">
        <f t="shared" si="19"/>
        <v>0.5</v>
      </c>
      <c r="N66" s="266">
        <f t="shared" si="20"/>
        <v>1.5</v>
      </c>
      <c r="O66" s="48" t="s">
        <v>280</v>
      </c>
      <c r="P66" s="93">
        <v>5</v>
      </c>
      <c r="Q66" s="93">
        <v>50</v>
      </c>
      <c r="R66" s="197">
        <f t="shared" si="34"/>
        <v>2.5</v>
      </c>
      <c r="S66" s="320">
        <f t="shared" si="21"/>
        <v>2.5</v>
      </c>
      <c r="T66" s="320">
        <f t="shared" si="22"/>
        <v>7.5</v>
      </c>
      <c r="U66" s="93" t="s">
        <v>280</v>
      </c>
      <c r="V66" s="174" t="s">
        <v>11</v>
      </c>
      <c r="W66" s="174" t="s">
        <v>45</v>
      </c>
      <c r="X66" s="174">
        <v>4</v>
      </c>
      <c r="Y66" s="174">
        <v>16</v>
      </c>
      <c r="Z66" s="174">
        <v>0</v>
      </c>
      <c r="AA66" s="174">
        <v>0</v>
      </c>
      <c r="AB66" s="224" t="s">
        <v>722</v>
      </c>
      <c r="AC66" s="26">
        <v>1</v>
      </c>
      <c r="AD66" s="26">
        <v>25</v>
      </c>
      <c r="AE66" s="176">
        <f t="shared" si="45"/>
        <v>0.25</v>
      </c>
      <c r="AF66" s="270">
        <f t="shared" si="23"/>
        <v>0.75</v>
      </c>
      <c r="AG66" s="270">
        <f t="shared" si="24"/>
        <v>1.25</v>
      </c>
      <c r="AH66" s="26" t="s">
        <v>1047</v>
      </c>
      <c r="AI66" s="326">
        <v>0</v>
      </c>
      <c r="AJ66" s="30">
        <v>5</v>
      </c>
      <c r="AK66" s="30">
        <v>25</v>
      </c>
      <c r="AL66" s="179">
        <f t="shared" si="35"/>
        <v>1.25</v>
      </c>
      <c r="AM66" s="235">
        <f t="shared" si="25"/>
        <v>3.75</v>
      </c>
      <c r="AN66" s="235">
        <f t="shared" si="26"/>
        <v>6.25</v>
      </c>
      <c r="AO66" s="30" t="s">
        <v>742</v>
      </c>
      <c r="AP66" s="32">
        <v>1</v>
      </c>
      <c r="AQ66" s="32" t="s">
        <v>889</v>
      </c>
      <c r="AR66" s="199">
        <f t="shared" si="36"/>
        <v>180</v>
      </c>
      <c r="AS66" s="199">
        <f t="shared" si="37"/>
        <v>360</v>
      </c>
      <c r="AT66" s="199">
        <f t="shared" si="38"/>
        <v>540</v>
      </c>
      <c r="AU66" s="200">
        <v>1.0625</v>
      </c>
      <c r="AV66" s="200">
        <v>1.8125</v>
      </c>
      <c r="AW66" s="200">
        <v>2.5625</v>
      </c>
      <c r="AX66" s="202">
        <f t="shared" si="27"/>
        <v>191.25</v>
      </c>
      <c r="AY66" s="202">
        <f t="shared" si="28"/>
        <v>652.5</v>
      </c>
      <c r="AZ66" s="202">
        <f t="shared" si="29"/>
        <v>1383.75</v>
      </c>
      <c r="BA66" s="272">
        <f t="shared" si="39"/>
        <v>7.3</v>
      </c>
      <c r="BB66" s="272">
        <f t="shared" si="40"/>
        <v>9.2000000000000011</v>
      </c>
      <c r="BC66" s="272">
        <f t="shared" si="41"/>
        <v>9.8000000000000007</v>
      </c>
      <c r="BD66" s="273">
        <f t="shared" si="42"/>
        <v>2.19</v>
      </c>
      <c r="BE66" s="273">
        <f t="shared" si="43"/>
        <v>2.7600000000000002</v>
      </c>
      <c r="BF66" s="273">
        <f t="shared" si="44"/>
        <v>2.94</v>
      </c>
      <c r="BG66" s="3" t="s">
        <v>933</v>
      </c>
    </row>
    <row r="67" spans="1:59" x14ac:dyDescent="0.25">
      <c r="A67" s="107">
        <v>4262.09</v>
      </c>
      <c r="B67" s="368"/>
      <c r="C67" s="98" t="s">
        <v>111</v>
      </c>
      <c r="D67" s="98" t="s">
        <v>497</v>
      </c>
      <c r="E67" s="142" t="s">
        <v>112</v>
      </c>
      <c r="F67" s="11" t="s">
        <v>753</v>
      </c>
      <c r="G67" s="11">
        <v>12</v>
      </c>
      <c r="H67" s="189">
        <v>8766</v>
      </c>
      <c r="I67" s="11" t="s">
        <v>790</v>
      </c>
      <c r="J67" s="48">
        <v>1</v>
      </c>
      <c r="K67" s="48">
        <v>25</v>
      </c>
      <c r="L67" s="185">
        <f t="shared" si="33"/>
        <v>0.25</v>
      </c>
      <c r="M67" s="266">
        <f t="shared" si="19"/>
        <v>0.75</v>
      </c>
      <c r="N67" s="266">
        <f t="shared" si="20"/>
        <v>1.25</v>
      </c>
      <c r="O67" s="48" t="s">
        <v>280</v>
      </c>
      <c r="P67" s="93">
        <v>3</v>
      </c>
      <c r="Q67" s="93">
        <v>50</v>
      </c>
      <c r="R67" s="197">
        <f t="shared" si="34"/>
        <v>1.5</v>
      </c>
      <c r="S67" s="320">
        <f t="shared" si="21"/>
        <v>1.5</v>
      </c>
      <c r="T67" s="320">
        <f t="shared" si="22"/>
        <v>4.5</v>
      </c>
      <c r="U67" s="93" t="s">
        <v>280</v>
      </c>
      <c r="V67" s="174" t="s">
        <v>11</v>
      </c>
      <c r="W67" s="174" t="s">
        <v>45</v>
      </c>
      <c r="X67" s="174">
        <v>4</v>
      </c>
      <c r="Y67" s="174">
        <v>16</v>
      </c>
      <c r="Z67" s="174">
        <v>0</v>
      </c>
      <c r="AA67" s="174">
        <v>0</v>
      </c>
      <c r="AB67" s="224" t="s">
        <v>745</v>
      </c>
      <c r="AC67" s="26">
        <v>1</v>
      </c>
      <c r="AD67" s="26">
        <v>25</v>
      </c>
      <c r="AE67" s="176">
        <f t="shared" si="45"/>
        <v>0.25</v>
      </c>
      <c r="AF67" s="270">
        <f t="shared" si="23"/>
        <v>0.75</v>
      </c>
      <c r="AG67" s="270">
        <f t="shared" si="24"/>
        <v>1.25</v>
      </c>
      <c r="AH67" s="26" t="s">
        <v>1047</v>
      </c>
      <c r="AI67" s="326">
        <v>0</v>
      </c>
      <c r="AJ67" s="30">
        <v>5</v>
      </c>
      <c r="AK67" s="30">
        <v>25</v>
      </c>
      <c r="AL67" s="179">
        <f t="shared" si="35"/>
        <v>1.25</v>
      </c>
      <c r="AM67" s="235">
        <f t="shared" si="25"/>
        <v>3.75</v>
      </c>
      <c r="AN67" s="235">
        <f t="shared" si="26"/>
        <v>6.25</v>
      </c>
      <c r="AO67" s="30" t="s">
        <v>742</v>
      </c>
      <c r="AP67" s="32">
        <v>1</v>
      </c>
      <c r="AQ67" s="32" t="s">
        <v>890</v>
      </c>
      <c r="AR67" s="199">
        <f t="shared" si="36"/>
        <v>135</v>
      </c>
      <c r="AS67" s="199">
        <f t="shared" si="37"/>
        <v>240</v>
      </c>
      <c r="AT67" s="199">
        <f t="shared" si="38"/>
        <v>345</v>
      </c>
      <c r="AU67" s="200">
        <v>1.3125</v>
      </c>
      <c r="AV67" s="200">
        <v>2.0625</v>
      </c>
      <c r="AW67" s="200">
        <v>2.8125</v>
      </c>
      <c r="AX67" s="202">
        <f t="shared" si="27"/>
        <v>177.1875</v>
      </c>
      <c r="AY67" s="202">
        <f t="shared" si="28"/>
        <v>495</v>
      </c>
      <c r="AZ67" s="202">
        <f t="shared" si="29"/>
        <v>970.3125</v>
      </c>
      <c r="BA67" s="272">
        <f t="shared" si="39"/>
        <v>7.1</v>
      </c>
      <c r="BB67" s="272">
        <f t="shared" si="40"/>
        <v>8.8000000000000007</v>
      </c>
      <c r="BC67" s="272">
        <f t="shared" si="41"/>
        <v>9.6999999999999993</v>
      </c>
      <c r="BD67" s="273">
        <f t="shared" si="42"/>
        <v>2.13</v>
      </c>
      <c r="BE67" s="273">
        <f t="shared" si="43"/>
        <v>2.64</v>
      </c>
      <c r="BF67" s="273">
        <f t="shared" si="44"/>
        <v>2.91</v>
      </c>
      <c r="BG67" s="3" t="s">
        <v>933</v>
      </c>
    </row>
    <row r="68" spans="1:59" x14ac:dyDescent="0.25">
      <c r="A68" s="107">
        <v>4262.03</v>
      </c>
      <c r="B68" s="369"/>
      <c r="C68" s="98" t="s">
        <v>114</v>
      </c>
      <c r="D68" s="98" t="s">
        <v>498</v>
      </c>
      <c r="E68" s="142" t="s">
        <v>115</v>
      </c>
      <c r="F68" s="11" t="s">
        <v>758</v>
      </c>
      <c r="G68" s="11">
        <v>5</v>
      </c>
      <c r="H68" s="189">
        <f>5*730.5</f>
        <v>3652.5</v>
      </c>
      <c r="I68" s="11" t="s">
        <v>790</v>
      </c>
      <c r="J68" s="48">
        <v>1</v>
      </c>
      <c r="K68" s="48">
        <v>50</v>
      </c>
      <c r="L68" s="185">
        <f t="shared" si="33"/>
        <v>0.5</v>
      </c>
      <c r="M68" s="266">
        <f t="shared" si="19"/>
        <v>0.5</v>
      </c>
      <c r="N68" s="266">
        <f t="shared" si="20"/>
        <v>1.5</v>
      </c>
      <c r="O68" s="48" t="s">
        <v>280</v>
      </c>
      <c r="P68" s="93">
        <v>4</v>
      </c>
      <c r="Q68" s="93">
        <v>50</v>
      </c>
      <c r="R68" s="197">
        <f t="shared" si="34"/>
        <v>2</v>
      </c>
      <c r="S68" s="320">
        <f t="shared" si="21"/>
        <v>2</v>
      </c>
      <c r="T68" s="320">
        <f t="shared" si="22"/>
        <v>6</v>
      </c>
      <c r="U68" s="93" t="s">
        <v>280</v>
      </c>
      <c r="V68" s="174" t="s">
        <v>41</v>
      </c>
      <c r="W68" s="174" t="s">
        <v>49</v>
      </c>
      <c r="X68" s="174">
        <v>12</v>
      </c>
      <c r="Y68" s="174">
        <v>16</v>
      </c>
      <c r="Z68" s="96">
        <v>0</v>
      </c>
      <c r="AA68" s="96">
        <v>0</v>
      </c>
      <c r="AB68" s="324" t="s">
        <v>746</v>
      </c>
      <c r="AC68" s="26">
        <v>3</v>
      </c>
      <c r="AD68" s="26">
        <v>50</v>
      </c>
      <c r="AE68" s="176">
        <f t="shared" si="45"/>
        <v>1.5</v>
      </c>
      <c r="AF68" s="270">
        <f t="shared" si="23"/>
        <v>1.5</v>
      </c>
      <c r="AG68" s="270">
        <f t="shared" si="24"/>
        <v>4.5</v>
      </c>
      <c r="AH68" s="26" t="s">
        <v>1048</v>
      </c>
      <c r="AI68" s="326">
        <v>0</v>
      </c>
      <c r="AJ68" s="30">
        <v>5</v>
      </c>
      <c r="AK68" s="30">
        <v>50</v>
      </c>
      <c r="AL68" s="179">
        <f t="shared" si="35"/>
        <v>2.5</v>
      </c>
      <c r="AM68" s="235">
        <f t="shared" si="25"/>
        <v>2.5</v>
      </c>
      <c r="AN68" s="235">
        <f t="shared" si="26"/>
        <v>7.5</v>
      </c>
      <c r="AO68" s="30" t="s">
        <v>742</v>
      </c>
      <c r="AP68" s="32">
        <v>1</v>
      </c>
      <c r="AQ68" s="32" t="s">
        <v>896</v>
      </c>
      <c r="AR68" s="199">
        <f t="shared" ref="AR68:AR78" si="46">G68*((M68+S68)/AF68)*(AM68*AP68)</f>
        <v>20.833333333333336</v>
      </c>
      <c r="AS68" s="199">
        <f t="shared" ref="AS68:AS78" si="47">G68*((J68+P68)/AC68)*(AJ68*AP68)</f>
        <v>41.666666666666671</v>
      </c>
      <c r="AT68" s="199">
        <f t="shared" ref="AT68:AT78" si="48">G68*((N68+T68)/AG68)*(AN68*AP68)</f>
        <v>62.500000000000007</v>
      </c>
      <c r="AU68" s="200">
        <v>2.8125</v>
      </c>
      <c r="AV68" s="200">
        <v>3.3125</v>
      </c>
      <c r="AW68" s="200">
        <v>3.8125</v>
      </c>
      <c r="AX68" s="202">
        <f t="shared" si="27"/>
        <v>58.593750000000007</v>
      </c>
      <c r="AY68" s="202">
        <f t="shared" si="28"/>
        <v>138.02083333333334</v>
      </c>
      <c r="AZ68" s="202">
        <f t="shared" si="29"/>
        <v>238.28125000000003</v>
      </c>
      <c r="BA68" s="272">
        <f t="shared" ref="BA68:BA79" si="49">_xlfn.PERCENTRANK.INC($AX$4:$AZ$79,AX68,2)*10</f>
        <v>4.5</v>
      </c>
      <c r="BB68" s="272">
        <f t="shared" ref="BB68:BB79" si="50">_xlfn.PERCENTRANK.INC($AX$4:$AZ$79,AY68,2)*10</f>
        <v>6.7</v>
      </c>
      <c r="BC68" s="272">
        <f t="shared" ref="BC68:BC79" si="51">_xlfn.PERCENTRANK.INC($AX$4:$AZ$79,AZ68,2)*10</f>
        <v>7.7</v>
      </c>
      <c r="BD68" s="273">
        <f t="shared" ref="BD68:BD79" si="52">_xlfn.PERCENTRANK.INC($AX$4:$AZ$79,AX68,2)*3</f>
        <v>1.35</v>
      </c>
      <c r="BE68" s="273">
        <f t="shared" ref="BE68:BE79" si="53">_xlfn.PERCENTRANK.INC($AX$4:$AZ$79,AY68,2)*3</f>
        <v>2.0100000000000002</v>
      </c>
      <c r="BF68" s="273">
        <f t="shared" ref="BF68:BF79" si="54">_xlfn.PERCENTRANK.INC($AX$4:$AZ$79,AZ68,2)*3</f>
        <v>2.31</v>
      </c>
      <c r="BG68" s="3" t="s">
        <v>933</v>
      </c>
    </row>
    <row r="69" spans="1:59" x14ac:dyDescent="0.25">
      <c r="A69" s="107">
        <v>4262.6099999999997</v>
      </c>
      <c r="B69" s="363" t="s">
        <v>117</v>
      </c>
      <c r="C69" s="98" t="s">
        <v>118</v>
      </c>
      <c r="D69" s="98" t="s">
        <v>499</v>
      </c>
      <c r="E69" s="142" t="s">
        <v>119</v>
      </c>
      <c r="F69" s="11" t="s">
        <v>785</v>
      </c>
      <c r="G69" s="11">
        <v>12</v>
      </c>
      <c r="H69" s="189">
        <v>8766</v>
      </c>
      <c r="I69" s="11" t="s">
        <v>774</v>
      </c>
      <c r="J69" s="48">
        <v>2</v>
      </c>
      <c r="K69" s="48">
        <v>50</v>
      </c>
      <c r="L69" s="185">
        <f t="shared" ref="L69:L78" si="55">(K69/100)*J69</f>
        <v>1</v>
      </c>
      <c r="M69" s="266">
        <f t="shared" ref="M69:M79" si="56">J69-L69</f>
        <v>1</v>
      </c>
      <c r="N69" s="266">
        <f t="shared" ref="N69:N79" si="57">J69+L69</f>
        <v>3</v>
      </c>
      <c r="O69" s="48" t="s">
        <v>1095</v>
      </c>
      <c r="P69" s="93">
        <v>1</v>
      </c>
      <c r="Q69" s="93">
        <v>50</v>
      </c>
      <c r="R69" s="197">
        <f t="shared" ref="R69:R78" si="58">(Q69/100)*P69</f>
        <v>0.5</v>
      </c>
      <c r="S69" s="320">
        <f t="shared" ref="S69:S79" si="59">P69-R69</f>
        <v>0.5</v>
      </c>
      <c r="T69" s="320">
        <f t="shared" ref="T69:T79" si="60">P69+R69</f>
        <v>1.5</v>
      </c>
      <c r="U69" s="93" t="s">
        <v>822</v>
      </c>
      <c r="V69" s="174" t="s">
        <v>11</v>
      </c>
      <c r="W69" s="174" t="s">
        <v>12</v>
      </c>
      <c r="X69" s="174">
        <v>1</v>
      </c>
      <c r="Y69" s="174">
        <v>25</v>
      </c>
      <c r="Z69" s="174">
        <v>0</v>
      </c>
      <c r="AA69" s="174">
        <v>0</v>
      </c>
      <c r="AB69" s="224">
        <v>0.2</v>
      </c>
      <c r="AC69" s="26">
        <v>5</v>
      </c>
      <c r="AD69" s="26">
        <v>50</v>
      </c>
      <c r="AE69" s="176">
        <f t="shared" si="45"/>
        <v>2.5</v>
      </c>
      <c r="AF69" s="270">
        <f t="shared" ref="AF69:AF79" si="61">AC69-AE69</f>
        <v>2.5</v>
      </c>
      <c r="AG69" s="270">
        <f t="shared" ref="AG69:AG79" si="62">AC69+AE69</f>
        <v>7.5</v>
      </c>
      <c r="AH69" s="26" t="s">
        <v>1049</v>
      </c>
      <c r="AI69" s="326" t="s">
        <v>741</v>
      </c>
      <c r="AJ69" s="30">
        <v>1</v>
      </c>
      <c r="AK69" s="30">
        <v>25</v>
      </c>
      <c r="AL69" s="179">
        <f t="shared" si="35"/>
        <v>0.25</v>
      </c>
      <c r="AM69" s="235">
        <f t="shared" ref="AM69:AM79" si="63">AJ69-AL69</f>
        <v>0.75</v>
      </c>
      <c r="AN69" s="235">
        <f t="shared" ref="AN69:AN79" si="64">AJ69+AL69</f>
        <v>1.25</v>
      </c>
      <c r="AO69" s="30" t="s">
        <v>742</v>
      </c>
      <c r="AP69" s="32">
        <v>2</v>
      </c>
      <c r="AQ69" s="32" t="s">
        <v>852</v>
      </c>
      <c r="AR69" s="199">
        <f t="shared" si="46"/>
        <v>10.799999999999999</v>
      </c>
      <c r="AS69" s="199">
        <f t="shared" si="47"/>
        <v>14.399999999999999</v>
      </c>
      <c r="AT69" s="199">
        <f t="shared" si="48"/>
        <v>18</v>
      </c>
      <c r="AU69" s="200">
        <v>1.95</v>
      </c>
      <c r="AV69" s="200">
        <v>2.5</v>
      </c>
      <c r="AW69" s="200">
        <v>3.05</v>
      </c>
      <c r="AX69" s="202">
        <f t="shared" ref="AX69:AX78" si="65">AR69*AU69</f>
        <v>21.06</v>
      </c>
      <c r="AY69" s="202">
        <f t="shared" ref="AY69:AY78" si="66">AS69*AV69</f>
        <v>36</v>
      </c>
      <c r="AZ69" s="202">
        <f t="shared" ref="AZ69:AZ78" si="67">AT69*AW69</f>
        <v>54.9</v>
      </c>
      <c r="BA69" s="272">
        <f t="shared" si="49"/>
        <v>1.6</v>
      </c>
      <c r="BB69" s="272">
        <f t="shared" si="50"/>
        <v>2.9</v>
      </c>
      <c r="BC69" s="272">
        <f t="shared" si="51"/>
        <v>4.3</v>
      </c>
      <c r="BD69" s="273">
        <f t="shared" si="52"/>
        <v>0.48</v>
      </c>
      <c r="BE69" s="273">
        <f t="shared" si="53"/>
        <v>0.86999999999999988</v>
      </c>
      <c r="BF69" s="273">
        <f t="shared" si="54"/>
        <v>1.29</v>
      </c>
      <c r="BG69" s="3" t="s">
        <v>931</v>
      </c>
    </row>
    <row r="70" spans="1:59" x14ac:dyDescent="0.25">
      <c r="A70" s="107">
        <v>4262.54</v>
      </c>
      <c r="B70" s="364"/>
      <c r="C70" s="98" t="s">
        <v>123</v>
      </c>
      <c r="D70" s="98" t="s">
        <v>451</v>
      </c>
      <c r="E70" s="142" t="s">
        <v>124</v>
      </c>
      <c r="F70" s="11" t="s">
        <v>753</v>
      </c>
      <c r="G70" s="11">
        <v>12</v>
      </c>
      <c r="H70" s="189">
        <v>8766</v>
      </c>
      <c r="I70" s="11" t="s">
        <v>794</v>
      </c>
      <c r="J70" s="48">
        <v>2</v>
      </c>
      <c r="K70" s="48">
        <v>50</v>
      </c>
      <c r="L70" s="185">
        <f t="shared" si="55"/>
        <v>1</v>
      </c>
      <c r="M70" s="266">
        <f t="shared" si="56"/>
        <v>1</v>
      </c>
      <c r="N70" s="266">
        <f t="shared" si="57"/>
        <v>3</v>
      </c>
      <c r="O70" s="48" t="s">
        <v>1096</v>
      </c>
      <c r="P70" s="93">
        <v>1</v>
      </c>
      <c r="Q70" s="93">
        <v>50</v>
      </c>
      <c r="R70" s="197">
        <f t="shared" si="58"/>
        <v>0.5</v>
      </c>
      <c r="S70" s="320">
        <f t="shared" si="59"/>
        <v>0.5</v>
      </c>
      <c r="T70" s="320">
        <f t="shared" si="60"/>
        <v>1.5</v>
      </c>
      <c r="U70" s="93" t="s">
        <v>506</v>
      </c>
      <c r="V70" s="174" t="s">
        <v>11</v>
      </c>
      <c r="W70" s="174" t="s">
        <v>12</v>
      </c>
      <c r="X70" s="174">
        <v>1</v>
      </c>
      <c r="Y70" s="174">
        <v>25</v>
      </c>
      <c r="Z70" s="174">
        <v>0</v>
      </c>
      <c r="AA70" s="174">
        <v>0</v>
      </c>
      <c r="AB70" s="224">
        <v>0.2</v>
      </c>
      <c r="AC70" s="26">
        <v>5</v>
      </c>
      <c r="AD70" s="26">
        <v>50</v>
      </c>
      <c r="AE70" s="176">
        <f t="shared" ref="AE70:AE78" si="68">(AD70/100)*AC70</f>
        <v>2.5</v>
      </c>
      <c r="AF70" s="270">
        <f t="shared" si="61"/>
        <v>2.5</v>
      </c>
      <c r="AG70" s="270">
        <f t="shared" si="62"/>
        <v>7.5</v>
      </c>
      <c r="AH70" s="26" t="s">
        <v>1050</v>
      </c>
      <c r="AI70" s="326" t="s">
        <v>741</v>
      </c>
      <c r="AJ70" s="30">
        <v>1</v>
      </c>
      <c r="AK70" s="30">
        <v>25</v>
      </c>
      <c r="AL70" s="179">
        <f t="shared" ref="AL70:AL78" si="69">(AK70/100)*AJ70</f>
        <v>0.25</v>
      </c>
      <c r="AM70" s="235">
        <f t="shared" si="63"/>
        <v>0.75</v>
      </c>
      <c r="AN70" s="235">
        <f t="shared" si="64"/>
        <v>1.25</v>
      </c>
      <c r="AO70" s="30" t="s">
        <v>742</v>
      </c>
      <c r="AP70" s="32">
        <v>2</v>
      </c>
      <c r="AQ70" s="32" t="s">
        <v>851</v>
      </c>
      <c r="AR70" s="199">
        <f t="shared" si="46"/>
        <v>10.799999999999999</v>
      </c>
      <c r="AS70" s="199">
        <f t="shared" si="47"/>
        <v>14.399999999999999</v>
      </c>
      <c r="AT70" s="199">
        <f t="shared" si="48"/>
        <v>18</v>
      </c>
      <c r="AU70" s="200">
        <v>2.9375</v>
      </c>
      <c r="AV70" s="200">
        <v>3.5</v>
      </c>
      <c r="AW70" s="200">
        <v>4.0625</v>
      </c>
      <c r="AX70" s="202">
        <f t="shared" si="65"/>
        <v>31.724999999999998</v>
      </c>
      <c r="AY70" s="202">
        <f t="shared" si="66"/>
        <v>50.399999999999991</v>
      </c>
      <c r="AZ70" s="202">
        <f t="shared" si="67"/>
        <v>73.125</v>
      </c>
      <c r="BA70" s="272">
        <f t="shared" si="49"/>
        <v>2.5</v>
      </c>
      <c r="BB70" s="272">
        <f t="shared" si="50"/>
        <v>4</v>
      </c>
      <c r="BC70" s="272">
        <f t="shared" si="51"/>
        <v>5.0999999999999996</v>
      </c>
      <c r="BD70" s="273">
        <f t="shared" si="52"/>
        <v>0.75</v>
      </c>
      <c r="BE70" s="273">
        <f t="shared" si="53"/>
        <v>1.2000000000000002</v>
      </c>
      <c r="BF70" s="273">
        <f t="shared" si="54"/>
        <v>1.53</v>
      </c>
      <c r="BG70" s="3" t="s">
        <v>932</v>
      </c>
    </row>
    <row r="71" spans="1:59" x14ac:dyDescent="0.25">
      <c r="A71" s="107">
        <v>4262.5600000000004</v>
      </c>
      <c r="B71" s="364"/>
      <c r="C71" s="98" t="s">
        <v>1055</v>
      </c>
      <c r="D71" s="98" t="s">
        <v>452</v>
      </c>
      <c r="E71" s="142" t="s">
        <v>126</v>
      </c>
      <c r="F71" s="11" t="s">
        <v>753</v>
      </c>
      <c r="G71" s="11">
        <v>12</v>
      </c>
      <c r="H71" s="189">
        <v>8766</v>
      </c>
      <c r="I71" s="11" t="s">
        <v>768</v>
      </c>
      <c r="J71" s="48">
        <v>2</v>
      </c>
      <c r="K71" s="48">
        <v>50</v>
      </c>
      <c r="L71" s="185">
        <f t="shared" si="55"/>
        <v>1</v>
      </c>
      <c r="M71" s="266">
        <f t="shared" si="56"/>
        <v>1</v>
      </c>
      <c r="N71" s="266">
        <f t="shared" si="57"/>
        <v>3</v>
      </c>
      <c r="O71" s="48" t="s">
        <v>506</v>
      </c>
      <c r="P71" s="93">
        <v>1</v>
      </c>
      <c r="Q71" s="93">
        <v>50</v>
      </c>
      <c r="R71" s="197">
        <f t="shared" si="58"/>
        <v>0.5</v>
      </c>
      <c r="S71" s="320">
        <f t="shared" si="59"/>
        <v>0.5</v>
      </c>
      <c r="T71" s="320">
        <f t="shared" si="60"/>
        <v>1.5</v>
      </c>
      <c r="U71" s="93" t="s">
        <v>506</v>
      </c>
      <c r="V71" s="174" t="s">
        <v>11</v>
      </c>
      <c r="W71" s="174" t="s">
        <v>12</v>
      </c>
      <c r="X71" s="174">
        <v>1</v>
      </c>
      <c r="Y71" s="174">
        <v>25</v>
      </c>
      <c r="Z71" s="174">
        <v>0</v>
      </c>
      <c r="AA71" s="174">
        <v>0</v>
      </c>
      <c r="AB71" s="224">
        <v>0.2</v>
      </c>
      <c r="AC71" s="26">
        <v>5</v>
      </c>
      <c r="AD71" s="26">
        <v>50</v>
      </c>
      <c r="AE71" s="176">
        <f t="shared" si="68"/>
        <v>2.5</v>
      </c>
      <c r="AF71" s="270">
        <f t="shared" si="61"/>
        <v>2.5</v>
      </c>
      <c r="AG71" s="270">
        <f t="shared" si="62"/>
        <v>7.5</v>
      </c>
      <c r="AH71" s="26" t="s">
        <v>1051</v>
      </c>
      <c r="AI71" s="326" t="s">
        <v>741</v>
      </c>
      <c r="AJ71" s="30">
        <v>1</v>
      </c>
      <c r="AK71" s="30">
        <v>25</v>
      </c>
      <c r="AL71" s="179">
        <f t="shared" si="69"/>
        <v>0.25</v>
      </c>
      <c r="AM71" s="235">
        <f t="shared" si="63"/>
        <v>0.75</v>
      </c>
      <c r="AN71" s="235">
        <f t="shared" si="64"/>
        <v>1.25</v>
      </c>
      <c r="AO71" s="30" t="s">
        <v>742</v>
      </c>
      <c r="AP71" s="32">
        <v>1.5</v>
      </c>
      <c r="AQ71" s="32" t="s">
        <v>891</v>
      </c>
      <c r="AR71" s="199">
        <f t="shared" si="46"/>
        <v>8.1</v>
      </c>
      <c r="AS71" s="199">
        <f t="shared" si="47"/>
        <v>10.799999999999999</v>
      </c>
      <c r="AT71" s="199">
        <f t="shared" si="48"/>
        <v>13.499999999999998</v>
      </c>
      <c r="AU71" s="200">
        <v>3.0750000000000002</v>
      </c>
      <c r="AV71" s="200">
        <v>3.75</v>
      </c>
      <c r="AW71" s="200">
        <v>4.4249999999999998</v>
      </c>
      <c r="AX71" s="202">
        <f t="shared" si="65"/>
        <v>24.907499999999999</v>
      </c>
      <c r="AY71" s="202">
        <f t="shared" si="66"/>
        <v>40.499999999999993</v>
      </c>
      <c r="AZ71" s="202">
        <f t="shared" si="67"/>
        <v>59.73749999999999</v>
      </c>
      <c r="BA71" s="272">
        <f t="shared" si="49"/>
        <v>2</v>
      </c>
      <c r="BB71" s="272">
        <f t="shared" si="50"/>
        <v>3.3000000000000003</v>
      </c>
      <c r="BC71" s="272">
        <f t="shared" si="51"/>
        <v>4.6000000000000005</v>
      </c>
      <c r="BD71" s="273">
        <f t="shared" si="52"/>
        <v>0.60000000000000009</v>
      </c>
      <c r="BE71" s="273">
        <f t="shared" si="53"/>
        <v>0.99</v>
      </c>
      <c r="BF71" s="273">
        <f t="shared" si="54"/>
        <v>1.3800000000000001</v>
      </c>
      <c r="BG71" s="219" t="s">
        <v>931</v>
      </c>
    </row>
    <row r="72" spans="1:59" s="88" customFormat="1" x14ac:dyDescent="0.25">
      <c r="A72" s="107">
        <v>4262.59</v>
      </c>
      <c r="B72" s="364"/>
      <c r="C72" s="98" t="s">
        <v>1056</v>
      </c>
      <c r="D72" s="83" t="s">
        <v>500</v>
      </c>
      <c r="E72" s="343" t="s">
        <v>322</v>
      </c>
      <c r="F72" s="11" t="s">
        <v>780</v>
      </c>
      <c r="G72" s="11">
        <v>4</v>
      </c>
      <c r="H72" s="189">
        <f>4*730.5</f>
        <v>2922</v>
      </c>
      <c r="I72" s="11" t="s">
        <v>768</v>
      </c>
      <c r="J72" s="48">
        <v>2</v>
      </c>
      <c r="K72" s="48">
        <v>50</v>
      </c>
      <c r="L72" s="185">
        <f t="shared" si="55"/>
        <v>1</v>
      </c>
      <c r="M72" s="266">
        <f t="shared" si="56"/>
        <v>1</v>
      </c>
      <c r="N72" s="266">
        <f t="shared" si="57"/>
        <v>3</v>
      </c>
      <c r="O72" s="48" t="s">
        <v>506</v>
      </c>
      <c r="P72" s="93">
        <v>1</v>
      </c>
      <c r="Q72" s="93">
        <v>50</v>
      </c>
      <c r="R72" s="197">
        <f t="shared" si="58"/>
        <v>0.5</v>
      </c>
      <c r="S72" s="320">
        <f t="shared" si="59"/>
        <v>0.5</v>
      </c>
      <c r="T72" s="320">
        <f t="shared" si="60"/>
        <v>1.5</v>
      </c>
      <c r="U72" s="93" t="s">
        <v>506</v>
      </c>
      <c r="V72" s="174" t="s">
        <v>11</v>
      </c>
      <c r="W72" s="174" t="s">
        <v>12</v>
      </c>
      <c r="X72" s="174">
        <v>1</v>
      </c>
      <c r="Y72" s="174">
        <v>25</v>
      </c>
      <c r="Z72" s="174">
        <v>0</v>
      </c>
      <c r="AA72" s="174">
        <v>0</v>
      </c>
      <c r="AB72" s="224">
        <v>0.2</v>
      </c>
      <c r="AC72" s="26">
        <v>5</v>
      </c>
      <c r="AD72" s="26">
        <v>50</v>
      </c>
      <c r="AE72" s="176">
        <f t="shared" si="68"/>
        <v>2.5</v>
      </c>
      <c r="AF72" s="270">
        <f t="shared" si="61"/>
        <v>2.5</v>
      </c>
      <c r="AG72" s="270">
        <f t="shared" si="62"/>
        <v>7.5</v>
      </c>
      <c r="AH72" s="26" t="s">
        <v>1052</v>
      </c>
      <c r="AI72" s="326" t="s">
        <v>741</v>
      </c>
      <c r="AJ72" s="30">
        <v>1</v>
      </c>
      <c r="AK72" s="30">
        <v>25</v>
      </c>
      <c r="AL72" s="179">
        <f t="shared" si="69"/>
        <v>0.25</v>
      </c>
      <c r="AM72" s="235">
        <f t="shared" si="63"/>
        <v>0.75</v>
      </c>
      <c r="AN72" s="235">
        <f t="shared" si="64"/>
        <v>1.25</v>
      </c>
      <c r="AO72" s="30" t="s">
        <v>742</v>
      </c>
      <c r="AP72" s="32">
        <v>1</v>
      </c>
      <c r="AQ72" s="32" t="s">
        <v>852</v>
      </c>
      <c r="AR72" s="199">
        <f t="shared" si="46"/>
        <v>1.7999999999999998</v>
      </c>
      <c r="AS72" s="199">
        <f t="shared" si="47"/>
        <v>2.4</v>
      </c>
      <c r="AT72" s="199">
        <f t="shared" si="48"/>
        <v>3</v>
      </c>
      <c r="AU72" s="200">
        <v>2.75</v>
      </c>
      <c r="AV72" s="200">
        <v>3.5</v>
      </c>
      <c r="AW72" s="200">
        <v>4.25</v>
      </c>
      <c r="AX72" s="202">
        <f t="shared" si="65"/>
        <v>4.9499999999999993</v>
      </c>
      <c r="AY72" s="202">
        <f t="shared" si="66"/>
        <v>8.4</v>
      </c>
      <c r="AZ72" s="202">
        <f t="shared" si="67"/>
        <v>12.75</v>
      </c>
      <c r="BA72" s="272">
        <f t="shared" si="49"/>
        <v>0.1</v>
      </c>
      <c r="BB72" s="272">
        <f t="shared" si="50"/>
        <v>0.4</v>
      </c>
      <c r="BC72" s="272">
        <f t="shared" si="51"/>
        <v>0.89999999999999991</v>
      </c>
      <c r="BD72" s="273">
        <f t="shared" si="52"/>
        <v>0.03</v>
      </c>
      <c r="BE72" s="273">
        <f t="shared" si="53"/>
        <v>0.12</v>
      </c>
      <c r="BF72" s="273">
        <f t="shared" si="54"/>
        <v>0.27</v>
      </c>
      <c r="BG72" s="219" t="s">
        <v>931</v>
      </c>
    </row>
    <row r="73" spans="1:59" x14ac:dyDescent="0.25">
      <c r="A73" s="107">
        <v>4262.22</v>
      </c>
      <c r="B73" s="364"/>
      <c r="C73" s="98" t="s">
        <v>127</v>
      </c>
      <c r="D73" s="98" t="s">
        <v>453</v>
      </c>
      <c r="E73" s="142" t="s">
        <v>128</v>
      </c>
      <c r="F73" s="11" t="s">
        <v>753</v>
      </c>
      <c r="G73" s="11">
        <v>12</v>
      </c>
      <c r="H73" s="189">
        <v>8766</v>
      </c>
      <c r="I73" s="11" t="s">
        <v>792</v>
      </c>
      <c r="J73" s="48">
        <v>2</v>
      </c>
      <c r="K73" s="48">
        <v>50</v>
      </c>
      <c r="L73" s="185">
        <f t="shared" si="55"/>
        <v>1</v>
      </c>
      <c r="M73" s="266">
        <f t="shared" si="56"/>
        <v>1</v>
      </c>
      <c r="N73" s="266">
        <f t="shared" si="57"/>
        <v>3</v>
      </c>
      <c r="O73" s="48" t="s">
        <v>280</v>
      </c>
      <c r="P73" s="93">
        <v>1</v>
      </c>
      <c r="Q73" s="93">
        <v>50</v>
      </c>
      <c r="R73" s="197">
        <f t="shared" si="58"/>
        <v>0.5</v>
      </c>
      <c r="S73" s="320">
        <f t="shared" si="59"/>
        <v>0.5</v>
      </c>
      <c r="T73" s="320">
        <f t="shared" si="60"/>
        <v>1.5</v>
      </c>
      <c r="U73" s="184" t="s">
        <v>280</v>
      </c>
      <c r="V73" s="174" t="s">
        <v>11</v>
      </c>
      <c r="W73" s="174" t="s">
        <v>12</v>
      </c>
      <c r="X73" s="174">
        <v>2</v>
      </c>
      <c r="Y73" s="174">
        <v>23</v>
      </c>
      <c r="Z73" s="174">
        <v>0</v>
      </c>
      <c r="AA73" s="174">
        <v>0</v>
      </c>
      <c r="AB73" s="224" t="s">
        <v>723</v>
      </c>
      <c r="AC73" s="26">
        <v>5</v>
      </c>
      <c r="AD73" s="26">
        <v>50</v>
      </c>
      <c r="AE73" s="176">
        <f t="shared" si="68"/>
        <v>2.5</v>
      </c>
      <c r="AF73" s="270">
        <f t="shared" si="61"/>
        <v>2.5</v>
      </c>
      <c r="AG73" s="270">
        <f t="shared" si="62"/>
        <v>7.5</v>
      </c>
      <c r="AH73" s="26" t="s">
        <v>1030</v>
      </c>
      <c r="AI73" s="326" t="s">
        <v>741</v>
      </c>
      <c r="AJ73" s="30">
        <v>1</v>
      </c>
      <c r="AK73" s="30">
        <v>10</v>
      </c>
      <c r="AL73" s="179">
        <f t="shared" si="69"/>
        <v>0.1</v>
      </c>
      <c r="AM73" s="235">
        <f t="shared" si="63"/>
        <v>0.9</v>
      </c>
      <c r="AN73" s="235">
        <f t="shared" si="64"/>
        <v>1.1000000000000001</v>
      </c>
      <c r="AO73" s="30" t="s">
        <v>1008</v>
      </c>
      <c r="AP73" s="32">
        <v>2</v>
      </c>
      <c r="AQ73" s="32" t="s">
        <v>892</v>
      </c>
      <c r="AR73" s="199">
        <f t="shared" si="46"/>
        <v>12.959999999999999</v>
      </c>
      <c r="AS73" s="199">
        <f t="shared" si="47"/>
        <v>14.399999999999999</v>
      </c>
      <c r="AT73" s="199">
        <f t="shared" si="48"/>
        <v>15.84</v>
      </c>
      <c r="AU73" s="200">
        <v>2.3624999999999998</v>
      </c>
      <c r="AV73" s="200">
        <v>2.75</v>
      </c>
      <c r="AW73" s="200">
        <v>3.1375000000000002</v>
      </c>
      <c r="AX73" s="202">
        <f t="shared" si="65"/>
        <v>30.617999999999995</v>
      </c>
      <c r="AY73" s="202">
        <f t="shared" si="66"/>
        <v>39.599999999999994</v>
      </c>
      <c r="AZ73" s="202">
        <f t="shared" si="67"/>
        <v>49.698</v>
      </c>
      <c r="BA73" s="272">
        <f t="shared" si="49"/>
        <v>2.4</v>
      </c>
      <c r="BB73" s="272">
        <f t="shared" si="50"/>
        <v>3.3000000000000003</v>
      </c>
      <c r="BC73" s="272">
        <f t="shared" si="51"/>
        <v>4</v>
      </c>
      <c r="BD73" s="273">
        <f t="shared" si="52"/>
        <v>0.72</v>
      </c>
      <c r="BE73" s="273">
        <f t="shared" si="53"/>
        <v>0.99</v>
      </c>
      <c r="BF73" s="273">
        <f t="shared" si="54"/>
        <v>1.2000000000000002</v>
      </c>
      <c r="BG73" s="219" t="s">
        <v>931</v>
      </c>
    </row>
    <row r="74" spans="1:59" x14ac:dyDescent="0.25">
      <c r="A74" s="107">
        <v>4262.4399999999996</v>
      </c>
      <c r="B74" s="364"/>
      <c r="C74" s="98" t="s">
        <v>131</v>
      </c>
      <c r="D74" s="98" t="s">
        <v>455</v>
      </c>
      <c r="E74" s="142" t="s">
        <v>132</v>
      </c>
      <c r="F74" s="11" t="s">
        <v>760</v>
      </c>
      <c r="G74" s="11">
        <v>4</v>
      </c>
      <c r="H74" s="189">
        <f>4*730.5</f>
        <v>2922</v>
      </c>
      <c r="I74" s="11" t="s">
        <v>748</v>
      </c>
      <c r="J74" s="48">
        <v>1</v>
      </c>
      <c r="K74" s="48">
        <v>50</v>
      </c>
      <c r="L74" s="185">
        <f>(K74/100)*J74</f>
        <v>0.5</v>
      </c>
      <c r="M74" s="266">
        <f t="shared" si="56"/>
        <v>0.5</v>
      </c>
      <c r="N74" s="266">
        <f t="shared" si="57"/>
        <v>1.5</v>
      </c>
      <c r="O74" s="48" t="s">
        <v>506</v>
      </c>
      <c r="P74" s="93">
        <v>1</v>
      </c>
      <c r="Q74" s="93">
        <v>50</v>
      </c>
      <c r="R74" s="197">
        <f>(Q74/100)*P74</f>
        <v>0.5</v>
      </c>
      <c r="S74" s="320">
        <f t="shared" si="59"/>
        <v>0.5</v>
      </c>
      <c r="T74" s="320">
        <f t="shared" si="60"/>
        <v>1.5</v>
      </c>
      <c r="U74" s="93" t="s">
        <v>506</v>
      </c>
      <c r="V74" s="174" t="s">
        <v>11</v>
      </c>
      <c r="W74" s="174" t="s">
        <v>12</v>
      </c>
      <c r="X74" s="174">
        <v>1</v>
      </c>
      <c r="Y74" s="174">
        <v>24</v>
      </c>
      <c r="Z74" s="174">
        <v>0</v>
      </c>
      <c r="AA74" s="174">
        <v>0</v>
      </c>
      <c r="AB74" s="224">
        <v>0.2</v>
      </c>
      <c r="AC74" s="26">
        <v>5</v>
      </c>
      <c r="AD74" s="26">
        <v>50</v>
      </c>
      <c r="AE74" s="176">
        <f>(AD74/100)*AC74</f>
        <v>2.5</v>
      </c>
      <c r="AF74" s="270">
        <f t="shared" si="61"/>
        <v>2.5</v>
      </c>
      <c r="AG74" s="270">
        <f t="shared" si="62"/>
        <v>7.5</v>
      </c>
      <c r="AH74" s="26" t="s">
        <v>1049</v>
      </c>
      <c r="AI74" s="326" t="s">
        <v>741</v>
      </c>
      <c r="AJ74" s="30">
        <v>1</v>
      </c>
      <c r="AK74" s="30">
        <v>25</v>
      </c>
      <c r="AL74" s="179">
        <f>(AK74/100)*AJ74</f>
        <v>0.25</v>
      </c>
      <c r="AM74" s="235">
        <f t="shared" si="63"/>
        <v>0.75</v>
      </c>
      <c r="AN74" s="235">
        <f t="shared" si="64"/>
        <v>1.25</v>
      </c>
      <c r="AO74" s="30" t="s">
        <v>742</v>
      </c>
      <c r="AP74" s="32">
        <v>2</v>
      </c>
      <c r="AQ74" s="32" t="s">
        <v>851</v>
      </c>
      <c r="AR74" s="199">
        <f>G74*((M74+S74)/AF74)*(AM74*AP74)</f>
        <v>2.4000000000000004</v>
      </c>
      <c r="AS74" s="199">
        <f>G74*((J74+P74)/AC74)*(AJ74*AP74)</f>
        <v>3.2</v>
      </c>
      <c r="AT74" s="199">
        <f>G74*((N74+T74)/AG74)*(AN74*AP74)</f>
        <v>4</v>
      </c>
      <c r="AU74" s="200">
        <v>2.4750000000000001</v>
      </c>
      <c r="AV74" s="200">
        <v>3</v>
      </c>
      <c r="AW74" s="200">
        <v>3.5250000000000004</v>
      </c>
      <c r="AX74" s="202">
        <f>AR74*AU74</f>
        <v>5.9400000000000013</v>
      </c>
      <c r="AY74" s="202">
        <f>AS74*AV74</f>
        <v>9.6000000000000014</v>
      </c>
      <c r="AZ74" s="202">
        <f>AT74*AW74</f>
        <v>14.100000000000001</v>
      </c>
      <c r="BA74" s="272">
        <f t="shared" si="49"/>
        <v>0.2</v>
      </c>
      <c r="BB74" s="272">
        <f t="shared" si="50"/>
        <v>0.70000000000000007</v>
      </c>
      <c r="BC74" s="272">
        <f t="shared" si="51"/>
        <v>0.89999999999999991</v>
      </c>
      <c r="BD74" s="273">
        <f t="shared" si="52"/>
        <v>0.06</v>
      </c>
      <c r="BE74" s="273">
        <f t="shared" si="53"/>
        <v>0.21000000000000002</v>
      </c>
      <c r="BF74" s="273">
        <f t="shared" si="54"/>
        <v>0.27</v>
      </c>
      <c r="BG74" s="219" t="s">
        <v>931</v>
      </c>
    </row>
    <row r="75" spans="1:59" s="88" customFormat="1" x14ac:dyDescent="0.25">
      <c r="A75" s="107">
        <v>4262.8</v>
      </c>
      <c r="B75" s="364"/>
      <c r="C75" s="98" t="s">
        <v>588</v>
      </c>
      <c r="D75" s="98" t="s">
        <v>454</v>
      </c>
      <c r="E75" s="142" t="s">
        <v>330</v>
      </c>
      <c r="F75" s="11" t="s">
        <v>753</v>
      </c>
      <c r="G75" s="11">
        <v>12</v>
      </c>
      <c r="H75" s="189">
        <v>8766</v>
      </c>
      <c r="I75" s="11" t="s">
        <v>762</v>
      </c>
      <c r="J75" s="48">
        <v>1</v>
      </c>
      <c r="K75" s="48">
        <v>50</v>
      </c>
      <c r="L75" s="185">
        <f t="shared" si="55"/>
        <v>0.5</v>
      </c>
      <c r="M75" s="266">
        <f t="shared" si="56"/>
        <v>0.5</v>
      </c>
      <c r="N75" s="266">
        <f t="shared" si="57"/>
        <v>1.5</v>
      </c>
      <c r="O75" s="48" t="s">
        <v>506</v>
      </c>
      <c r="P75" s="93">
        <v>1</v>
      </c>
      <c r="Q75" s="93">
        <v>50</v>
      </c>
      <c r="R75" s="197">
        <f t="shared" si="58"/>
        <v>0.5</v>
      </c>
      <c r="S75" s="320">
        <f t="shared" si="59"/>
        <v>0.5</v>
      </c>
      <c r="T75" s="320">
        <f t="shared" si="60"/>
        <v>1.5</v>
      </c>
      <c r="U75" s="93" t="s">
        <v>506</v>
      </c>
      <c r="V75" s="174" t="s">
        <v>11</v>
      </c>
      <c r="W75" s="174" t="s">
        <v>12</v>
      </c>
      <c r="X75" s="174">
        <v>2</v>
      </c>
      <c r="Y75" s="174">
        <v>24</v>
      </c>
      <c r="Z75" s="174">
        <v>0</v>
      </c>
      <c r="AA75" s="174">
        <v>0</v>
      </c>
      <c r="AB75" s="224" t="s">
        <v>706</v>
      </c>
      <c r="AC75" s="26">
        <v>5</v>
      </c>
      <c r="AD75" s="26">
        <v>50</v>
      </c>
      <c r="AE75" s="176">
        <f t="shared" si="68"/>
        <v>2.5</v>
      </c>
      <c r="AF75" s="270">
        <f t="shared" si="61"/>
        <v>2.5</v>
      </c>
      <c r="AG75" s="270">
        <f t="shared" si="62"/>
        <v>7.5</v>
      </c>
      <c r="AH75" s="26" t="s">
        <v>1053</v>
      </c>
      <c r="AI75" s="326" t="s">
        <v>741</v>
      </c>
      <c r="AJ75" s="30">
        <v>1</v>
      </c>
      <c r="AK75" s="30">
        <v>25</v>
      </c>
      <c r="AL75" s="179">
        <f t="shared" si="69"/>
        <v>0.25</v>
      </c>
      <c r="AM75" s="235">
        <f t="shared" si="63"/>
        <v>0.75</v>
      </c>
      <c r="AN75" s="235">
        <f t="shared" si="64"/>
        <v>1.25</v>
      </c>
      <c r="AO75" s="30" t="s">
        <v>742</v>
      </c>
      <c r="AP75" s="32">
        <v>2</v>
      </c>
      <c r="AQ75" s="32" t="s">
        <v>893</v>
      </c>
      <c r="AR75" s="199">
        <f t="shared" si="46"/>
        <v>7.2000000000000011</v>
      </c>
      <c r="AS75" s="199">
        <f t="shared" si="47"/>
        <v>9.6000000000000014</v>
      </c>
      <c r="AT75" s="199">
        <f t="shared" si="48"/>
        <v>12.000000000000002</v>
      </c>
      <c r="AU75" s="200">
        <v>2.4375</v>
      </c>
      <c r="AV75" s="200">
        <v>3.25</v>
      </c>
      <c r="AW75" s="200">
        <v>4.0625</v>
      </c>
      <c r="AX75" s="202">
        <f t="shared" si="65"/>
        <v>17.550000000000004</v>
      </c>
      <c r="AY75" s="202">
        <f t="shared" si="66"/>
        <v>31.200000000000003</v>
      </c>
      <c r="AZ75" s="202">
        <f t="shared" si="67"/>
        <v>48.750000000000007</v>
      </c>
      <c r="BA75" s="272">
        <f t="shared" si="49"/>
        <v>1.2</v>
      </c>
      <c r="BB75" s="272">
        <f t="shared" si="50"/>
        <v>2.4</v>
      </c>
      <c r="BC75" s="272">
        <f t="shared" si="51"/>
        <v>3.9000000000000004</v>
      </c>
      <c r="BD75" s="273">
        <f t="shared" si="52"/>
        <v>0.36</v>
      </c>
      <c r="BE75" s="273">
        <f t="shared" si="53"/>
        <v>0.72</v>
      </c>
      <c r="BF75" s="273">
        <f t="shared" si="54"/>
        <v>1.17</v>
      </c>
      <c r="BG75" s="219" t="s">
        <v>931</v>
      </c>
    </row>
    <row r="76" spans="1:59" x14ac:dyDescent="0.25">
      <c r="A76" s="107">
        <v>4262.79</v>
      </c>
      <c r="B76" s="364"/>
      <c r="C76" s="98" t="s">
        <v>129</v>
      </c>
      <c r="D76" s="98" t="s">
        <v>501</v>
      </c>
      <c r="E76" s="142" t="s">
        <v>130</v>
      </c>
      <c r="F76" s="11" t="s">
        <v>751</v>
      </c>
      <c r="G76" s="11">
        <v>3</v>
      </c>
      <c r="H76" s="189">
        <f>3*730.5</f>
        <v>2191.5</v>
      </c>
      <c r="I76" s="11" t="s">
        <v>748</v>
      </c>
      <c r="J76" s="48">
        <v>1</v>
      </c>
      <c r="K76" s="48">
        <v>50</v>
      </c>
      <c r="L76" s="185">
        <f t="shared" si="55"/>
        <v>0.5</v>
      </c>
      <c r="M76" s="266">
        <f t="shared" si="56"/>
        <v>0.5</v>
      </c>
      <c r="N76" s="266">
        <f t="shared" si="57"/>
        <v>1.5</v>
      </c>
      <c r="O76" s="48" t="s">
        <v>506</v>
      </c>
      <c r="P76" s="93">
        <v>1</v>
      </c>
      <c r="Q76" s="93">
        <v>50</v>
      </c>
      <c r="R76" s="197">
        <f t="shared" si="58"/>
        <v>0.5</v>
      </c>
      <c r="S76" s="320">
        <f t="shared" si="59"/>
        <v>0.5</v>
      </c>
      <c r="T76" s="320">
        <f t="shared" si="60"/>
        <v>1.5</v>
      </c>
      <c r="U76" s="93" t="s">
        <v>506</v>
      </c>
      <c r="V76" s="174" t="s">
        <v>11</v>
      </c>
      <c r="W76" s="174" t="s">
        <v>12</v>
      </c>
      <c r="X76" s="174">
        <v>2</v>
      </c>
      <c r="Y76" s="174">
        <v>24</v>
      </c>
      <c r="Z76" s="174">
        <v>1</v>
      </c>
      <c r="AA76" s="174">
        <v>1</v>
      </c>
      <c r="AB76" s="224" t="s">
        <v>706</v>
      </c>
      <c r="AC76" s="26">
        <v>5</v>
      </c>
      <c r="AD76" s="26">
        <v>50</v>
      </c>
      <c r="AE76" s="176">
        <f t="shared" si="68"/>
        <v>2.5</v>
      </c>
      <c r="AF76" s="270">
        <f t="shared" si="61"/>
        <v>2.5</v>
      </c>
      <c r="AG76" s="270">
        <f t="shared" si="62"/>
        <v>7.5</v>
      </c>
      <c r="AH76" s="26" t="s">
        <v>1053</v>
      </c>
      <c r="AI76" s="326" t="s">
        <v>741</v>
      </c>
      <c r="AJ76" s="30">
        <v>1</v>
      </c>
      <c r="AK76" s="30">
        <v>25</v>
      </c>
      <c r="AL76" s="179">
        <f t="shared" si="69"/>
        <v>0.25</v>
      </c>
      <c r="AM76" s="235">
        <f t="shared" si="63"/>
        <v>0.75</v>
      </c>
      <c r="AN76" s="235">
        <f t="shared" si="64"/>
        <v>1.25</v>
      </c>
      <c r="AO76" s="30" t="s">
        <v>742</v>
      </c>
      <c r="AP76" s="32">
        <v>1</v>
      </c>
      <c r="AQ76" s="32" t="s">
        <v>894</v>
      </c>
      <c r="AR76" s="199">
        <f t="shared" si="46"/>
        <v>0.90000000000000013</v>
      </c>
      <c r="AS76" s="199">
        <f t="shared" si="47"/>
        <v>1.2000000000000002</v>
      </c>
      <c r="AT76" s="199">
        <f t="shared" si="48"/>
        <v>1.5000000000000002</v>
      </c>
      <c r="AU76" s="200">
        <v>1.7</v>
      </c>
      <c r="AV76" s="200">
        <v>2.5</v>
      </c>
      <c r="AW76" s="200">
        <v>3.3</v>
      </c>
      <c r="AX76" s="202">
        <f t="shared" si="65"/>
        <v>1.5300000000000002</v>
      </c>
      <c r="AY76" s="202">
        <f t="shared" si="66"/>
        <v>3.0000000000000004</v>
      </c>
      <c r="AZ76" s="202">
        <f t="shared" si="67"/>
        <v>4.95</v>
      </c>
      <c r="BA76" s="272">
        <f t="shared" si="49"/>
        <v>0</v>
      </c>
      <c r="BB76" s="272">
        <f t="shared" si="50"/>
        <v>0</v>
      </c>
      <c r="BC76" s="272">
        <f t="shared" si="51"/>
        <v>0.2</v>
      </c>
      <c r="BD76" s="273">
        <f t="shared" si="52"/>
        <v>0</v>
      </c>
      <c r="BE76" s="273">
        <f t="shared" si="53"/>
        <v>0</v>
      </c>
      <c r="BF76" s="273">
        <f t="shared" si="54"/>
        <v>0.06</v>
      </c>
      <c r="BG76" s="219" t="s">
        <v>931</v>
      </c>
    </row>
    <row r="77" spans="1:59" x14ac:dyDescent="0.25">
      <c r="A77" s="107">
        <v>4262.7299999999996</v>
      </c>
      <c r="B77" s="364"/>
      <c r="C77" s="98" t="s">
        <v>133</v>
      </c>
      <c r="D77" s="98" t="s">
        <v>456</v>
      </c>
      <c r="E77" s="142" t="s">
        <v>134</v>
      </c>
      <c r="F77" s="11" t="s">
        <v>753</v>
      </c>
      <c r="G77" s="11">
        <v>12</v>
      </c>
      <c r="H77" s="189">
        <v>8766</v>
      </c>
      <c r="I77" s="11" t="s">
        <v>792</v>
      </c>
      <c r="J77" s="48">
        <v>1</v>
      </c>
      <c r="K77" s="48">
        <v>50</v>
      </c>
      <c r="L77" s="185">
        <f>(K77/100)*J77</f>
        <v>0.5</v>
      </c>
      <c r="M77" s="266">
        <f t="shared" si="56"/>
        <v>0.5</v>
      </c>
      <c r="N77" s="266">
        <f t="shared" si="57"/>
        <v>1.5</v>
      </c>
      <c r="O77" s="48" t="s">
        <v>506</v>
      </c>
      <c r="P77" s="93">
        <v>1</v>
      </c>
      <c r="Q77" s="93">
        <v>50</v>
      </c>
      <c r="R77" s="197">
        <f>(Q77/100)*P77</f>
        <v>0.5</v>
      </c>
      <c r="S77" s="320">
        <f t="shared" si="59"/>
        <v>0.5</v>
      </c>
      <c r="T77" s="320">
        <f t="shared" si="60"/>
        <v>1.5</v>
      </c>
      <c r="U77" s="93" t="s">
        <v>506</v>
      </c>
      <c r="V77" s="174" t="s">
        <v>11</v>
      </c>
      <c r="W77" s="174" t="s">
        <v>12</v>
      </c>
      <c r="X77" s="174">
        <v>2</v>
      </c>
      <c r="Y77" s="174">
        <v>24</v>
      </c>
      <c r="Z77" s="174">
        <v>0</v>
      </c>
      <c r="AA77" s="174">
        <v>0</v>
      </c>
      <c r="AB77" s="324" t="s">
        <v>706</v>
      </c>
      <c r="AC77" s="26">
        <v>5</v>
      </c>
      <c r="AD77" s="26">
        <v>50</v>
      </c>
      <c r="AE77" s="176">
        <f>(AD77/100)*AC77</f>
        <v>2.5</v>
      </c>
      <c r="AF77" s="270">
        <f t="shared" si="61"/>
        <v>2.5</v>
      </c>
      <c r="AG77" s="270">
        <f t="shared" si="62"/>
        <v>7.5</v>
      </c>
      <c r="AH77" s="26" t="s">
        <v>1054</v>
      </c>
      <c r="AI77" s="326" t="s">
        <v>741</v>
      </c>
      <c r="AJ77" s="30">
        <v>1</v>
      </c>
      <c r="AK77" s="30">
        <v>50</v>
      </c>
      <c r="AL77" s="179">
        <f>(AK77/100)*AJ77</f>
        <v>0.5</v>
      </c>
      <c r="AM77" s="235">
        <f t="shared" si="63"/>
        <v>0.5</v>
      </c>
      <c r="AN77" s="235">
        <f t="shared" si="64"/>
        <v>1.5</v>
      </c>
      <c r="AO77" s="30" t="s">
        <v>742</v>
      </c>
      <c r="AP77" s="32">
        <v>2</v>
      </c>
      <c r="AQ77" s="32" t="s">
        <v>895</v>
      </c>
      <c r="AR77" s="199">
        <f>G77*((M77+S77)/AF77)*(AM77*AP77)</f>
        <v>4.8000000000000007</v>
      </c>
      <c r="AS77" s="199">
        <f>G77*((J77+P77)/AC77)*(AJ77*AP77)</f>
        <v>9.6000000000000014</v>
      </c>
      <c r="AT77" s="199">
        <f>G77*((N77+T77)/AG77)*(AN77*AP77)</f>
        <v>14.400000000000002</v>
      </c>
      <c r="AU77" s="200">
        <v>2.5750000000000002</v>
      </c>
      <c r="AV77" s="200">
        <v>3</v>
      </c>
      <c r="AW77" s="200">
        <v>3.4249999999999998</v>
      </c>
      <c r="AX77" s="202">
        <f>AR77*AU77</f>
        <v>12.360000000000003</v>
      </c>
      <c r="AY77" s="202">
        <f>AS77*AV77</f>
        <v>28.800000000000004</v>
      </c>
      <c r="AZ77" s="202">
        <f>AT77*AW77</f>
        <v>49.320000000000007</v>
      </c>
      <c r="BA77" s="272">
        <f t="shared" si="49"/>
        <v>0.8</v>
      </c>
      <c r="BB77" s="272">
        <f t="shared" si="50"/>
        <v>2.3000000000000003</v>
      </c>
      <c r="BC77" s="272">
        <f t="shared" si="51"/>
        <v>4</v>
      </c>
      <c r="BD77" s="273">
        <f t="shared" si="52"/>
        <v>0.24</v>
      </c>
      <c r="BE77" s="273">
        <f t="shared" si="53"/>
        <v>0.69000000000000006</v>
      </c>
      <c r="BF77" s="273">
        <f t="shared" si="54"/>
        <v>1.2000000000000002</v>
      </c>
      <c r="BG77" s="219" t="s">
        <v>931</v>
      </c>
    </row>
    <row r="78" spans="1:59" x14ac:dyDescent="0.25">
      <c r="A78" s="107">
        <v>4262.6899999999996</v>
      </c>
      <c r="B78" s="364"/>
      <c r="C78" s="98" t="s">
        <v>288</v>
      </c>
      <c r="D78" s="98" t="s">
        <v>502</v>
      </c>
      <c r="E78" s="142" t="s">
        <v>289</v>
      </c>
      <c r="F78" s="11" t="s">
        <v>755</v>
      </c>
      <c r="G78" s="11">
        <v>5</v>
      </c>
      <c r="H78" s="189">
        <f>5*730.5</f>
        <v>3652.5</v>
      </c>
      <c r="I78" s="11" t="s">
        <v>781</v>
      </c>
      <c r="J78" s="48">
        <v>1</v>
      </c>
      <c r="K78" s="48">
        <v>50</v>
      </c>
      <c r="L78" s="185">
        <f t="shared" si="55"/>
        <v>0.5</v>
      </c>
      <c r="M78" s="266">
        <f t="shared" si="56"/>
        <v>0.5</v>
      </c>
      <c r="N78" s="266">
        <f t="shared" si="57"/>
        <v>1.5</v>
      </c>
      <c r="O78" s="48" t="s">
        <v>506</v>
      </c>
      <c r="P78" s="93">
        <v>1</v>
      </c>
      <c r="Q78" s="93">
        <v>50</v>
      </c>
      <c r="R78" s="197">
        <f t="shared" si="58"/>
        <v>0.5</v>
      </c>
      <c r="S78" s="320">
        <f t="shared" si="59"/>
        <v>0.5</v>
      </c>
      <c r="T78" s="320">
        <f t="shared" si="60"/>
        <v>1.5</v>
      </c>
      <c r="U78" s="93" t="s">
        <v>506</v>
      </c>
      <c r="V78" s="174" t="s">
        <v>11</v>
      </c>
      <c r="W78" s="174" t="s">
        <v>12</v>
      </c>
      <c r="X78" s="96">
        <v>1</v>
      </c>
      <c r="Y78" s="96">
        <v>25</v>
      </c>
      <c r="Z78" s="96">
        <v>1</v>
      </c>
      <c r="AA78" s="96">
        <v>1</v>
      </c>
      <c r="AB78" s="224">
        <v>0.2</v>
      </c>
      <c r="AC78" s="26">
        <v>5</v>
      </c>
      <c r="AD78" s="26">
        <v>50</v>
      </c>
      <c r="AE78" s="176">
        <f t="shared" si="68"/>
        <v>2.5</v>
      </c>
      <c r="AF78" s="270">
        <f t="shared" si="61"/>
        <v>2.5</v>
      </c>
      <c r="AG78" s="270">
        <f t="shared" si="62"/>
        <v>7.5</v>
      </c>
      <c r="AH78" s="26" t="s">
        <v>1049</v>
      </c>
      <c r="AI78" s="326" t="s">
        <v>741</v>
      </c>
      <c r="AJ78" s="30">
        <v>1</v>
      </c>
      <c r="AK78" s="30">
        <v>25</v>
      </c>
      <c r="AL78" s="179">
        <f t="shared" si="69"/>
        <v>0.25</v>
      </c>
      <c r="AM78" s="235">
        <f t="shared" si="63"/>
        <v>0.75</v>
      </c>
      <c r="AN78" s="235">
        <f t="shared" si="64"/>
        <v>1.25</v>
      </c>
      <c r="AO78" s="30" t="s">
        <v>742</v>
      </c>
      <c r="AP78" s="32">
        <v>1</v>
      </c>
      <c r="AQ78" s="32" t="s">
        <v>852</v>
      </c>
      <c r="AR78" s="199">
        <f t="shared" si="46"/>
        <v>1.5</v>
      </c>
      <c r="AS78" s="199">
        <f t="shared" si="47"/>
        <v>2</v>
      </c>
      <c r="AT78" s="199">
        <f t="shared" si="48"/>
        <v>2.5</v>
      </c>
      <c r="AU78" s="200">
        <v>1.3875</v>
      </c>
      <c r="AV78" s="200">
        <v>2.0625</v>
      </c>
      <c r="AW78" s="200">
        <v>2.7374999999999998</v>
      </c>
      <c r="AX78" s="202">
        <f t="shared" si="65"/>
        <v>2.0812499999999998</v>
      </c>
      <c r="AY78" s="202">
        <f t="shared" si="66"/>
        <v>4.125</v>
      </c>
      <c r="AZ78" s="202">
        <f t="shared" si="67"/>
        <v>6.84375</v>
      </c>
      <c r="BA78" s="272">
        <f t="shared" si="49"/>
        <v>0</v>
      </c>
      <c r="BB78" s="272">
        <f t="shared" si="50"/>
        <v>0.1</v>
      </c>
      <c r="BC78" s="272">
        <f t="shared" si="51"/>
        <v>0.3</v>
      </c>
      <c r="BD78" s="273">
        <f t="shared" si="52"/>
        <v>0</v>
      </c>
      <c r="BE78" s="273">
        <f t="shared" si="53"/>
        <v>0.03</v>
      </c>
      <c r="BF78" s="273">
        <f t="shared" si="54"/>
        <v>0.09</v>
      </c>
      <c r="BG78" s="219" t="s">
        <v>931</v>
      </c>
    </row>
    <row r="79" spans="1:59" x14ac:dyDescent="0.25">
      <c r="A79" s="107">
        <v>4262.66</v>
      </c>
      <c r="B79" s="365"/>
      <c r="C79" s="98" t="s">
        <v>586</v>
      </c>
      <c r="D79" s="98" t="s">
        <v>450</v>
      </c>
      <c r="E79" s="142" t="s">
        <v>121</v>
      </c>
      <c r="F79" s="11" t="s">
        <v>753</v>
      </c>
      <c r="G79" s="11">
        <v>12</v>
      </c>
      <c r="H79" s="189">
        <v>8766</v>
      </c>
      <c r="I79" s="11" t="s">
        <v>792</v>
      </c>
      <c r="J79" s="48">
        <v>2</v>
      </c>
      <c r="K79" s="48">
        <v>50</v>
      </c>
      <c r="L79" s="185">
        <f>(K79/100)*J79</f>
        <v>1</v>
      </c>
      <c r="M79" s="266">
        <f t="shared" si="56"/>
        <v>1</v>
      </c>
      <c r="N79" s="266">
        <f t="shared" si="57"/>
        <v>3</v>
      </c>
      <c r="O79" s="48" t="s">
        <v>1097</v>
      </c>
      <c r="P79" s="93">
        <v>1</v>
      </c>
      <c r="Q79" s="93">
        <v>50</v>
      </c>
      <c r="R79" s="197">
        <f>(Q79/100)*P79</f>
        <v>0.5</v>
      </c>
      <c r="S79" s="320">
        <f t="shared" si="59"/>
        <v>0.5</v>
      </c>
      <c r="T79" s="320">
        <f t="shared" si="60"/>
        <v>1.5</v>
      </c>
      <c r="U79" s="93" t="s">
        <v>823</v>
      </c>
      <c r="V79" s="174" t="s">
        <v>11</v>
      </c>
      <c r="W79" s="174" t="s">
        <v>12</v>
      </c>
      <c r="X79" s="174">
        <v>1</v>
      </c>
      <c r="Y79" s="174">
        <v>25</v>
      </c>
      <c r="Z79" s="174">
        <v>0</v>
      </c>
      <c r="AA79" s="174">
        <v>0</v>
      </c>
      <c r="AB79" s="224">
        <v>0.2</v>
      </c>
      <c r="AC79" s="26">
        <v>5</v>
      </c>
      <c r="AD79" s="26">
        <v>50</v>
      </c>
      <c r="AE79" s="176">
        <f>(AD79/100)*AC79</f>
        <v>2.5</v>
      </c>
      <c r="AF79" s="270">
        <f t="shared" si="61"/>
        <v>2.5</v>
      </c>
      <c r="AG79" s="270">
        <f t="shared" si="62"/>
        <v>7.5</v>
      </c>
      <c r="AH79" s="26" t="s">
        <v>1049</v>
      </c>
      <c r="AI79" s="326" t="s">
        <v>741</v>
      </c>
      <c r="AJ79" s="30">
        <v>1</v>
      </c>
      <c r="AK79" s="30">
        <v>25</v>
      </c>
      <c r="AL79" s="179">
        <f>(AK79/100)*AJ79</f>
        <v>0.25</v>
      </c>
      <c r="AM79" s="235">
        <f t="shared" si="63"/>
        <v>0.75</v>
      </c>
      <c r="AN79" s="235">
        <f t="shared" si="64"/>
        <v>1.25</v>
      </c>
      <c r="AO79" s="30" t="s">
        <v>742</v>
      </c>
      <c r="AP79" s="32">
        <v>2</v>
      </c>
      <c r="AQ79" s="32" t="s">
        <v>852</v>
      </c>
      <c r="AR79" s="199">
        <f>G79*((M79+S79)/AF79)*(AM79*AP79)</f>
        <v>10.799999999999999</v>
      </c>
      <c r="AS79" s="199">
        <f>G79*((J79+P79)/AC79)*(AJ79*AP79)</f>
        <v>14.399999999999999</v>
      </c>
      <c r="AT79" s="199">
        <f>G79*((N79+T79)/AG79)*(AN79*AP79)</f>
        <v>18</v>
      </c>
      <c r="AU79" s="200">
        <v>1.9375</v>
      </c>
      <c r="AV79" s="200">
        <v>2.5</v>
      </c>
      <c r="AW79" s="200">
        <v>3.0625</v>
      </c>
      <c r="AX79" s="202">
        <f>AR79*AU79</f>
        <v>20.924999999999997</v>
      </c>
      <c r="AY79" s="202">
        <f>AS79*AV79</f>
        <v>36</v>
      </c>
      <c r="AZ79" s="202">
        <f>AT79*AW79</f>
        <v>55.125</v>
      </c>
      <c r="BA79" s="272">
        <f t="shared" si="49"/>
        <v>1.5</v>
      </c>
      <c r="BB79" s="272">
        <f t="shared" si="50"/>
        <v>2.9</v>
      </c>
      <c r="BC79" s="272">
        <f t="shared" si="51"/>
        <v>4.4000000000000004</v>
      </c>
      <c r="BD79" s="273">
        <f t="shared" si="52"/>
        <v>0.44999999999999996</v>
      </c>
      <c r="BE79" s="273">
        <f t="shared" si="53"/>
        <v>0.86999999999999988</v>
      </c>
      <c r="BF79" s="273">
        <f t="shared" si="54"/>
        <v>1.32</v>
      </c>
      <c r="BG79" s="3" t="s">
        <v>931</v>
      </c>
    </row>
    <row r="80" spans="1:59" x14ac:dyDescent="0.25">
      <c r="A80" s="88"/>
      <c r="C80" s="88"/>
      <c r="AH80"/>
    </row>
    <row r="81" spans="34:34" x14ac:dyDescent="0.25">
      <c r="AH81"/>
    </row>
    <row r="82" spans="34:34" x14ac:dyDescent="0.25">
      <c r="AH82"/>
    </row>
    <row r="83" spans="34:34" x14ac:dyDescent="0.25">
      <c r="AH83"/>
    </row>
    <row r="84" spans="34:34" x14ac:dyDescent="0.25">
      <c r="AH84"/>
    </row>
    <row r="85" spans="34:34" x14ac:dyDescent="0.25">
      <c r="AH85"/>
    </row>
  </sheetData>
  <mergeCells count="10">
    <mergeCell ref="B69:B79"/>
    <mergeCell ref="B65:B68"/>
    <mergeCell ref="B43:B44"/>
    <mergeCell ref="B4:B9"/>
    <mergeCell ref="B38:B39"/>
    <mergeCell ref="B40:B42"/>
    <mergeCell ref="B10:B13"/>
    <mergeCell ref="B14:B18"/>
    <mergeCell ref="B19:B37"/>
    <mergeCell ref="B45:B64"/>
  </mergeCells>
  <pageMargins left="0.75" right="0.75" top="1" bottom="1" header="0.5" footer="0.5"/>
  <pageSetup orientation="portrait" horizontalDpi="4294967292" verticalDpi="4294967292"/>
  <ignoredErrors>
    <ignoredError sqref="H32" formula="1"/>
  </ignoredErrors>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85"/>
  <sheetViews>
    <sheetView zoomScale="80" zoomScaleNormal="80" workbookViewId="0">
      <pane xSplit="4" ySplit="1" topLeftCell="AD2" activePane="bottomRight" state="frozen"/>
      <selection pane="topRight" activeCell="E1" sqref="E1"/>
      <selection pane="bottomLeft" activeCell="A2" sqref="A2"/>
      <selection pane="bottomRight" activeCell="A9" sqref="A9"/>
    </sheetView>
  </sheetViews>
  <sheetFormatPr defaultColWidth="11" defaultRowHeight="15.75" x14ac:dyDescent="0.25"/>
  <cols>
    <col min="3" max="3" width="24.625" customWidth="1"/>
    <col min="4" max="4" width="10.625" hidden="1" customWidth="1"/>
    <col min="5" max="5" width="19" hidden="1" customWidth="1"/>
    <col min="6" max="11" width="11" hidden="1" customWidth="1"/>
    <col min="12" max="12" width="11.5" customWidth="1"/>
    <col min="13" max="13" width="11.5" style="88" customWidth="1"/>
    <col min="14" max="14" width="12.125" customWidth="1"/>
    <col min="15" max="16" width="11" customWidth="1"/>
    <col min="19" max="19" width="19" customWidth="1"/>
    <col min="21" max="22" width="11" customWidth="1"/>
    <col min="25" max="25" width="21.375" customWidth="1"/>
    <col min="26" max="26" width="11" customWidth="1"/>
    <col min="29" max="29" width="25.875" customWidth="1"/>
    <col min="30" max="31" width="11.5" customWidth="1"/>
    <col min="32" max="32" width="11.625" customWidth="1"/>
    <col min="35" max="35" width="13" customWidth="1"/>
    <col min="36" max="37" width="11.375" customWidth="1"/>
    <col min="38" max="38" width="11.5" customWidth="1"/>
    <col min="39" max="39" width="11.375" hidden="1" customWidth="1"/>
    <col min="40" max="40" width="11.625" hidden="1" customWidth="1"/>
    <col min="41" max="41" width="11.875" hidden="1" customWidth="1"/>
    <col min="42" max="43" width="11.625" hidden="1" customWidth="1"/>
    <col min="44" max="44" width="11.875" hidden="1" customWidth="1"/>
    <col min="45" max="47" width="11.375" customWidth="1"/>
  </cols>
  <sheetData>
    <row r="1" spans="1:49" s="55" customFormat="1" ht="90" x14ac:dyDescent="0.25">
      <c r="A1" s="6" t="s">
        <v>149</v>
      </c>
      <c r="B1" s="12" t="s">
        <v>146</v>
      </c>
      <c r="C1" s="12" t="s">
        <v>147</v>
      </c>
      <c r="D1" s="91" t="s">
        <v>431</v>
      </c>
      <c r="E1" s="12" t="s">
        <v>0</v>
      </c>
      <c r="F1" s="43" t="s">
        <v>242</v>
      </c>
      <c r="G1" s="43" t="s">
        <v>243</v>
      </c>
      <c r="H1" s="43" t="s">
        <v>244</v>
      </c>
      <c r="I1" s="43" t="s">
        <v>245</v>
      </c>
      <c r="J1" s="43" t="s">
        <v>246</v>
      </c>
      <c r="K1" s="43" t="s">
        <v>209</v>
      </c>
      <c r="L1" s="29" t="s">
        <v>747</v>
      </c>
      <c r="M1" s="29" t="s">
        <v>934</v>
      </c>
      <c r="N1" s="29" t="s">
        <v>247</v>
      </c>
      <c r="O1" s="29" t="s">
        <v>240</v>
      </c>
      <c r="P1" s="29" t="s">
        <v>241</v>
      </c>
      <c r="Q1" s="29" t="s">
        <v>248</v>
      </c>
      <c r="R1" s="29" t="s">
        <v>249</v>
      </c>
      <c r="S1" s="29" t="s">
        <v>165</v>
      </c>
      <c r="T1" s="44" t="s">
        <v>250</v>
      </c>
      <c r="U1" s="45" t="s">
        <v>251</v>
      </c>
      <c r="V1" s="44" t="s">
        <v>252</v>
      </c>
      <c r="W1" s="44" t="s">
        <v>253</v>
      </c>
      <c r="X1" s="44" t="s">
        <v>254</v>
      </c>
      <c r="Y1" s="44" t="s">
        <v>210</v>
      </c>
      <c r="Z1" s="28" t="s">
        <v>170</v>
      </c>
      <c r="AA1" s="28" t="s">
        <v>839</v>
      </c>
      <c r="AB1" s="31" t="s">
        <v>166</v>
      </c>
      <c r="AC1" s="31" t="s">
        <v>167</v>
      </c>
      <c r="AD1" s="94" t="s">
        <v>211</v>
      </c>
      <c r="AE1" s="94" t="s">
        <v>212</v>
      </c>
      <c r="AF1" s="94" t="s">
        <v>213</v>
      </c>
      <c r="AG1" s="190" t="s">
        <v>1163</v>
      </c>
      <c r="AH1" s="190" t="s">
        <v>1166</v>
      </c>
      <c r="AI1" s="190" t="s">
        <v>1165</v>
      </c>
      <c r="AJ1" s="23" t="s">
        <v>1124</v>
      </c>
      <c r="AK1" s="23" t="s">
        <v>1123</v>
      </c>
      <c r="AL1" s="23" t="s">
        <v>1125</v>
      </c>
      <c r="AM1" s="47" t="s">
        <v>958</v>
      </c>
      <c r="AN1" s="47" t="s">
        <v>959</v>
      </c>
      <c r="AO1" s="47" t="s">
        <v>960</v>
      </c>
      <c r="AP1" s="47" t="s">
        <v>216</v>
      </c>
      <c r="AQ1" s="47" t="s">
        <v>217</v>
      </c>
      <c r="AR1" s="47" t="s">
        <v>218</v>
      </c>
      <c r="AS1" s="205" t="s">
        <v>1126</v>
      </c>
      <c r="AT1" s="205" t="s">
        <v>1127</v>
      </c>
      <c r="AU1" s="205" t="s">
        <v>1128</v>
      </c>
      <c r="AV1" s="221" t="s">
        <v>219</v>
      </c>
    </row>
    <row r="2" spans="1:49" s="55" customFormat="1" x14ac:dyDescent="0.25">
      <c r="A2" s="46"/>
      <c r="B2" s="58"/>
      <c r="C2" s="95" t="s">
        <v>255</v>
      </c>
      <c r="D2" s="95"/>
      <c r="E2" s="75"/>
      <c r="F2" s="43"/>
      <c r="G2" s="43"/>
      <c r="H2" s="43"/>
      <c r="I2" s="43"/>
      <c r="J2" s="43"/>
      <c r="K2" s="43"/>
      <c r="L2" s="29"/>
      <c r="M2" s="216">
        <f t="shared" ref="M2:R2" si="0">MIN(M4:M79)</f>
        <v>0</v>
      </c>
      <c r="N2" s="220">
        <f t="shared" si="0"/>
        <v>1</v>
      </c>
      <c r="O2" s="220">
        <f t="shared" si="0"/>
        <v>10</v>
      </c>
      <c r="P2" s="220">
        <f t="shared" si="0"/>
        <v>0.25</v>
      </c>
      <c r="Q2" s="220">
        <f t="shared" si="0"/>
        <v>0.5</v>
      </c>
      <c r="R2" s="220">
        <f t="shared" si="0"/>
        <v>1.25</v>
      </c>
      <c r="S2" s="220"/>
      <c r="T2" s="230">
        <f>MIN(T4:T79)</f>
        <v>1</v>
      </c>
      <c r="U2" s="230">
        <f>MIN(U4:U79)</f>
        <v>10</v>
      </c>
      <c r="V2" s="230">
        <f>MIN(V4:V79)</f>
        <v>0.1</v>
      </c>
      <c r="W2" s="230">
        <f>MIN(W4:W79)</f>
        <v>0.5</v>
      </c>
      <c r="X2" s="230">
        <f>MIN(X4:X79)</f>
        <v>1.1000000000000001</v>
      </c>
      <c r="Y2" s="230"/>
      <c r="Z2" s="229"/>
      <c r="AA2" s="229">
        <f>MIN(AA4:AA79)</f>
        <v>2</v>
      </c>
      <c r="AB2" s="228">
        <f>MIN(AB4:AB79)</f>
        <v>1</v>
      </c>
      <c r="AC2" s="228"/>
      <c r="AD2" s="227">
        <f t="shared" ref="AD2:AU2" si="1">MIN(AD4:AD79)</f>
        <v>2.25</v>
      </c>
      <c r="AE2" s="227">
        <f t="shared" si="1"/>
        <v>6</v>
      </c>
      <c r="AF2" s="227">
        <f t="shared" si="1"/>
        <v>11.25</v>
      </c>
      <c r="AG2" s="226">
        <v>1</v>
      </c>
      <c r="AH2" s="226">
        <v>1.3125</v>
      </c>
      <c r="AI2" s="226">
        <v>1.5874999999999999</v>
      </c>
      <c r="AJ2" s="224">
        <f t="shared" si="1"/>
        <v>2.390625</v>
      </c>
      <c r="AK2" s="224">
        <f t="shared" si="1"/>
        <v>10.875</v>
      </c>
      <c r="AL2" s="224">
        <f t="shared" si="1"/>
        <v>28.828125</v>
      </c>
      <c r="AM2" s="225">
        <f t="shared" si="1"/>
        <v>0</v>
      </c>
      <c r="AN2" s="225">
        <f t="shared" si="1"/>
        <v>0.1</v>
      </c>
      <c r="AO2" s="225">
        <f t="shared" si="1"/>
        <v>0.89999999999999991</v>
      </c>
      <c r="AP2" s="220" t="e">
        <f t="shared" si="1"/>
        <v>#N/A</v>
      </c>
      <c r="AQ2" s="220" t="e">
        <f t="shared" si="1"/>
        <v>#N/A</v>
      </c>
      <c r="AR2" s="220" t="e">
        <f t="shared" si="1"/>
        <v>#N/A</v>
      </c>
      <c r="AS2" s="223">
        <f t="shared" si="1"/>
        <v>0</v>
      </c>
      <c r="AT2" s="223">
        <f t="shared" si="1"/>
        <v>0.03</v>
      </c>
      <c r="AU2" s="223">
        <f t="shared" si="1"/>
        <v>0.27</v>
      </c>
      <c r="AV2" s="222"/>
    </row>
    <row r="3" spans="1:49" s="263" customFormat="1" ht="16.5" thickBot="1" x14ac:dyDescent="0.3">
      <c r="A3" s="247"/>
      <c r="B3" s="248"/>
      <c r="C3" s="249" t="s">
        <v>256</v>
      </c>
      <c r="D3" s="249"/>
      <c r="E3" s="250"/>
      <c r="F3" s="251"/>
      <c r="G3" s="251"/>
      <c r="H3" s="251"/>
      <c r="I3" s="251"/>
      <c r="J3" s="251"/>
      <c r="K3" s="251"/>
      <c r="L3" s="252"/>
      <c r="M3" s="281">
        <f t="shared" ref="M3:R3" si="2">MAX(M4:M79)</f>
        <v>50</v>
      </c>
      <c r="N3" s="253">
        <f t="shared" si="2"/>
        <v>5</v>
      </c>
      <c r="O3" s="253">
        <f t="shared" si="2"/>
        <v>50</v>
      </c>
      <c r="P3" s="253">
        <f t="shared" si="2"/>
        <v>2.5</v>
      </c>
      <c r="Q3" s="253">
        <f t="shared" si="2"/>
        <v>4.5</v>
      </c>
      <c r="R3" s="253">
        <f t="shared" si="2"/>
        <v>7.5</v>
      </c>
      <c r="S3" s="253"/>
      <c r="T3" s="254">
        <f>MAX(T4:T79)</f>
        <v>4</v>
      </c>
      <c r="U3" s="254">
        <f>MAX(U4:U79)</f>
        <v>50</v>
      </c>
      <c r="V3" s="254">
        <f>MAX(V4:V79)</f>
        <v>2</v>
      </c>
      <c r="W3" s="254">
        <f>MAX(W4:W79)</f>
        <v>3.6</v>
      </c>
      <c r="X3" s="254">
        <f>MAX(X4:X79)</f>
        <v>6</v>
      </c>
      <c r="Y3" s="254"/>
      <c r="Z3" s="255"/>
      <c r="AA3" s="255">
        <f>MAX(AA4:AA79)</f>
        <v>12</v>
      </c>
      <c r="AB3" s="256">
        <f>MAX(AB4:AB79)</f>
        <v>2</v>
      </c>
      <c r="AC3" s="256"/>
      <c r="AD3" s="257">
        <f t="shared" ref="AD3:AU3" si="3">MAX(AD4:AD79)</f>
        <v>291.60000000000002</v>
      </c>
      <c r="AE3" s="257">
        <f t="shared" si="3"/>
        <v>360</v>
      </c>
      <c r="AF3" s="257">
        <f t="shared" si="3"/>
        <v>810</v>
      </c>
      <c r="AG3" s="258">
        <v>3.5625</v>
      </c>
      <c r="AH3" s="258">
        <v>4.5</v>
      </c>
      <c r="AI3" s="258">
        <v>5.4375</v>
      </c>
      <c r="AJ3" s="259">
        <f t="shared" si="3"/>
        <v>688.90499999999997</v>
      </c>
      <c r="AK3" s="259">
        <f t="shared" si="3"/>
        <v>1350</v>
      </c>
      <c r="AL3" s="259">
        <f t="shared" si="3"/>
        <v>3361.5000000000005</v>
      </c>
      <c r="AM3" s="260">
        <f t="shared" si="3"/>
        <v>7.7</v>
      </c>
      <c r="AN3" s="260">
        <f t="shared" si="3"/>
        <v>9.1</v>
      </c>
      <c r="AO3" s="260">
        <f t="shared" si="3"/>
        <v>10</v>
      </c>
      <c r="AP3" s="253" t="e">
        <f t="shared" si="3"/>
        <v>#N/A</v>
      </c>
      <c r="AQ3" s="253" t="e">
        <f t="shared" si="3"/>
        <v>#N/A</v>
      </c>
      <c r="AR3" s="253" t="e">
        <f t="shared" si="3"/>
        <v>#N/A</v>
      </c>
      <c r="AS3" s="261">
        <f t="shared" si="3"/>
        <v>2.31</v>
      </c>
      <c r="AT3" s="261">
        <f t="shared" si="3"/>
        <v>2.73</v>
      </c>
      <c r="AU3" s="261">
        <f t="shared" si="3"/>
        <v>3</v>
      </c>
      <c r="AV3" s="262"/>
    </row>
    <row r="4" spans="1:49" ht="16.5" thickTop="1" x14ac:dyDescent="0.25">
      <c r="A4" s="358">
        <v>537</v>
      </c>
      <c r="B4" s="370" t="s">
        <v>58</v>
      </c>
      <c r="C4" s="341" t="s">
        <v>59</v>
      </c>
      <c r="D4" s="341" t="s">
        <v>481</v>
      </c>
      <c r="E4" s="342" t="s">
        <v>60</v>
      </c>
      <c r="F4" s="232"/>
      <c r="G4" s="232"/>
      <c r="H4" s="232"/>
      <c r="I4" s="232"/>
      <c r="J4" s="232"/>
      <c r="K4" s="232"/>
      <c r="L4" s="233" t="s">
        <v>737</v>
      </c>
      <c r="M4" s="325" t="s">
        <v>737</v>
      </c>
      <c r="N4" s="234">
        <v>5</v>
      </c>
      <c r="O4" s="234">
        <v>25</v>
      </c>
      <c r="P4" s="235">
        <f t="shared" ref="P4:P9" si="4">(O4/100)*N4</f>
        <v>1.25</v>
      </c>
      <c r="Q4" s="235">
        <f>N4-P4</f>
        <v>3.75</v>
      </c>
      <c r="R4" s="235">
        <f>N4+P4</f>
        <v>6.25</v>
      </c>
      <c r="S4" s="234" t="s">
        <v>1006</v>
      </c>
      <c r="T4" s="236">
        <v>4</v>
      </c>
      <c r="U4" s="236">
        <v>50</v>
      </c>
      <c r="V4" s="237">
        <f t="shared" ref="V4" si="5">(U4/100)*T4</f>
        <v>2</v>
      </c>
      <c r="W4" s="237">
        <f>T4-V4</f>
        <v>2</v>
      </c>
      <c r="X4" s="237">
        <f>T4+V4</f>
        <v>6</v>
      </c>
      <c r="Y4" s="236" t="s">
        <v>923</v>
      </c>
      <c r="Z4" s="238" t="s">
        <v>770</v>
      </c>
      <c r="AA4" s="238">
        <v>5</v>
      </c>
      <c r="AB4" s="239">
        <v>1</v>
      </c>
      <c r="AC4" s="239" t="s">
        <v>854</v>
      </c>
      <c r="AD4" s="240">
        <f>AA4*Q4*(W4*AB4)</f>
        <v>37.5</v>
      </c>
      <c r="AE4" s="241">
        <f>AA4*N4*(T4*AB4)</f>
        <v>100</v>
      </c>
      <c r="AF4" s="241">
        <f>AA4*R4*(X4*AB4)</f>
        <v>187.5</v>
      </c>
      <c r="AG4" s="242">
        <v>1.6875</v>
      </c>
      <c r="AH4" s="242">
        <v>2.25</v>
      </c>
      <c r="AI4" s="242">
        <v>2.8125</v>
      </c>
      <c r="AJ4" s="243">
        <f>AD4*AG4</f>
        <v>63.28125</v>
      </c>
      <c r="AK4" s="243">
        <f>AE4*AH4</f>
        <v>225</v>
      </c>
      <c r="AL4" s="243">
        <f>AF4*AI4</f>
        <v>527.34375</v>
      </c>
      <c r="AM4" s="244">
        <f t="shared" ref="AM4:AM35" si="6">_xlfn.PERCENTRANK.INC($AJ$4:$AL$79,AJ4,2)*10</f>
        <v>2</v>
      </c>
      <c r="AN4" s="244">
        <f t="shared" ref="AN4:AN35" si="7">_xlfn.PERCENTRANK.INC($AJ$4:$AL$79,AK4,2)*10</f>
        <v>5.0999999999999996</v>
      </c>
      <c r="AO4" s="244">
        <f t="shared" ref="AO4:AO35" si="8">_xlfn.PERCENTRANK.INC($AJ$4:$AL$79,AL4,2)*10</f>
        <v>7</v>
      </c>
      <c r="AP4" s="244" t="e">
        <f t="shared" ref="AP4:AP35" si="9">_xlfn.PERCENTRANK.INC($AJ$4:$AL$180,AM4,3)*10</f>
        <v>#N/A</v>
      </c>
      <c r="AQ4" s="244">
        <f t="shared" ref="AQ4:AQ35" si="10">_xlfn.PERCENTRANK.INC($AJ$4:$AL$180,AN4,3)*10</f>
        <v>0.09</v>
      </c>
      <c r="AR4" s="244">
        <f t="shared" ref="AR4:AR35" si="11">_xlfn.PERCENTRANK.INC($AJ$4:$AL$180,AO4,3)*10</f>
        <v>0.13</v>
      </c>
      <c r="AS4" s="245">
        <f t="shared" ref="AS4:AS35" si="12">_xlfn.PERCENTRANK.INC($AJ$4:$AL$79,AJ4,2)*3</f>
        <v>0.60000000000000009</v>
      </c>
      <c r="AT4" s="245">
        <f t="shared" ref="AT4:AT35" si="13">_xlfn.PERCENTRANK.INC($AJ$4:$AL$79,AK4,2)*3</f>
        <v>1.53</v>
      </c>
      <c r="AU4" s="245">
        <f t="shared" ref="AU4:AU35" si="14">_xlfn.PERCENTRANK.INC($AJ$4:$AL$79,AL4,2)*3</f>
        <v>2.0999999999999996</v>
      </c>
      <c r="AV4" s="246" t="s">
        <v>932</v>
      </c>
      <c r="AW4">
        <f>AVERAGE(AS4:AU4)</f>
        <v>1.41</v>
      </c>
    </row>
    <row r="5" spans="1:49" x14ac:dyDescent="0.25">
      <c r="A5" s="358">
        <v>530</v>
      </c>
      <c r="B5" s="368"/>
      <c r="C5" s="98" t="s">
        <v>61</v>
      </c>
      <c r="D5" s="98" t="s">
        <v>482</v>
      </c>
      <c r="E5" s="142" t="s">
        <v>62</v>
      </c>
      <c r="F5" s="40"/>
      <c r="G5" s="40"/>
      <c r="H5" s="40"/>
      <c r="I5" s="40"/>
      <c r="J5" s="40"/>
      <c r="K5" s="40"/>
      <c r="L5" s="178" t="s">
        <v>737</v>
      </c>
      <c r="M5" s="326" t="s">
        <v>737</v>
      </c>
      <c r="N5" s="30">
        <v>5</v>
      </c>
      <c r="O5" s="30">
        <v>25</v>
      </c>
      <c r="P5" s="179">
        <f t="shared" si="4"/>
        <v>1.25</v>
      </c>
      <c r="Q5" s="235">
        <f t="shared" ref="Q5:Q68" si="15">N5-P5</f>
        <v>3.75</v>
      </c>
      <c r="R5" s="235">
        <f t="shared" ref="R5:R68" si="16">N5+P5</f>
        <v>6.25</v>
      </c>
      <c r="S5" s="234" t="s">
        <v>1006</v>
      </c>
      <c r="T5" s="38">
        <v>4</v>
      </c>
      <c r="U5" s="38">
        <v>50</v>
      </c>
      <c r="V5" s="191">
        <f t="shared" ref="V5:V68" si="17">(U5/100)*T5</f>
        <v>2</v>
      </c>
      <c r="W5" s="237">
        <f t="shared" ref="W5:W68" si="18">T5-V5</f>
        <v>2</v>
      </c>
      <c r="X5" s="237">
        <f t="shared" ref="X5:X68" si="19">T5+V5</f>
        <v>6</v>
      </c>
      <c r="Y5" s="38" t="s">
        <v>801</v>
      </c>
      <c r="Z5" s="11" t="s">
        <v>753</v>
      </c>
      <c r="AA5" s="11">
        <v>12</v>
      </c>
      <c r="AB5" s="32">
        <v>1</v>
      </c>
      <c r="AC5" s="32" t="s">
        <v>855</v>
      </c>
      <c r="AD5" s="198">
        <f t="shared" ref="AD5:AD68" si="20">AA5*Q5*(W5*AB5)</f>
        <v>90</v>
      </c>
      <c r="AE5" s="199">
        <f t="shared" ref="AE5:AE68" si="21">AA5*N5*(T5*AB5)</f>
        <v>240</v>
      </c>
      <c r="AF5" s="199">
        <f t="shared" ref="AF5:AF68" si="22">AA5*R5*(X5*AB5)</f>
        <v>450</v>
      </c>
      <c r="AG5" s="200">
        <v>1.5</v>
      </c>
      <c r="AH5" s="200">
        <v>2.3125</v>
      </c>
      <c r="AI5" s="200">
        <v>3.125</v>
      </c>
      <c r="AJ5" s="201">
        <f t="shared" ref="AJ5:AJ68" si="23">AD5*AG5</f>
        <v>135</v>
      </c>
      <c r="AK5" s="201">
        <f t="shared" ref="AK5:AK68" si="24">AE5*AH5</f>
        <v>555</v>
      </c>
      <c r="AL5" s="201">
        <f t="shared" ref="AL5:AL68" si="25">AF5*AI5</f>
        <v>1406.25</v>
      </c>
      <c r="AM5" s="244">
        <f t="shared" si="6"/>
        <v>3.5</v>
      </c>
      <c r="AN5" s="244">
        <f t="shared" si="7"/>
        <v>7.1</v>
      </c>
      <c r="AO5" s="244">
        <f t="shared" si="8"/>
        <v>9.2000000000000011</v>
      </c>
      <c r="AP5" s="244">
        <f t="shared" si="9"/>
        <v>0.02</v>
      </c>
      <c r="AQ5" s="244">
        <f t="shared" si="10"/>
        <v>0.13</v>
      </c>
      <c r="AR5" s="244">
        <f t="shared" si="11"/>
        <v>0.15</v>
      </c>
      <c r="AS5" s="245">
        <f t="shared" si="12"/>
        <v>1.0499999999999998</v>
      </c>
      <c r="AT5" s="245">
        <f t="shared" si="13"/>
        <v>2.13</v>
      </c>
      <c r="AU5" s="245">
        <f t="shared" si="14"/>
        <v>2.7600000000000002</v>
      </c>
      <c r="AV5" s="219" t="s">
        <v>933</v>
      </c>
      <c r="AW5" s="88">
        <f t="shared" ref="AW5:AW68" si="26">AVERAGE(AS5:AU5)</f>
        <v>1.9799999999999998</v>
      </c>
    </row>
    <row r="6" spans="1:49" x14ac:dyDescent="0.25">
      <c r="A6" s="358">
        <v>534</v>
      </c>
      <c r="B6" s="368"/>
      <c r="C6" s="98" t="s">
        <v>574</v>
      </c>
      <c r="D6" s="98" t="s">
        <v>483</v>
      </c>
      <c r="E6" s="142" t="s">
        <v>63</v>
      </c>
      <c r="F6" s="40"/>
      <c r="G6" s="40"/>
      <c r="H6" s="40"/>
      <c r="I6" s="40"/>
      <c r="J6" s="40"/>
      <c r="K6" s="40"/>
      <c r="L6" s="178" t="s">
        <v>737</v>
      </c>
      <c r="M6" s="326" t="s">
        <v>737</v>
      </c>
      <c r="N6" s="30">
        <v>5</v>
      </c>
      <c r="O6" s="30">
        <v>25</v>
      </c>
      <c r="P6" s="179">
        <f t="shared" si="4"/>
        <v>1.25</v>
      </c>
      <c r="Q6" s="235">
        <f t="shared" si="15"/>
        <v>3.75</v>
      </c>
      <c r="R6" s="235">
        <f t="shared" si="16"/>
        <v>6.25</v>
      </c>
      <c r="S6" s="234" t="s">
        <v>1006</v>
      </c>
      <c r="T6" s="38">
        <v>3</v>
      </c>
      <c r="U6" s="38">
        <v>50</v>
      </c>
      <c r="V6" s="191">
        <f t="shared" si="17"/>
        <v>1.5</v>
      </c>
      <c r="W6" s="237">
        <f t="shared" si="18"/>
        <v>1.5</v>
      </c>
      <c r="X6" s="237">
        <f t="shared" si="19"/>
        <v>4.5</v>
      </c>
      <c r="Y6" s="38" t="s">
        <v>924</v>
      </c>
      <c r="Z6" s="11" t="s">
        <v>753</v>
      </c>
      <c r="AA6" s="11">
        <v>12</v>
      </c>
      <c r="AB6" s="32">
        <v>1</v>
      </c>
      <c r="AC6" s="32" t="s">
        <v>856</v>
      </c>
      <c r="AD6" s="198">
        <f t="shared" si="20"/>
        <v>67.5</v>
      </c>
      <c r="AE6" s="199">
        <f t="shared" si="21"/>
        <v>180</v>
      </c>
      <c r="AF6" s="199">
        <f t="shared" si="22"/>
        <v>337.5</v>
      </c>
      <c r="AG6" s="200">
        <v>1.1875</v>
      </c>
      <c r="AH6" s="200">
        <v>1.8125</v>
      </c>
      <c r="AI6" s="200">
        <v>2.4375</v>
      </c>
      <c r="AJ6" s="201">
        <f t="shared" si="23"/>
        <v>80.15625</v>
      </c>
      <c r="AK6" s="201">
        <f t="shared" si="24"/>
        <v>326.25</v>
      </c>
      <c r="AL6" s="201">
        <f t="shared" si="25"/>
        <v>822.65625</v>
      </c>
      <c r="AM6" s="244">
        <f t="shared" si="6"/>
        <v>2.3000000000000003</v>
      </c>
      <c r="AN6" s="244">
        <f t="shared" si="7"/>
        <v>6</v>
      </c>
      <c r="AO6" s="244">
        <f t="shared" si="8"/>
        <v>8.1999999999999993</v>
      </c>
      <c r="AP6" s="244" t="e">
        <f t="shared" si="9"/>
        <v>#N/A</v>
      </c>
      <c r="AQ6" s="244">
        <f t="shared" si="10"/>
        <v>0.10999999999999999</v>
      </c>
      <c r="AR6" s="244">
        <f t="shared" si="11"/>
        <v>0.14000000000000001</v>
      </c>
      <c r="AS6" s="245">
        <f t="shared" si="12"/>
        <v>0.69000000000000006</v>
      </c>
      <c r="AT6" s="245">
        <f t="shared" si="13"/>
        <v>1.7999999999999998</v>
      </c>
      <c r="AU6" s="245">
        <f t="shared" si="14"/>
        <v>2.46</v>
      </c>
      <c r="AV6" s="3" t="s">
        <v>932</v>
      </c>
      <c r="AW6" s="88">
        <f t="shared" si="26"/>
        <v>1.6499999999999997</v>
      </c>
    </row>
    <row r="7" spans="1:49" x14ac:dyDescent="0.25">
      <c r="A7" s="358">
        <v>261</v>
      </c>
      <c r="B7" s="368"/>
      <c r="C7" s="98" t="s">
        <v>64</v>
      </c>
      <c r="D7" s="98" t="s">
        <v>484</v>
      </c>
      <c r="E7" s="343" t="s">
        <v>258</v>
      </c>
      <c r="F7" s="40"/>
      <c r="G7" s="40"/>
      <c r="H7" s="40"/>
      <c r="I7" s="40"/>
      <c r="J7" s="40"/>
      <c r="K7" s="40"/>
      <c r="L7" s="178" t="s">
        <v>738</v>
      </c>
      <c r="M7" s="326" t="s">
        <v>738</v>
      </c>
      <c r="N7" s="30">
        <v>5</v>
      </c>
      <c r="O7" s="30">
        <v>25</v>
      </c>
      <c r="P7" s="179">
        <f t="shared" si="4"/>
        <v>1.25</v>
      </c>
      <c r="Q7" s="235">
        <f t="shared" si="15"/>
        <v>3.75</v>
      </c>
      <c r="R7" s="235">
        <f t="shared" si="16"/>
        <v>6.25</v>
      </c>
      <c r="S7" s="234" t="s">
        <v>1006</v>
      </c>
      <c r="T7" s="38">
        <v>4</v>
      </c>
      <c r="U7" s="38">
        <v>50</v>
      </c>
      <c r="V7" s="191">
        <f t="shared" si="17"/>
        <v>2</v>
      </c>
      <c r="W7" s="237">
        <f t="shared" si="18"/>
        <v>2</v>
      </c>
      <c r="X7" s="237">
        <f t="shared" si="19"/>
        <v>6</v>
      </c>
      <c r="Y7" s="38" t="s">
        <v>928</v>
      </c>
      <c r="Z7" s="11" t="s">
        <v>753</v>
      </c>
      <c r="AA7" s="11">
        <v>12</v>
      </c>
      <c r="AB7" s="32">
        <v>1</v>
      </c>
      <c r="AC7" s="32" t="s">
        <v>857</v>
      </c>
      <c r="AD7" s="198">
        <f t="shared" si="20"/>
        <v>90</v>
      </c>
      <c r="AE7" s="199">
        <f t="shared" si="21"/>
        <v>240</v>
      </c>
      <c r="AF7" s="199">
        <f t="shared" si="22"/>
        <v>450</v>
      </c>
      <c r="AG7" s="200">
        <v>2.25</v>
      </c>
      <c r="AH7" s="200">
        <v>2.75</v>
      </c>
      <c r="AI7" s="200">
        <v>3.25</v>
      </c>
      <c r="AJ7" s="201">
        <f t="shared" si="23"/>
        <v>202.5</v>
      </c>
      <c r="AK7" s="201">
        <f t="shared" si="24"/>
        <v>660</v>
      </c>
      <c r="AL7" s="201">
        <f t="shared" si="25"/>
        <v>1462.5</v>
      </c>
      <c r="AM7" s="244">
        <f t="shared" si="6"/>
        <v>4.6000000000000005</v>
      </c>
      <c r="AN7" s="244">
        <f t="shared" si="7"/>
        <v>7.7</v>
      </c>
      <c r="AO7" s="244">
        <f t="shared" si="8"/>
        <v>9.3000000000000007</v>
      </c>
      <c r="AP7" s="244">
        <f t="shared" si="9"/>
        <v>0.08</v>
      </c>
      <c r="AQ7" s="244">
        <f t="shared" si="10"/>
        <v>0.13</v>
      </c>
      <c r="AR7" s="244">
        <f t="shared" si="11"/>
        <v>0.15</v>
      </c>
      <c r="AS7" s="245">
        <f t="shared" si="12"/>
        <v>1.3800000000000001</v>
      </c>
      <c r="AT7" s="245">
        <f t="shared" si="13"/>
        <v>2.31</v>
      </c>
      <c r="AU7" s="245">
        <f t="shared" si="14"/>
        <v>2.79</v>
      </c>
      <c r="AV7" s="3" t="s">
        <v>933</v>
      </c>
      <c r="AW7" s="88">
        <f t="shared" si="26"/>
        <v>2.16</v>
      </c>
    </row>
    <row r="8" spans="1:49" x14ac:dyDescent="0.25">
      <c r="A8" s="107">
        <v>559</v>
      </c>
      <c r="B8" s="368"/>
      <c r="C8" s="98" t="s">
        <v>65</v>
      </c>
      <c r="D8" s="98" t="s">
        <v>485</v>
      </c>
      <c r="E8" s="344" t="s">
        <v>262</v>
      </c>
      <c r="F8" s="40"/>
      <c r="G8" s="40"/>
      <c r="H8" s="40"/>
      <c r="I8" s="40"/>
      <c r="J8" s="40"/>
      <c r="K8" s="40"/>
      <c r="L8" s="178">
        <v>37</v>
      </c>
      <c r="M8" s="326">
        <v>37</v>
      </c>
      <c r="N8" s="30">
        <v>4</v>
      </c>
      <c r="O8" s="30">
        <v>50</v>
      </c>
      <c r="P8" s="179">
        <f t="shared" si="4"/>
        <v>2</v>
      </c>
      <c r="Q8" s="235">
        <f t="shared" si="15"/>
        <v>2</v>
      </c>
      <c r="R8" s="235">
        <f t="shared" si="16"/>
        <v>6</v>
      </c>
      <c r="S8" s="30" t="s">
        <v>280</v>
      </c>
      <c r="T8" s="38">
        <v>1</v>
      </c>
      <c r="U8" s="38">
        <v>25</v>
      </c>
      <c r="V8" s="191">
        <f t="shared" si="17"/>
        <v>0.25</v>
      </c>
      <c r="W8" s="237">
        <f t="shared" si="18"/>
        <v>0.75</v>
      </c>
      <c r="X8" s="237">
        <f t="shared" si="19"/>
        <v>1.25</v>
      </c>
      <c r="Y8" s="38" t="s">
        <v>926</v>
      </c>
      <c r="Z8" s="11" t="s">
        <v>787</v>
      </c>
      <c r="AA8" s="11">
        <v>2</v>
      </c>
      <c r="AB8" s="32">
        <v>1.5</v>
      </c>
      <c r="AC8" s="32" t="s">
        <v>858</v>
      </c>
      <c r="AD8" s="198">
        <f t="shared" si="20"/>
        <v>4.5</v>
      </c>
      <c r="AE8" s="199">
        <f t="shared" si="21"/>
        <v>12</v>
      </c>
      <c r="AF8" s="199">
        <f t="shared" si="22"/>
        <v>22.5</v>
      </c>
      <c r="AG8" s="200">
        <v>1.0125</v>
      </c>
      <c r="AH8" s="200">
        <v>1.3125</v>
      </c>
      <c r="AI8" s="200">
        <v>1.6125</v>
      </c>
      <c r="AJ8" s="201">
        <f t="shared" si="23"/>
        <v>4.5562499999999995</v>
      </c>
      <c r="AK8" s="201">
        <f t="shared" si="24"/>
        <v>15.75</v>
      </c>
      <c r="AL8" s="201">
        <f t="shared" si="25"/>
        <v>36.28125</v>
      </c>
      <c r="AM8" s="244">
        <f t="shared" si="6"/>
        <v>0</v>
      </c>
      <c r="AN8" s="244">
        <f t="shared" si="7"/>
        <v>0.4</v>
      </c>
      <c r="AO8" s="244">
        <f t="shared" si="8"/>
        <v>1.3</v>
      </c>
      <c r="AP8" s="244" t="e">
        <f t="shared" si="9"/>
        <v>#N/A</v>
      </c>
      <c r="AQ8" s="244" t="e">
        <f t="shared" si="10"/>
        <v>#N/A</v>
      </c>
      <c r="AR8" s="244" t="e">
        <f t="shared" si="11"/>
        <v>#N/A</v>
      </c>
      <c r="AS8" s="245">
        <f t="shared" si="12"/>
        <v>0</v>
      </c>
      <c r="AT8" s="245">
        <f t="shared" si="13"/>
        <v>0.12</v>
      </c>
      <c r="AU8" s="245">
        <f t="shared" si="14"/>
        <v>0.39</v>
      </c>
      <c r="AV8" s="3" t="s">
        <v>931</v>
      </c>
      <c r="AW8" s="88">
        <f t="shared" si="26"/>
        <v>0.17</v>
      </c>
    </row>
    <row r="9" spans="1:49" x14ac:dyDescent="0.25">
      <c r="A9" s="107">
        <v>561</v>
      </c>
      <c r="B9" s="369"/>
      <c r="C9" s="98" t="s">
        <v>578</v>
      </c>
      <c r="D9" s="98" t="s">
        <v>486</v>
      </c>
      <c r="E9" s="142" t="s">
        <v>67</v>
      </c>
      <c r="F9" s="40"/>
      <c r="G9" s="40"/>
      <c r="H9" s="40"/>
      <c r="I9" s="40"/>
      <c r="J9" s="40"/>
      <c r="K9" s="40"/>
      <c r="L9" s="178">
        <v>37</v>
      </c>
      <c r="M9" s="326">
        <v>37</v>
      </c>
      <c r="N9" s="30">
        <v>4</v>
      </c>
      <c r="O9" s="30">
        <v>50</v>
      </c>
      <c r="P9" s="179">
        <f t="shared" si="4"/>
        <v>2</v>
      </c>
      <c r="Q9" s="235">
        <f t="shared" si="15"/>
        <v>2</v>
      </c>
      <c r="R9" s="235">
        <f t="shared" si="16"/>
        <v>6</v>
      </c>
      <c r="S9" s="30" t="s">
        <v>1007</v>
      </c>
      <c r="T9" s="38">
        <v>1</v>
      </c>
      <c r="U9" s="38">
        <v>50</v>
      </c>
      <c r="V9" s="191">
        <f t="shared" si="17"/>
        <v>0.5</v>
      </c>
      <c r="W9" s="237">
        <f t="shared" si="18"/>
        <v>0.5</v>
      </c>
      <c r="X9" s="237">
        <f t="shared" si="19"/>
        <v>1.5</v>
      </c>
      <c r="Y9" s="38" t="s">
        <v>925</v>
      </c>
      <c r="Z9" s="11" t="s">
        <v>756</v>
      </c>
      <c r="AA9" s="11">
        <v>9</v>
      </c>
      <c r="AB9" s="32">
        <v>1</v>
      </c>
      <c r="AC9" s="32" t="s">
        <v>859</v>
      </c>
      <c r="AD9" s="198">
        <f t="shared" si="20"/>
        <v>9</v>
      </c>
      <c r="AE9" s="199">
        <f t="shared" si="21"/>
        <v>36</v>
      </c>
      <c r="AF9" s="199">
        <f t="shared" si="22"/>
        <v>81</v>
      </c>
      <c r="AG9" s="200">
        <v>1.425</v>
      </c>
      <c r="AH9" s="200">
        <v>1.8125</v>
      </c>
      <c r="AI9" s="200">
        <v>2.2000000000000002</v>
      </c>
      <c r="AJ9" s="201">
        <f t="shared" si="23"/>
        <v>12.825000000000001</v>
      </c>
      <c r="AK9" s="201">
        <f t="shared" si="24"/>
        <v>65.25</v>
      </c>
      <c r="AL9" s="201">
        <f t="shared" si="25"/>
        <v>178.20000000000002</v>
      </c>
      <c r="AM9" s="244">
        <f t="shared" si="6"/>
        <v>0.3</v>
      </c>
      <c r="AN9" s="244">
        <f t="shared" si="7"/>
        <v>2.1</v>
      </c>
      <c r="AO9" s="244">
        <f t="shared" si="8"/>
        <v>4.3</v>
      </c>
      <c r="AP9" s="244" t="e">
        <f t="shared" si="9"/>
        <v>#N/A</v>
      </c>
      <c r="AQ9" s="244" t="e">
        <f t="shared" si="10"/>
        <v>#N/A</v>
      </c>
      <c r="AR9" s="244">
        <f t="shared" si="11"/>
        <v>0.03</v>
      </c>
      <c r="AS9" s="245">
        <f t="shared" si="12"/>
        <v>0.09</v>
      </c>
      <c r="AT9" s="245">
        <f t="shared" si="13"/>
        <v>0.63</v>
      </c>
      <c r="AU9" s="245">
        <f t="shared" si="14"/>
        <v>1.29</v>
      </c>
      <c r="AV9" s="3" t="s">
        <v>931</v>
      </c>
      <c r="AW9" s="88">
        <f t="shared" si="26"/>
        <v>0.66999999999999993</v>
      </c>
    </row>
    <row r="10" spans="1:49" x14ac:dyDescent="0.25">
      <c r="A10" s="358">
        <v>1567</v>
      </c>
      <c r="B10" s="363" t="s">
        <v>8</v>
      </c>
      <c r="C10" s="98" t="s">
        <v>9</v>
      </c>
      <c r="D10" s="98" t="s">
        <v>460</v>
      </c>
      <c r="E10" s="345" t="s">
        <v>10</v>
      </c>
      <c r="F10" s="40"/>
      <c r="G10" s="40"/>
      <c r="H10" s="40"/>
      <c r="I10" s="40"/>
      <c r="J10" s="40"/>
      <c r="K10" s="40"/>
      <c r="L10" s="178" t="s">
        <v>735</v>
      </c>
      <c r="M10" s="326" t="s">
        <v>735</v>
      </c>
      <c r="N10" s="30">
        <v>5</v>
      </c>
      <c r="O10" s="30">
        <v>10</v>
      </c>
      <c r="P10" s="179">
        <f t="shared" ref="P10:P72" si="27">(O10/100)*N10</f>
        <v>0.5</v>
      </c>
      <c r="Q10" s="235">
        <f t="shared" si="15"/>
        <v>4.5</v>
      </c>
      <c r="R10" s="235">
        <f t="shared" si="16"/>
        <v>5.5</v>
      </c>
      <c r="S10" s="30" t="s">
        <v>742</v>
      </c>
      <c r="T10" s="38">
        <v>4</v>
      </c>
      <c r="U10" s="38">
        <v>10</v>
      </c>
      <c r="V10" s="191">
        <f t="shared" si="17"/>
        <v>0.4</v>
      </c>
      <c r="W10" s="237">
        <f t="shared" si="18"/>
        <v>3.6</v>
      </c>
      <c r="X10" s="237">
        <f t="shared" si="19"/>
        <v>4.4000000000000004</v>
      </c>
      <c r="Y10" s="38" t="s">
        <v>1098</v>
      </c>
      <c r="Z10" s="11" t="s">
        <v>771</v>
      </c>
      <c r="AA10" s="11">
        <v>12</v>
      </c>
      <c r="AB10" s="32">
        <v>1</v>
      </c>
      <c r="AC10" s="32" t="s">
        <v>860</v>
      </c>
      <c r="AD10" s="198">
        <f t="shared" si="20"/>
        <v>194.4</v>
      </c>
      <c r="AE10" s="199">
        <f t="shared" si="21"/>
        <v>240</v>
      </c>
      <c r="AF10" s="199">
        <f t="shared" si="22"/>
        <v>290.40000000000003</v>
      </c>
      <c r="AG10" s="200">
        <v>2.9249999999999998</v>
      </c>
      <c r="AH10" s="200">
        <v>3.5</v>
      </c>
      <c r="AI10" s="200">
        <v>4.0750000000000002</v>
      </c>
      <c r="AJ10" s="201">
        <f t="shared" si="23"/>
        <v>568.62</v>
      </c>
      <c r="AK10" s="201">
        <f t="shared" si="24"/>
        <v>840</v>
      </c>
      <c r="AL10" s="201">
        <f t="shared" si="25"/>
        <v>1183.3800000000001</v>
      </c>
      <c r="AM10" s="244">
        <f t="shared" si="6"/>
        <v>7.1999999999999993</v>
      </c>
      <c r="AN10" s="244">
        <f t="shared" si="7"/>
        <v>8.2999999999999989</v>
      </c>
      <c r="AO10" s="244">
        <f t="shared" si="8"/>
        <v>8.9</v>
      </c>
      <c r="AP10" s="244">
        <f t="shared" si="9"/>
        <v>0.13</v>
      </c>
      <c r="AQ10" s="244">
        <f t="shared" si="10"/>
        <v>0.14000000000000001</v>
      </c>
      <c r="AR10" s="244">
        <f t="shared" si="11"/>
        <v>0.15</v>
      </c>
      <c r="AS10" s="245">
        <f t="shared" si="12"/>
        <v>2.16</v>
      </c>
      <c r="AT10" s="245">
        <f t="shared" si="13"/>
        <v>2.4899999999999998</v>
      </c>
      <c r="AU10" s="245">
        <f t="shared" si="14"/>
        <v>2.67</v>
      </c>
      <c r="AV10" s="3" t="s">
        <v>933</v>
      </c>
      <c r="AW10" s="88">
        <f t="shared" si="26"/>
        <v>2.44</v>
      </c>
    </row>
    <row r="11" spans="1:49" x14ac:dyDescent="0.25">
      <c r="A11" s="107">
        <v>1565</v>
      </c>
      <c r="B11" s="364"/>
      <c r="C11" s="98" t="s">
        <v>14</v>
      </c>
      <c r="D11" s="98" t="s">
        <v>461</v>
      </c>
      <c r="E11" s="142" t="s">
        <v>15</v>
      </c>
      <c r="F11" s="40"/>
      <c r="G11" s="40"/>
      <c r="H11" s="40"/>
      <c r="I11" s="40"/>
      <c r="J11" s="40"/>
      <c r="K11" s="40"/>
      <c r="L11" s="178" t="s">
        <v>735</v>
      </c>
      <c r="M11" s="326" t="s">
        <v>735</v>
      </c>
      <c r="N11" s="30">
        <v>5</v>
      </c>
      <c r="O11" s="30">
        <v>10</v>
      </c>
      <c r="P11" s="179">
        <f t="shared" si="27"/>
        <v>0.5</v>
      </c>
      <c r="Q11" s="235">
        <f t="shared" si="15"/>
        <v>4.5</v>
      </c>
      <c r="R11" s="235">
        <f t="shared" si="16"/>
        <v>5.5</v>
      </c>
      <c r="S11" s="30" t="s">
        <v>742</v>
      </c>
      <c r="T11" s="38">
        <v>4</v>
      </c>
      <c r="U11" s="38">
        <v>50</v>
      </c>
      <c r="V11" s="191">
        <f t="shared" si="17"/>
        <v>2</v>
      </c>
      <c r="W11" s="237">
        <f t="shared" si="18"/>
        <v>2</v>
      </c>
      <c r="X11" s="237">
        <f t="shared" si="19"/>
        <v>6</v>
      </c>
      <c r="Y11" s="38" t="s">
        <v>1063</v>
      </c>
      <c r="Z11" s="11" t="s">
        <v>788</v>
      </c>
      <c r="AA11" s="11">
        <v>12</v>
      </c>
      <c r="AB11" s="32">
        <v>1</v>
      </c>
      <c r="AC11" s="32" t="s">
        <v>273</v>
      </c>
      <c r="AD11" s="198">
        <f t="shared" si="20"/>
        <v>108</v>
      </c>
      <c r="AE11" s="199">
        <f t="shared" si="21"/>
        <v>240</v>
      </c>
      <c r="AF11" s="199">
        <f t="shared" si="22"/>
        <v>396</v>
      </c>
      <c r="AG11" s="200">
        <v>2</v>
      </c>
      <c r="AH11" s="200">
        <v>2.5625</v>
      </c>
      <c r="AI11" s="200">
        <v>3.125</v>
      </c>
      <c r="AJ11" s="201">
        <f t="shared" si="23"/>
        <v>216</v>
      </c>
      <c r="AK11" s="201">
        <f t="shared" si="24"/>
        <v>615</v>
      </c>
      <c r="AL11" s="201">
        <f t="shared" si="25"/>
        <v>1237.5</v>
      </c>
      <c r="AM11" s="244">
        <f t="shared" si="6"/>
        <v>4.9000000000000004</v>
      </c>
      <c r="AN11" s="244">
        <f t="shared" si="7"/>
        <v>7.4</v>
      </c>
      <c r="AO11" s="244">
        <f t="shared" si="8"/>
        <v>8.9</v>
      </c>
      <c r="AP11" s="244">
        <f t="shared" si="9"/>
        <v>0.09</v>
      </c>
      <c r="AQ11" s="244">
        <f t="shared" si="10"/>
        <v>0.13</v>
      </c>
      <c r="AR11" s="244">
        <f t="shared" si="11"/>
        <v>0.15</v>
      </c>
      <c r="AS11" s="245">
        <f t="shared" si="12"/>
        <v>1.47</v>
      </c>
      <c r="AT11" s="245">
        <f t="shared" si="13"/>
        <v>2.2199999999999998</v>
      </c>
      <c r="AU11" s="245">
        <f t="shared" si="14"/>
        <v>2.67</v>
      </c>
      <c r="AV11" s="3" t="s">
        <v>933</v>
      </c>
      <c r="AW11" s="88">
        <f t="shared" si="26"/>
        <v>2.1199999999999997</v>
      </c>
    </row>
    <row r="12" spans="1:49" x14ac:dyDescent="0.25">
      <c r="A12" s="358">
        <v>1561</v>
      </c>
      <c r="B12" s="364"/>
      <c r="C12" s="98" t="s">
        <v>572</v>
      </c>
      <c r="D12" s="98" t="s">
        <v>462</v>
      </c>
      <c r="E12" s="142" t="s">
        <v>17</v>
      </c>
      <c r="F12" s="40"/>
      <c r="G12" s="40"/>
      <c r="H12" s="40"/>
      <c r="I12" s="40"/>
      <c r="J12" s="40"/>
      <c r="K12" s="40"/>
      <c r="L12" s="178" t="s">
        <v>735</v>
      </c>
      <c r="M12" s="326" t="s">
        <v>735</v>
      </c>
      <c r="N12" s="30">
        <v>5</v>
      </c>
      <c r="O12" s="30">
        <v>10</v>
      </c>
      <c r="P12" s="179">
        <f t="shared" si="27"/>
        <v>0.5</v>
      </c>
      <c r="Q12" s="235">
        <f t="shared" si="15"/>
        <v>4.5</v>
      </c>
      <c r="R12" s="235">
        <f t="shared" si="16"/>
        <v>5.5</v>
      </c>
      <c r="S12" s="30" t="s">
        <v>1008</v>
      </c>
      <c r="T12" s="38">
        <v>4</v>
      </c>
      <c r="U12" s="38">
        <v>10</v>
      </c>
      <c r="V12" s="191">
        <f t="shared" si="17"/>
        <v>0.4</v>
      </c>
      <c r="W12" s="237">
        <f t="shared" si="18"/>
        <v>3.6</v>
      </c>
      <c r="X12" s="237">
        <f t="shared" si="19"/>
        <v>4.4000000000000004</v>
      </c>
      <c r="Y12" s="38" t="s">
        <v>1099</v>
      </c>
      <c r="Z12" s="11" t="s">
        <v>749</v>
      </c>
      <c r="AA12" s="11">
        <v>3</v>
      </c>
      <c r="AB12" s="32">
        <v>1</v>
      </c>
      <c r="AC12" s="32" t="s">
        <v>861</v>
      </c>
      <c r="AD12" s="198">
        <f t="shared" si="20"/>
        <v>48.6</v>
      </c>
      <c r="AE12" s="199">
        <f t="shared" si="21"/>
        <v>60</v>
      </c>
      <c r="AF12" s="199">
        <f t="shared" si="22"/>
        <v>72.600000000000009</v>
      </c>
      <c r="AG12" s="200">
        <v>2.1875</v>
      </c>
      <c r="AH12" s="200">
        <v>2.8125</v>
      </c>
      <c r="AI12" s="200">
        <v>3.4375</v>
      </c>
      <c r="AJ12" s="201">
        <f t="shared" si="23"/>
        <v>106.3125</v>
      </c>
      <c r="AK12" s="201">
        <f t="shared" si="24"/>
        <v>168.75</v>
      </c>
      <c r="AL12" s="201">
        <f t="shared" si="25"/>
        <v>249.56250000000003</v>
      </c>
      <c r="AM12" s="244">
        <f t="shared" si="6"/>
        <v>2.9</v>
      </c>
      <c r="AN12" s="244">
        <f t="shared" si="7"/>
        <v>4.0999999999999996</v>
      </c>
      <c r="AO12" s="244">
        <f t="shared" si="8"/>
        <v>5.4</v>
      </c>
      <c r="AP12" s="244">
        <f t="shared" si="9"/>
        <v>0.01</v>
      </c>
      <c r="AQ12" s="244">
        <f t="shared" si="10"/>
        <v>0.03</v>
      </c>
      <c r="AR12" s="244">
        <f t="shared" si="11"/>
        <v>0.1</v>
      </c>
      <c r="AS12" s="245">
        <f t="shared" si="12"/>
        <v>0.86999999999999988</v>
      </c>
      <c r="AT12" s="245">
        <f t="shared" si="13"/>
        <v>1.23</v>
      </c>
      <c r="AU12" s="245">
        <f t="shared" si="14"/>
        <v>1.62</v>
      </c>
      <c r="AV12" s="3" t="s">
        <v>932</v>
      </c>
      <c r="AW12" s="88">
        <f t="shared" si="26"/>
        <v>1.24</v>
      </c>
    </row>
    <row r="13" spans="1:49" x14ac:dyDescent="0.25">
      <c r="A13" s="120">
        <v>1568</v>
      </c>
      <c r="B13" s="365"/>
      <c r="C13" s="80" t="s">
        <v>331</v>
      </c>
      <c r="D13" s="80" t="s">
        <v>463</v>
      </c>
      <c r="E13" s="142" t="s">
        <v>335</v>
      </c>
      <c r="F13" s="40"/>
      <c r="G13" s="40"/>
      <c r="H13" s="40"/>
      <c r="I13" s="40"/>
      <c r="J13" s="40"/>
      <c r="K13" s="40"/>
      <c r="L13" s="178" t="s">
        <v>735</v>
      </c>
      <c r="M13" s="326" t="s">
        <v>735</v>
      </c>
      <c r="N13" s="30">
        <v>5</v>
      </c>
      <c r="O13" s="30">
        <v>10</v>
      </c>
      <c r="P13" s="179">
        <f t="shared" si="27"/>
        <v>0.5</v>
      </c>
      <c r="Q13" s="235">
        <f t="shared" si="15"/>
        <v>4.5</v>
      </c>
      <c r="R13" s="235">
        <f t="shared" si="16"/>
        <v>5.5</v>
      </c>
      <c r="S13" s="30" t="s">
        <v>742</v>
      </c>
      <c r="T13" s="38">
        <v>4</v>
      </c>
      <c r="U13" s="38">
        <v>50</v>
      </c>
      <c r="V13" s="191">
        <f t="shared" si="17"/>
        <v>2</v>
      </c>
      <c r="W13" s="237">
        <f t="shared" si="18"/>
        <v>2</v>
      </c>
      <c r="X13" s="237">
        <f t="shared" si="19"/>
        <v>6</v>
      </c>
      <c r="Y13" s="38" t="s">
        <v>1100</v>
      </c>
      <c r="Z13" s="11" t="s">
        <v>773</v>
      </c>
      <c r="AA13" s="11">
        <v>10</v>
      </c>
      <c r="AB13" s="32">
        <v>1</v>
      </c>
      <c r="AC13" s="32" t="s">
        <v>862</v>
      </c>
      <c r="AD13" s="198">
        <f t="shared" si="20"/>
        <v>90</v>
      </c>
      <c r="AE13" s="199">
        <f t="shared" si="21"/>
        <v>200</v>
      </c>
      <c r="AF13" s="199">
        <f t="shared" si="22"/>
        <v>330</v>
      </c>
      <c r="AG13" s="200">
        <v>3.1875</v>
      </c>
      <c r="AH13" s="200">
        <v>3.75</v>
      </c>
      <c r="AI13" s="200">
        <v>4.3125</v>
      </c>
      <c r="AJ13" s="201">
        <f t="shared" si="23"/>
        <v>286.875</v>
      </c>
      <c r="AK13" s="201">
        <f t="shared" si="24"/>
        <v>750</v>
      </c>
      <c r="AL13" s="201">
        <f t="shared" si="25"/>
        <v>1423.125</v>
      </c>
      <c r="AM13" s="244">
        <f t="shared" si="6"/>
        <v>5.6999999999999993</v>
      </c>
      <c r="AN13" s="244">
        <f t="shared" si="7"/>
        <v>8.1000000000000014</v>
      </c>
      <c r="AO13" s="244">
        <f t="shared" si="8"/>
        <v>9.2000000000000011</v>
      </c>
      <c r="AP13" s="244">
        <f t="shared" si="9"/>
        <v>0.1</v>
      </c>
      <c r="AQ13" s="244">
        <f t="shared" si="10"/>
        <v>0.14000000000000001</v>
      </c>
      <c r="AR13" s="244">
        <f t="shared" si="11"/>
        <v>0.15</v>
      </c>
      <c r="AS13" s="245">
        <f t="shared" si="12"/>
        <v>1.71</v>
      </c>
      <c r="AT13" s="245">
        <f t="shared" si="13"/>
        <v>2.4300000000000002</v>
      </c>
      <c r="AU13" s="245">
        <f t="shared" si="14"/>
        <v>2.7600000000000002</v>
      </c>
      <c r="AV13" s="3" t="s">
        <v>933</v>
      </c>
      <c r="AW13" s="88">
        <f t="shared" si="26"/>
        <v>2.3000000000000003</v>
      </c>
    </row>
    <row r="14" spans="1:49" x14ac:dyDescent="0.25">
      <c r="A14" s="120">
        <v>1637</v>
      </c>
      <c r="B14" s="363" t="s">
        <v>19</v>
      </c>
      <c r="C14" s="80" t="s">
        <v>565</v>
      </c>
      <c r="D14" s="83" t="s">
        <v>464</v>
      </c>
      <c r="E14" s="142" t="s">
        <v>323</v>
      </c>
      <c r="F14" s="40"/>
      <c r="G14" s="40"/>
      <c r="H14" s="40"/>
      <c r="I14" s="40"/>
      <c r="J14" s="40"/>
      <c r="K14" s="40"/>
      <c r="L14" s="178">
        <v>50</v>
      </c>
      <c r="M14" s="326">
        <v>50</v>
      </c>
      <c r="N14" s="30">
        <v>5</v>
      </c>
      <c r="O14" s="30">
        <v>50</v>
      </c>
      <c r="P14" s="179">
        <f t="shared" si="27"/>
        <v>2.5</v>
      </c>
      <c r="Q14" s="235">
        <f t="shared" si="15"/>
        <v>2.5</v>
      </c>
      <c r="R14" s="235">
        <f t="shared" si="16"/>
        <v>7.5</v>
      </c>
      <c r="S14" s="30" t="s">
        <v>742</v>
      </c>
      <c r="T14" s="38">
        <v>3</v>
      </c>
      <c r="U14" s="38">
        <v>50</v>
      </c>
      <c r="V14" s="191">
        <f t="shared" si="17"/>
        <v>1.5</v>
      </c>
      <c r="W14" s="237">
        <f t="shared" si="18"/>
        <v>1.5</v>
      </c>
      <c r="X14" s="237">
        <f t="shared" si="19"/>
        <v>4.5</v>
      </c>
      <c r="Y14" s="38" t="s">
        <v>807</v>
      </c>
      <c r="Z14" s="11" t="s">
        <v>753</v>
      </c>
      <c r="AA14" s="11">
        <v>12</v>
      </c>
      <c r="AB14" s="32">
        <v>1.5</v>
      </c>
      <c r="AC14" s="32" t="s">
        <v>863</v>
      </c>
      <c r="AD14" s="198">
        <f t="shared" si="20"/>
        <v>67.5</v>
      </c>
      <c r="AE14" s="199">
        <f t="shared" si="21"/>
        <v>270</v>
      </c>
      <c r="AF14" s="199">
        <f t="shared" si="22"/>
        <v>607.5</v>
      </c>
      <c r="AG14" s="200">
        <v>2.125</v>
      </c>
      <c r="AH14" s="200">
        <v>2.75</v>
      </c>
      <c r="AI14" s="200">
        <v>3.375</v>
      </c>
      <c r="AJ14" s="201">
        <f t="shared" si="23"/>
        <v>143.4375</v>
      </c>
      <c r="AK14" s="201">
        <f t="shared" si="24"/>
        <v>742.5</v>
      </c>
      <c r="AL14" s="201">
        <f t="shared" si="25"/>
        <v>2050.3125</v>
      </c>
      <c r="AM14" s="244">
        <f t="shared" si="6"/>
        <v>3.8</v>
      </c>
      <c r="AN14" s="244">
        <f t="shared" si="7"/>
        <v>8</v>
      </c>
      <c r="AO14" s="244">
        <f t="shared" si="8"/>
        <v>9.3999999999999986</v>
      </c>
      <c r="AP14" s="244">
        <f t="shared" si="9"/>
        <v>0.02</v>
      </c>
      <c r="AQ14" s="244">
        <f t="shared" si="10"/>
        <v>0.14000000000000001</v>
      </c>
      <c r="AR14" s="244">
        <f t="shared" si="11"/>
        <v>0.15</v>
      </c>
      <c r="AS14" s="245">
        <f t="shared" si="12"/>
        <v>1.1400000000000001</v>
      </c>
      <c r="AT14" s="245">
        <f t="shared" si="13"/>
        <v>2.4000000000000004</v>
      </c>
      <c r="AU14" s="245">
        <f t="shared" si="14"/>
        <v>2.82</v>
      </c>
      <c r="AV14" s="3" t="s">
        <v>933</v>
      </c>
      <c r="AW14" s="88">
        <f t="shared" si="26"/>
        <v>2.12</v>
      </c>
    </row>
    <row r="15" spans="1:49" x14ac:dyDescent="0.25">
      <c r="A15" s="120">
        <v>1633</v>
      </c>
      <c r="B15" s="364"/>
      <c r="C15" s="80" t="s">
        <v>21</v>
      </c>
      <c r="D15" s="82" t="s">
        <v>465</v>
      </c>
      <c r="E15" s="142" t="s">
        <v>374</v>
      </c>
      <c r="F15" s="40"/>
      <c r="G15" s="40"/>
      <c r="H15" s="40"/>
      <c r="I15" s="40"/>
      <c r="J15" s="40"/>
      <c r="K15" s="40"/>
      <c r="L15" s="178">
        <v>50</v>
      </c>
      <c r="M15" s="326">
        <v>50</v>
      </c>
      <c r="N15" s="30">
        <v>5</v>
      </c>
      <c r="O15" s="30">
        <v>50</v>
      </c>
      <c r="P15" s="179">
        <f t="shared" si="27"/>
        <v>2.5</v>
      </c>
      <c r="Q15" s="235">
        <f t="shared" si="15"/>
        <v>2.5</v>
      </c>
      <c r="R15" s="235">
        <f t="shared" si="16"/>
        <v>7.5</v>
      </c>
      <c r="S15" s="30" t="s">
        <v>742</v>
      </c>
      <c r="T15" s="38">
        <v>3</v>
      </c>
      <c r="U15" s="38">
        <v>50</v>
      </c>
      <c r="V15" s="191">
        <f t="shared" si="17"/>
        <v>1.5</v>
      </c>
      <c r="W15" s="237">
        <f t="shared" si="18"/>
        <v>1.5</v>
      </c>
      <c r="X15" s="237">
        <f t="shared" si="19"/>
        <v>4.5</v>
      </c>
      <c r="Y15" s="38" t="s">
        <v>807</v>
      </c>
      <c r="Z15" s="11" t="s">
        <v>753</v>
      </c>
      <c r="AA15" s="11">
        <v>12</v>
      </c>
      <c r="AB15" s="32">
        <v>1.5</v>
      </c>
      <c r="AC15" s="32" t="s">
        <v>807</v>
      </c>
      <c r="AD15" s="198">
        <f t="shared" si="20"/>
        <v>67.5</v>
      </c>
      <c r="AE15" s="199">
        <f t="shared" si="21"/>
        <v>270</v>
      </c>
      <c r="AF15" s="199">
        <f t="shared" si="22"/>
        <v>607.5</v>
      </c>
      <c r="AG15" s="200">
        <v>2.0249999999999999</v>
      </c>
      <c r="AH15" s="200">
        <v>2.75</v>
      </c>
      <c r="AI15" s="200">
        <v>3.4750000000000001</v>
      </c>
      <c r="AJ15" s="201">
        <f t="shared" si="23"/>
        <v>136.6875</v>
      </c>
      <c r="AK15" s="201">
        <f t="shared" si="24"/>
        <v>742.5</v>
      </c>
      <c r="AL15" s="201">
        <f t="shared" si="25"/>
        <v>2111.0625</v>
      </c>
      <c r="AM15" s="244">
        <f t="shared" si="6"/>
        <v>3.5999999999999996</v>
      </c>
      <c r="AN15" s="244">
        <f t="shared" si="7"/>
        <v>8</v>
      </c>
      <c r="AO15" s="244">
        <f t="shared" si="8"/>
        <v>9.6</v>
      </c>
      <c r="AP15" s="244">
        <f t="shared" si="9"/>
        <v>0.02</v>
      </c>
      <c r="AQ15" s="244">
        <f t="shared" si="10"/>
        <v>0.14000000000000001</v>
      </c>
      <c r="AR15" s="244">
        <f t="shared" si="11"/>
        <v>0.16</v>
      </c>
      <c r="AS15" s="245">
        <f t="shared" si="12"/>
        <v>1.08</v>
      </c>
      <c r="AT15" s="245">
        <f t="shared" si="13"/>
        <v>2.4000000000000004</v>
      </c>
      <c r="AU15" s="245">
        <f t="shared" si="14"/>
        <v>2.88</v>
      </c>
      <c r="AV15" s="3" t="s">
        <v>933</v>
      </c>
      <c r="AW15" s="88">
        <f t="shared" si="26"/>
        <v>2.12</v>
      </c>
    </row>
    <row r="16" spans="1:49" x14ac:dyDescent="0.25">
      <c r="A16" s="120">
        <v>1621</v>
      </c>
      <c r="B16" s="364"/>
      <c r="C16" s="80" t="s">
        <v>22</v>
      </c>
      <c r="D16" s="82" t="s">
        <v>466</v>
      </c>
      <c r="E16" s="142" t="s">
        <v>23</v>
      </c>
      <c r="F16" s="40"/>
      <c r="G16" s="40"/>
      <c r="H16" s="40"/>
      <c r="I16" s="40"/>
      <c r="J16" s="40"/>
      <c r="K16" s="40"/>
      <c r="L16" s="178">
        <v>50</v>
      </c>
      <c r="M16" s="326">
        <v>50</v>
      </c>
      <c r="N16" s="30">
        <v>5</v>
      </c>
      <c r="O16" s="30">
        <v>50</v>
      </c>
      <c r="P16" s="179">
        <f t="shared" si="27"/>
        <v>2.5</v>
      </c>
      <c r="Q16" s="235">
        <f t="shared" si="15"/>
        <v>2.5</v>
      </c>
      <c r="R16" s="235">
        <f t="shared" si="16"/>
        <v>7.5</v>
      </c>
      <c r="S16" s="30" t="s">
        <v>742</v>
      </c>
      <c r="T16" s="38">
        <v>3</v>
      </c>
      <c r="U16" s="38">
        <v>50</v>
      </c>
      <c r="V16" s="191">
        <f t="shared" si="17"/>
        <v>1.5</v>
      </c>
      <c r="W16" s="237">
        <f t="shared" si="18"/>
        <v>1.5</v>
      </c>
      <c r="X16" s="237">
        <f t="shared" si="19"/>
        <v>4.5</v>
      </c>
      <c r="Y16" s="38" t="s">
        <v>808</v>
      </c>
      <c r="Z16" s="11" t="s">
        <v>753</v>
      </c>
      <c r="AA16" s="11">
        <v>12</v>
      </c>
      <c r="AB16" s="32">
        <v>1</v>
      </c>
      <c r="AC16" s="32" t="s">
        <v>808</v>
      </c>
      <c r="AD16" s="198">
        <f t="shared" si="20"/>
        <v>45</v>
      </c>
      <c r="AE16" s="199">
        <f t="shared" si="21"/>
        <v>180</v>
      </c>
      <c r="AF16" s="199">
        <f t="shared" si="22"/>
        <v>405</v>
      </c>
      <c r="AG16" s="200">
        <v>1.0375000000000001</v>
      </c>
      <c r="AH16" s="200">
        <v>1.3125</v>
      </c>
      <c r="AI16" s="200">
        <v>1.5874999999999999</v>
      </c>
      <c r="AJ16" s="201">
        <f t="shared" si="23"/>
        <v>46.687500000000007</v>
      </c>
      <c r="AK16" s="201">
        <f t="shared" si="24"/>
        <v>236.25</v>
      </c>
      <c r="AL16" s="201">
        <f t="shared" si="25"/>
        <v>642.9375</v>
      </c>
      <c r="AM16" s="244">
        <f t="shared" si="6"/>
        <v>1.7000000000000002</v>
      </c>
      <c r="AN16" s="244">
        <f t="shared" si="7"/>
        <v>5.2</v>
      </c>
      <c r="AO16" s="244">
        <f t="shared" si="8"/>
        <v>7.5</v>
      </c>
      <c r="AP16" s="244" t="e">
        <f t="shared" si="9"/>
        <v>#N/A</v>
      </c>
      <c r="AQ16" s="244">
        <f t="shared" si="10"/>
        <v>0.09</v>
      </c>
      <c r="AR16" s="244">
        <f t="shared" si="11"/>
        <v>0.13</v>
      </c>
      <c r="AS16" s="245">
        <f t="shared" si="12"/>
        <v>0.51</v>
      </c>
      <c r="AT16" s="245">
        <f t="shared" si="13"/>
        <v>1.56</v>
      </c>
      <c r="AU16" s="245">
        <f t="shared" si="14"/>
        <v>2.25</v>
      </c>
      <c r="AV16" s="3" t="s">
        <v>932</v>
      </c>
      <c r="AW16" s="88">
        <f t="shared" si="26"/>
        <v>1.4400000000000002</v>
      </c>
    </row>
    <row r="17" spans="1:49" x14ac:dyDescent="0.25">
      <c r="A17" s="358">
        <v>1611</v>
      </c>
      <c r="B17" s="364"/>
      <c r="C17" s="80" t="s">
        <v>332</v>
      </c>
      <c r="D17" s="82" t="s">
        <v>467</v>
      </c>
      <c r="E17" s="142" t="s">
        <v>337</v>
      </c>
      <c r="F17" s="40"/>
      <c r="G17" s="40"/>
      <c r="H17" s="40"/>
      <c r="I17" s="40"/>
      <c r="J17" s="40"/>
      <c r="K17" s="40"/>
      <c r="L17" s="178">
        <v>50</v>
      </c>
      <c r="M17" s="326">
        <v>50</v>
      </c>
      <c r="N17" s="30">
        <v>5</v>
      </c>
      <c r="O17" s="30">
        <v>50</v>
      </c>
      <c r="P17" s="179">
        <f t="shared" si="27"/>
        <v>2.5</v>
      </c>
      <c r="Q17" s="235">
        <f t="shared" si="15"/>
        <v>2.5</v>
      </c>
      <c r="R17" s="235">
        <f t="shared" si="16"/>
        <v>7.5</v>
      </c>
      <c r="S17" s="30" t="s">
        <v>742</v>
      </c>
      <c r="T17" s="38">
        <v>4</v>
      </c>
      <c r="U17" s="38">
        <v>10</v>
      </c>
      <c r="V17" s="191">
        <f t="shared" si="17"/>
        <v>0.4</v>
      </c>
      <c r="W17" s="237">
        <f t="shared" si="18"/>
        <v>3.6</v>
      </c>
      <c r="X17" s="237">
        <f t="shared" si="19"/>
        <v>4.4000000000000004</v>
      </c>
      <c r="Y17" s="38" t="s">
        <v>905</v>
      </c>
      <c r="Z17" s="11" t="s">
        <v>750</v>
      </c>
      <c r="AA17" s="11">
        <v>10</v>
      </c>
      <c r="AB17" s="32">
        <v>1</v>
      </c>
      <c r="AC17" s="32" t="s">
        <v>864</v>
      </c>
      <c r="AD17" s="198">
        <f t="shared" si="20"/>
        <v>90</v>
      </c>
      <c r="AE17" s="199">
        <f t="shared" si="21"/>
        <v>200</v>
      </c>
      <c r="AF17" s="199">
        <f t="shared" si="22"/>
        <v>330</v>
      </c>
      <c r="AG17" s="200">
        <v>1.4375</v>
      </c>
      <c r="AH17" s="200">
        <v>2</v>
      </c>
      <c r="AI17" s="200">
        <v>2.5625</v>
      </c>
      <c r="AJ17" s="201">
        <f t="shared" si="23"/>
        <v>129.375</v>
      </c>
      <c r="AK17" s="201">
        <f t="shared" si="24"/>
        <v>400</v>
      </c>
      <c r="AL17" s="201">
        <f t="shared" si="25"/>
        <v>845.625</v>
      </c>
      <c r="AM17" s="244">
        <f t="shared" si="6"/>
        <v>3.3000000000000003</v>
      </c>
      <c r="AN17" s="244">
        <f t="shared" si="7"/>
        <v>6.6000000000000005</v>
      </c>
      <c r="AO17" s="244">
        <f t="shared" si="8"/>
        <v>8.2999999999999989</v>
      </c>
      <c r="AP17" s="244">
        <f t="shared" si="9"/>
        <v>0.01</v>
      </c>
      <c r="AQ17" s="244">
        <f t="shared" si="10"/>
        <v>0.12</v>
      </c>
      <c r="AR17" s="244">
        <f t="shared" si="11"/>
        <v>0.14000000000000001</v>
      </c>
      <c r="AS17" s="245">
        <f t="shared" si="12"/>
        <v>0.99</v>
      </c>
      <c r="AT17" s="245">
        <f t="shared" si="13"/>
        <v>1.98</v>
      </c>
      <c r="AU17" s="245">
        <f t="shared" si="14"/>
        <v>2.4899999999999998</v>
      </c>
      <c r="AV17" s="3" t="s">
        <v>932</v>
      </c>
      <c r="AW17" s="88">
        <f t="shared" si="26"/>
        <v>1.8199999999999996</v>
      </c>
    </row>
    <row r="18" spans="1:49" x14ac:dyDescent="0.25">
      <c r="A18" s="358">
        <v>1614</v>
      </c>
      <c r="B18" s="365"/>
      <c r="C18" s="80" t="s">
        <v>333</v>
      </c>
      <c r="D18" s="82" t="s">
        <v>468</v>
      </c>
      <c r="E18" s="142" t="s">
        <v>339</v>
      </c>
      <c r="F18" s="40"/>
      <c r="G18" s="40"/>
      <c r="H18" s="40"/>
      <c r="I18" s="40"/>
      <c r="J18" s="40"/>
      <c r="K18" s="40"/>
      <c r="L18" s="178">
        <v>50</v>
      </c>
      <c r="M18" s="326">
        <v>50</v>
      </c>
      <c r="N18" s="30">
        <v>5</v>
      </c>
      <c r="O18" s="30">
        <v>50</v>
      </c>
      <c r="P18" s="179">
        <f t="shared" si="27"/>
        <v>2.5</v>
      </c>
      <c r="Q18" s="235">
        <f t="shared" si="15"/>
        <v>2.5</v>
      </c>
      <c r="R18" s="235">
        <f t="shared" si="16"/>
        <v>7.5</v>
      </c>
      <c r="S18" s="30" t="s">
        <v>742</v>
      </c>
      <c r="T18" s="38">
        <v>3</v>
      </c>
      <c r="U18" s="38">
        <v>10</v>
      </c>
      <c r="V18" s="191">
        <f t="shared" si="17"/>
        <v>0.30000000000000004</v>
      </c>
      <c r="W18" s="237">
        <f t="shared" si="18"/>
        <v>2.7</v>
      </c>
      <c r="X18" s="237">
        <f t="shared" si="19"/>
        <v>3.3</v>
      </c>
      <c r="Y18" s="38" t="s">
        <v>906</v>
      </c>
      <c r="Z18" s="11" t="s">
        <v>800</v>
      </c>
      <c r="AA18" s="11">
        <v>8</v>
      </c>
      <c r="AB18" s="32">
        <v>1</v>
      </c>
      <c r="AC18" s="32" t="s">
        <v>865</v>
      </c>
      <c r="AD18" s="198">
        <f t="shared" si="20"/>
        <v>54</v>
      </c>
      <c r="AE18" s="199">
        <f t="shared" si="21"/>
        <v>120</v>
      </c>
      <c r="AF18" s="199">
        <f t="shared" si="22"/>
        <v>198</v>
      </c>
      <c r="AG18" s="200">
        <v>2.4</v>
      </c>
      <c r="AH18" s="200">
        <v>3</v>
      </c>
      <c r="AI18" s="200">
        <v>3.6</v>
      </c>
      <c r="AJ18" s="201">
        <f t="shared" si="23"/>
        <v>129.6</v>
      </c>
      <c r="AK18" s="201">
        <f t="shared" si="24"/>
        <v>360</v>
      </c>
      <c r="AL18" s="201">
        <f t="shared" si="25"/>
        <v>712.80000000000007</v>
      </c>
      <c r="AM18" s="244">
        <f t="shared" si="6"/>
        <v>3.3000000000000003</v>
      </c>
      <c r="AN18" s="244">
        <f t="shared" si="7"/>
        <v>6.2</v>
      </c>
      <c r="AO18" s="244">
        <f t="shared" si="8"/>
        <v>7.8000000000000007</v>
      </c>
      <c r="AP18" s="244">
        <f t="shared" si="9"/>
        <v>0.01</v>
      </c>
      <c r="AQ18" s="244">
        <f t="shared" si="10"/>
        <v>0.10999999999999999</v>
      </c>
      <c r="AR18" s="244">
        <f t="shared" si="11"/>
        <v>0.14000000000000001</v>
      </c>
      <c r="AS18" s="245">
        <f t="shared" si="12"/>
        <v>0.99</v>
      </c>
      <c r="AT18" s="245">
        <f t="shared" si="13"/>
        <v>1.8599999999999999</v>
      </c>
      <c r="AU18" s="245">
        <f t="shared" si="14"/>
        <v>2.34</v>
      </c>
      <c r="AV18" s="3" t="s">
        <v>932</v>
      </c>
      <c r="AW18" s="88">
        <f t="shared" si="26"/>
        <v>1.7299999999999998</v>
      </c>
    </row>
    <row r="19" spans="1:49" x14ac:dyDescent="0.25">
      <c r="A19" s="89">
        <v>1711</v>
      </c>
      <c r="B19" s="363" t="s">
        <v>25</v>
      </c>
      <c r="C19" s="80" t="s">
        <v>566</v>
      </c>
      <c r="D19" s="80" t="s">
        <v>469</v>
      </c>
      <c r="E19" s="142" t="s">
        <v>26</v>
      </c>
      <c r="F19" s="40"/>
      <c r="G19" s="40"/>
      <c r="H19" s="40"/>
      <c r="I19" s="40"/>
      <c r="J19" s="40"/>
      <c r="K19" s="40"/>
      <c r="L19" s="178">
        <v>50</v>
      </c>
      <c r="M19" s="326">
        <v>50</v>
      </c>
      <c r="N19" s="30">
        <v>5</v>
      </c>
      <c r="O19" s="30">
        <v>50</v>
      </c>
      <c r="P19" s="179">
        <f t="shared" si="27"/>
        <v>2.5</v>
      </c>
      <c r="Q19" s="235">
        <f t="shared" si="15"/>
        <v>2.5</v>
      </c>
      <c r="R19" s="235">
        <f t="shared" si="16"/>
        <v>7.5</v>
      </c>
      <c r="S19" s="30" t="s">
        <v>742</v>
      </c>
      <c r="T19" s="38">
        <v>1</v>
      </c>
      <c r="U19" s="38">
        <v>50</v>
      </c>
      <c r="V19" s="191">
        <f t="shared" si="17"/>
        <v>0.5</v>
      </c>
      <c r="W19" s="237">
        <f t="shared" si="18"/>
        <v>0.5</v>
      </c>
      <c r="X19" s="237">
        <f t="shared" si="19"/>
        <v>1.5</v>
      </c>
      <c r="Y19" s="38" t="s">
        <v>922</v>
      </c>
      <c r="Z19" s="11" t="s">
        <v>753</v>
      </c>
      <c r="AA19" s="11">
        <v>12</v>
      </c>
      <c r="AB19" s="32">
        <v>1</v>
      </c>
      <c r="AC19" s="32" t="s">
        <v>840</v>
      </c>
      <c r="AD19" s="198">
        <f t="shared" si="20"/>
        <v>15</v>
      </c>
      <c r="AE19" s="199">
        <f t="shared" si="21"/>
        <v>60</v>
      </c>
      <c r="AF19" s="199">
        <f t="shared" si="22"/>
        <v>135</v>
      </c>
      <c r="AG19" s="200">
        <v>2.65</v>
      </c>
      <c r="AH19" s="200">
        <v>3.75</v>
      </c>
      <c r="AI19" s="200">
        <v>4.8499999999999996</v>
      </c>
      <c r="AJ19" s="201">
        <f t="shared" si="23"/>
        <v>39.75</v>
      </c>
      <c r="AK19" s="201">
        <f t="shared" si="24"/>
        <v>225</v>
      </c>
      <c r="AL19" s="201">
        <f t="shared" si="25"/>
        <v>654.75</v>
      </c>
      <c r="AM19" s="244">
        <f t="shared" si="6"/>
        <v>1.4000000000000001</v>
      </c>
      <c r="AN19" s="244">
        <f t="shared" si="7"/>
        <v>5.0999999999999996</v>
      </c>
      <c r="AO19" s="244">
        <f t="shared" si="8"/>
        <v>7.6</v>
      </c>
      <c r="AP19" s="244" t="e">
        <f t="shared" si="9"/>
        <v>#N/A</v>
      </c>
      <c r="AQ19" s="244">
        <f t="shared" si="10"/>
        <v>0.09</v>
      </c>
      <c r="AR19" s="244">
        <f t="shared" si="11"/>
        <v>0.13</v>
      </c>
      <c r="AS19" s="245">
        <f t="shared" si="12"/>
        <v>0.42000000000000004</v>
      </c>
      <c r="AT19" s="245">
        <f t="shared" si="13"/>
        <v>1.53</v>
      </c>
      <c r="AU19" s="245">
        <f t="shared" si="14"/>
        <v>2.2800000000000002</v>
      </c>
      <c r="AV19" s="3" t="s">
        <v>932</v>
      </c>
      <c r="AW19" s="88">
        <f t="shared" si="26"/>
        <v>1.4100000000000001</v>
      </c>
    </row>
    <row r="20" spans="1:49" x14ac:dyDescent="0.25">
      <c r="A20" s="120">
        <v>3</v>
      </c>
      <c r="B20" s="364"/>
      <c r="C20" s="80" t="s">
        <v>29</v>
      </c>
      <c r="D20" s="80" t="s">
        <v>457</v>
      </c>
      <c r="E20" s="142" t="s">
        <v>30</v>
      </c>
      <c r="F20" s="40"/>
      <c r="G20" s="40"/>
      <c r="H20" s="40"/>
      <c r="I20" s="40"/>
      <c r="J20" s="40"/>
      <c r="K20" s="40"/>
      <c r="L20" s="178">
        <v>50</v>
      </c>
      <c r="M20" s="326">
        <v>50</v>
      </c>
      <c r="N20" s="30">
        <v>5</v>
      </c>
      <c r="O20" s="30">
        <v>50</v>
      </c>
      <c r="P20" s="179">
        <f t="shared" si="27"/>
        <v>2.5</v>
      </c>
      <c r="Q20" s="235">
        <f t="shared" si="15"/>
        <v>2.5</v>
      </c>
      <c r="R20" s="235">
        <f t="shared" si="16"/>
        <v>7.5</v>
      </c>
      <c r="S20" s="30" t="s">
        <v>742</v>
      </c>
      <c r="T20" s="38">
        <v>1</v>
      </c>
      <c r="U20" s="38">
        <v>50</v>
      </c>
      <c r="V20" s="191">
        <f t="shared" si="17"/>
        <v>0.5</v>
      </c>
      <c r="W20" s="237">
        <f t="shared" si="18"/>
        <v>0.5</v>
      </c>
      <c r="X20" s="237">
        <f t="shared" si="19"/>
        <v>1.5</v>
      </c>
      <c r="Y20" s="38" t="s">
        <v>920</v>
      </c>
      <c r="Z20" s="11" t="s">
        <v>757</v>
      </c>
      <c r="AA20" s="11">
        <v>10</v>
      </c>
      <c r="AB20" s="32">
        <v>1</v>
      </c>
      <c r="AC20" s="32" t="s">
        <v>840</v>
      </c>
      <c r="AD20" s="198">
        <f t="shared" si="20"/>
        <v>12.5</v>
      </c>
      <c r="AE20" s="199">
        <f t="shared" si="21"/>
        <v>50</v>
      </c>
      <c r="AF20" s="199">
        <f t="shared" si="22"/>
        <v>112.5</v>
      </c>
      <c r="AG20" s="200">
        <v>2.5499999999999998</v>
      </c>
      <c r="AH20" s="200">
        <v>2.75</v>
      </c>
      <c r="AI20" s="200">
        <v>2.95</v>
      </c>
      <c r="AJ20" s="201">
        <f t="shared" si="23"/>
        <v>31.874999999999996</v>
      </c>
      <c r="AK20" s="201">
        <f t="shared" si="24"/>
        <v>137.5</v>
      </c>
      <c r="AL20" s="201">
        <f t="shared" si="25"/>
        <v>331.875</v>
      </c>
      <c r="AM20" s="244">
        <f t="shared" si="6"/>
        <v>0.89999999999999991</v>
      </c>
      <c r="AN20" s="244">
        <f t="shared" si="7"/>
        <v>3.7</v>
      </c>
      <c r="AO20" s="244">
        <f t="shared" si="8"/>
        <v>6.1</v>
      </c>
      <c r="AP20" s="244" t="e">
        <f t="shared" si="9"/>
        <v>#N/A</v>
      </c>
      <c r="AQ20" s="244">
        <f t="shared" si="10"/>
        <v>0.02</v>
      </c>
      <c r="AR20" s="244">
        <f t="shared" si="11"/>
        <v>0.10999999999999999</v>
      </c>
      <c r="AS20" s="245">
        <f t="shared" si="12"/>
        <v>0.27</v>
      </c>
      <c r="AT20" s="245">
        <f t="shared" si="13"/>
        <v>1.1099999999999999</v>
      </c>
      <c r="AU20" s="245">
        <f t="shared" si="14"/>
        <v>1.83</v>
      </c>
      <c r="AV20" s="3" t="s">
        <v>932</v>
      </c>
      <c r="AW20" s="88">
        <f t="shared" si="26"/>
        <v>1.07</v>
      </c>
    </row>
    <row r="21" spans="1:49" x14ac:dyDescent="0.25">
      <c r="A21" s="120">
        <v>1712</v>
      </c>
      <c r="B21" s="364"/>
      <c r="C21" s="80" t="s">
        <v>290</v>
      </c>
      <c r="D21" s="83" t="s">
        <v>470</v>
      </c>
      <c r="E21" s="343" t="s">
        <v>297</v>
      </c>
      <c r="F21" s="40"/>
      <c r="G21" s="40"/>
      <c r="H21" s="40"/>
      <c r="I21" s="40"/>
      <c r="J21" s="40"/>
      <c r="K21" s="40"/>
      <c r="L21" s="178">
        <v>50</v>
      </c>
      <c r="M21" s="326">
        <v>50</v>
      </c>
      <c r="N21" s="30">
        <v>5</v>
      </c>
      <c r="O21" s="30">
        <v>50</v>
      </c>
      <c r="P21" s="179">
        <f t="shared" si="27"/>
        <v>2.5</v>
      </c>
      <c r="Q21" s="235">
        <f t="shared" si="15"/>
        <v>2.5</v>
      </c>
      <c r="R21" s="235">
        <f t="shared" si="16"/>
        <v>7.5</v>
      </c>
      <c r="S21" s="30" t="s">
        <v>742</v>
      </c>
      <c r="T21" s="38">
        <v>1</v>
      </c>
      <c r="U21" s="38">
        <v>50</v>
      </c>
      <c r="V21" s="191">
        <f t="shared" si="17"/>
        <v>0.5</v>
      </c>
      <c r="W21" s="237">
        <f t="shared" si="18"/>
        <v>0.5</v>
      </c>
      <c r="X21" s="237">
        <f t="shared" si="19"/>
        <v>1.5</v>
      </c>
      <c r="Y21" s="38" t="s">
        <v>921</v>
      </c>
      <c r="Z21" s="11" t="s">
        <v>837</v>
      </c>
      <c r="AA21" s="11">
        <v>12</v>
      </c>
      <c r="AB21" s="32">
        <v>1</v>
      </c>
      <c r="AC21" s="32" t="s">
        <v>840</v>
      </c>
      <c r="AD21" s="198">
        <f t="shared" si="20"/>
        <v>15</v>
      </c>
      <c r="AE21" s="199">
        <f t="shared" si="21"/>
        <v>60</v>
      </c>
      <c r="AF21" s="199">
        <f t="shared" si="22"/>
        <v>135</v>
      </c>
      <c r="AG21" s="200">
        <v>3.375</v>
      </c>
      <c r="AH21" s="200">
        <v>4.25</v>
      </c>
      <c r="AI21" s="200">
        <v>5.125</v>
      </c>
      <c r="AJ21" s="201">
        <f t="shared" si="23"/>
        <v>50.625</v>
      </c>
      <c r="AK21" s="201">
        <f t="shared" si="24"/>
        <v>255</v>
      </c>
      <c r="AL21" s="201">
        <f t="shared" si="25"/>
        <v>691.875</v>
      </c>
      <c r="AM21" s="244">
        <f t="shared" si="6"/>
        <v>1.7999999999999998</v>
      </c>
      <c r="AN21" s="244">
        <f t="shared" si="7"/>
        <v>5.4</v>
      </c>
      <c r="AO21" s="244">
        <f t="shared" si="8"/>
        <v>7.8000000000000007</v>
      </c>
      <c r="AP21" s="244" t="e">
        <f t="shared" si="9"/>
        <v>#N/A</v>
      </c>
      <c r="AQ21" s="244">
        <f t="shared" si="10"/>
        <v>0.1</v>
      </c>
      <c r="AR21" s="244">
        <f t="shared" si="11"/>
        <v>0.14000000000000001</v>
      </c>
      <c r="AS21" s="245">
        <f t="shared" si="12"/>
        <v>0.54</v>
      </c>
      <c r="AT21" s="245">
        <f t="shared" si="13"/>
        <v>1.62</v>
      </c>
      <c r="AU21" s="245">
        <f t="shared" si="14"/>
        <v>2.34</v>
      </c>
      <c r="AV21" s="3" t="s">
        <v>932</v>
      </c>
      <c r="AW21" s="88">
        <f t="shared" si="26"/>
        <v>1.5</v>
      </c>
    </row>
    <row r="22" spans="1:49" x14ac:dyDescent="0.25">
      <c r="A22" s="120">
        <v>1815</v>
      </c>
      <c r="B22" s="364"/>
      <c r="C22" s="80" t="s">
        <v>567</v>
      </c>
      <c r="D22" s="80" t="s">
        <v>471</v>
      </c>
      <c r="E22" s="347" t="s">
        <v>1019</v>
      </c>
      <c r="F22" s="40"/>
      <c r="G22" s="40"/>
      <c r="H22" s="40"/>
      <c r="I22" s="40"/>
      <c r="J22" s="40"/>
      <c r="K22" s="40"/>
      <c r="L22" s="178">
        <v>50</v>
      </c>
      <c r="M22" s="326">
        <v>50</v>
      </c>
      <c r="N22" s="30">
        <v>5</v>
      </c>
      <c r="O22" s="30">
        <v>50</v>
      </c>
      <c r="P22" s="179">
        <f t="shared" si="27"/>
        <v>2.5</v>
      </c>
      <c r="Q22" s="235">
        <f t="shared" si="15"/>
        <v>2.5</v>
      </c>
      <c r="R22" s="235">
        <f t="shared" si="16"/>
        <v>7.5</v>
      </c>
      <c r="S22" s="30" t="s">
        <v>742</v>
      </c>
      <c r="T22" s="38">
        <v>1</v>
      </c>
      <c r="U22" s="38">
        <v>50</v>
      </c>
      <c r="V22" s="191">
        <f t="shared" si="17"/>
        <v>0.5</v>
      </c>
      <c r="W22" s="237">
        <f t="shared" si="18"/>
        <v>0.5</v>
      </c>
      <c r="X22" s="237">
        <f t="shared" si="19"/>
        <v>1.5</v>
      </c>
      <c r="Y22" s="38" t="s">
        <v>921</v>
      </c>
      <c r="Z22" s="11" t="s">
        <v>764</v>
      </c>
      <c r="AA22" s="11">
        <v>9</v>
      </c>
      <c r="AB22" s="32">
        <v>1</v>
      </c>
      <c r="AC22" s="32" t="s">
        <v>843</v>
      </c>
      <c r="AD22" s="198">
        <f t="shared" si="20"/>
        <v>11.25</v>
      </c>
      <c r="AE22" s="199">
        <f t="shared" si="21"/>
        <v>45</v>
      </c>
      <c r="AF22" s="199">
        <f t="shared" si="22"/>
        <v>101.25</v>
      </c>
      <c r="AG22" s="200">
        <v>2.0750000000000002</v>
      </c>
      <c r="AH22" s="200">
        <v>3</v>
      </c>
      <c r="AI22" s="200">
        <v>3.9249999999999998</v>
      </c>
      <c r="AJ22" s="201">
        <f t="shared" si="23"/>
        <v>23.343750000000004</v>
      </c>
      <c r="AK22" s="201">
        <f t="shared" si="24"/>
        <v>135</v>
      </c>
      <c r="AL22" s="201">
        <f t="shared" si="25"/>
        <v>397.40625</v>
      </c>
      <c r="AM22" s="244">
        <f t="shared" si="6"/>
        <v>0.70000000000000007</v>
      </c>
      <c r="AN22" s="244">
        <f t="shared" si="7"/>
        <v>3.5</v>
      </c>
      <c r="AO22" s="244">
        <f t="shared" si="8"/>
        <v>6.5</v>
      </c>
      <c r="AP22" s="244" t="e">
        <f t="shared" si="9"/>
        <v>#N/A</v>
      </c>
      <c r="AQ22" s="244">
        <f t="shared" si="10"/>
        <v>0.02</v>
      </c>
      <c r="AR22" s="244">
        <f t="shared" si="11"/>
        <v>0.12</v>
      </c>
      <c r="AS22" s="245">
        <f t="shared" si="12"/>
        <v>0.21000000000000002</v>
      </c>
      <c r="AT22" s="245">
        <f t="shared" si="13"/>
        <v>1.0499999999999998</v>
      </c>
      <c r="AU22" s="245">
        <f t="shared" si="14"/>
        <v>1.9500000000000002</v>
      </c>
      <c r="AV22" s="3" t="s">
        <v>932</v>
      </c>
      <c r="AW22" s="88">
        <f t="shared" si="26"/>
        <v>1.07</v>
      </c>
    </row>
    <row r="23" spans="1:49" x14ac:dyDescent="0.25">
      <c r="A23" s="120">
        <v>1729</v>
      </c>
      <c r="B23" s="364"/>
      <c r="C23" s="80" t="s">
        <v>34</v>
      </c>
      <c r="D23" s="80" t="s">
        <v>472</v>
      </c>
      <c r="E23" s="142" t="s">
        <v>35</v>
      </c>
      <c r="F23" s="40"/>
      <c r="G23" s="40"/>
      <c r="H23" s="40"/>
      <c r="I23" s="40"/>
      <c r="J23" s="40"/>
      <c r="K23" s="40"/>
      <c r="L23" s="178">
        <v>50</v>
      </c>
      <c r="M23" s="326">
        <v>50</v>
      </c>
      <c r="N23" s="30">
        <v>5</v>
      </c>
      <c r="O23" s="30">
        <v>25</v>
      </c>
      <c r="P23" s="179">
        <f t="shared" si="27"/>
        <v>1.25</v>
      </c>
      <c r="Q23" s="235">
        <f t="shared" si="15"/>
        <v>3.75</v>
      </c>
      <c r="R23" s="235">
        <f t="shared" si="16"/>
        <v>6.25</v>
      </c>
      <c r="S23" s="30" t="s">
        <v>742</v>
      </c>
      <c r="T23" s="38">
        <v>1</v>
      </c>
      <c r="U23" s="38">
        <v>10</v>
      </c>
      <c r="V23" s="191">
        <f t="shared" si="17"/>
        <v>0.1</v>
      </c>
      <c r="W23" s="237">
        <f t="shared" si="18"/>
        <v>0.9</v>
      </c>
      <c r="X23" s="237">
        <f t="shared" si="19"/>
        <v>1.1000000000000001</v>
      </c>
      <c r="Y23" s="38" t="s">
        <v>907</v>
      </c>
      <c r="Z23" s="11" t="s">
        <v>752</v>
      </c>
      <c r="AA23" s="11">
        <v>12</v>
      </c>
      <c r="AB23" s="32">
        <v>1</v>
      </c>
      <c r="AC23" s="32" t="s">
        <v>843</v>
      </c>
      <c r="AD23" s="198">
        <f t="shared" si="20"/>
        <v>40.5</v>
      </c>
      <c r="AE23" s="199">
        <f t="shared" si="21"/>
        <v>60</v>
      </c>
      <c r="AF23" s="199">
        <f t="shared" si="22"/>
        <v>82.5</v>
      </c>
      <c r="AG23" s="200">
        <v>2.25</v>
      </c>
      <c r="AH23" s="200">
        <v>2.5625</v>
      </c>
      <c r="AI23" s="200">
        <v>2.875</v>
      </c>
      <c r="AJ23" s="201">
        <f t="shared" si="23"/>
        <v>91.125</v>
      </c>
      <c r="AK23" s="201">
        <f t="shared" si="24"/>
        <v>153.75</v>
      </c>
      <c r="AL23" s="201">
        <f t="shared" si="25"/>
        <v>237.1875</v>
      </c>
      <c r="AM23" s="244">
        <f t="shared" si="6"/>
        <v>2.6</v>
      </c>
      <c r="AN23" s="244">
        <f t="shared" si="7"/>
        <v>4</v>
      </c>
      <c r="AO23" s="244">
        <f t="shared" si="8"/>
        <v>5.2</v>
      </c>
      <c r="AP23" s="244">
        <f t="shared" si="9"/>
        <v>0</v>
      </c>
      <c r="AQ23" s="244">
        <f t="shared" si="10"/>
        <v>0.03</v>
      </c>
      <c r="AR23" s="244">
        <f t="shared" si="11"/>
        <v>0.09</v>
      </c>
      <c r="AS23" s="245">
        <f t="shared" si="12"/>
        <v>0.78</v>
      </c>
      <c r="AT23" s="245">
        <f t="shared" si="13"/>
        <v>1.2000000000000002</v>
      </c>
      <c r="AU23" s="245">
        <f t="shared" si="14"/>
        <v>1.56</v>
      </c>
      <c r="AV23" s="3" t="s">
        <v>932</v>
      </c>
      <c r="AW23" s="88">
        <f t="shared" si="26"/>
        <v>1.18</v>
      </c>
    </row>
    <row r="24" spans="1:49" x14ac:dyDescent="0.25">
      <c r="A24" s="120">
        <v>1810</v>
      </c>
      <c r="B24" s="364"/>
      <c r="C24" s="80" t="s">
        <v>568</v>
      </c>
      <c r="D24" s="80" t="s">
        <v>458</v>
      </c>
      <c r="E24" s="347" t="s">
        <v>1023</v>
      </c>
      <c r="F24" s="40"/>
      <c r="G24" s="40"/>
      <c r="H24" s="40"/>
      <c r="I24" s="40"/>
      <c r="J24" s="40"/>
      <c r="K24" s="40"/>
      <c r="L24" s="178">
        <v>50</v>
      </c>
      <c r="M24" s="326">
        <v>50</v>
      </c>
      <c r="N24" s="30">
        <v>5</v>
      </c>
      <c r="O24" s="30">
        <v>50</v>
      </c>
      <c r="P24" s="179">
        <f t="shared" si="27"/>
        <v>2.5</v>
      </c>
      <c r="Q24" s="235">
        <f t="shared" si="15"/>
        <v>2.5</v>
      </c>
      <c r="R24" s="235">
        <f t="shared" si="16"/>
        <v>7.5</v>
      </c>
      <c r="S24" s="30" t="s">
        <v>742</v>
      </c>
      <c r="T24" s="38">
        <v>1</v>
      </c>
      <c r="U24" s="38">
        <v>50</v>
      </c>
      <c r="V24" s="191">
        <f t="shared" si="17"/>
        <v>0.5</v>
      </c>
      <c r="W24" s="237">
        <f t="shared" si="18"/>
        <v>0.5</v>
      </c>
      <c r="X24" s="237">
        <f t="shared" si="19"/>
        <v>1.5</v>
      </c>
      <c r="Y24" s="38" t="s">
        <v>1061</v>
      </c>
      <c r="Z24" s="11" t="s">
        <v>753</v>
      </c>
      <c r="AA24" s="11">
        <v>12</v>
      </c>
      <c r="AB24" s="32">
        <v>1</v>
      </c>
      <c r="AC24" s="32" t="s">
        <v>843</v>
      </c>
      <c r="AD24" s="198">
        <f t="shared" si="20"/>
        <v>15</v>
      </c>
      <c r="AE24" s="199">
        <f t="shared" si="21"/>
        <v>60</v>
      </c>
      <c r="AF24" s="199">
        <f t="shared" si="22"/>
        <v>135</v>
      </c>
      <c r="AG24" s="200">
        <v>3.125</v>
      </c>
      <c r="AH24" s="200">
        <v>4</v>
      </c>
      <c r="AI24" s="200">
        <v>4.875</v>
      </c>
      <c r="AJ24" s="201">
        <f t="shared" si="23"/>
        <v>46.875</v>
      </c>
      <c r="AK24" s="201">
        <f t="shared" si="24"/>
        <v>240</v>
      </c>
      <c r="AL24" s="201">
        <f t="shared" si="25"/>
        <v>658.125</v>
      </c>
      <c r="AM24" s="244">
        <f t="shared" si="6"/>
        <v>1.7000000000000002</v>
      </c>
      <c r="AN24" s="244">
        <f t="shared" si="7"/>
        <v>5.3000000000000007</v>
      </c>
      <c r="AO24" s="244">
        <f t="shared" si="8"/>
        <v>7.6</v>
      </c>
      <c r="AP24" s="244" t="e">
        <f t="shared" si="9"/>
        <v>#N/A</v>
      </c>
      <c r="AQ24" s="244">
        <f t="shared" si="10"/>
        <v>0.1</v>
      </c>
      <c r="AR24" s="244">
        <f t="shared" si="11"/>
        <v>0.13</v>
      </c>
      <c r="AS24" s="245">
        <f t="shared" si="12"/>
        <v>0.51</v>
      </c>
      <c r="AT24" s="245">
        <f t="shared" si="13"/>
        <v>1.59</v>
      </c>
      <c r="AU24" s="245">
        <f t="shared" si="14"/>
        <v>2.2800000000000002</v>
      </c>
      <c r="AV24" s="3" t="s">
        <v>932</v>
      </c>
      <c r="AW24" s="88">
        <f t="shared" si="26"/>
        <v>1.4600000000000002</v>
      </c>
    </row>
    <row r="25" spans="1:49" x14ac:dyDescent="0.25">
      <c r="A25" s="120">
        <v>1811</v>
      </c>
      <c r="B25" s="364"/>
      <c r="C25" s="80" t="s">
        <v>569</v>
      </c>
      <c r="D25" s="83" t="s">
        <v>473</v>
      </c>
      <c r="E25" s="356" t="s">
        <v>1021</v>
      </c>
      <c r="F25" s="40"/>
      <c r="G25" s="40"/>
      <c r="H25" s="40"/>
      <c r="I25" s="40"/>
      <c r="J25" s="40"/>
      <c r="K25" s="40"/>
      <c r="L25" s="178">
        <v>50</v>
      </c>
      <c r="M25" s="326">
        <v>50</v>
      </c>
      <c r="N25" s="30">
        <v>5</v>
      </c>
      <c r="O25" s="30">
        <v>50</v>
      </c>
      <c r="P25" s="179">
        <f t="shared" si="27"/>
        <v>2.5</v>
      </c>
      <c r="Q25" s="235">
        <f t="shared" si="15"/>
        <v>2.5</v>
      </c>
      <c r="R25" s="235">
        <f t="shared" si="16"/>
        <v>7.5</v>
      </c>
      <c r="S25" s="30" t="s">
        <v>742</v>
      </c>
      <c r="T25" s="38">
        <v>1</v>
      </c>
      <c r="U25" s="38">
        <v>50</v>
      </c>
      <c r="V25" s="191">
        <f t="shared" si="17"/>
        <v>0.5</v>
      </c>
      <c r="W25" s="237">
        <f t="shared" si="18"/>
        <v>0.5</v>
      </c>
      <c r="X25" s="237">
        <f t="shared" si="19"/>
        <v>1.5</v>
      </c>
      <c r="Y25" s="38" t="s">
        <v>1061</v>
      </c>
      <c r="Z25" s="11" t="s">
        <v>753</v>
      </c>
      <c r="AA25" s="11">
        <v>12</v>
      </c>
      <c r="AB25" s="32">
        <v>1</v>
      </c>
      <c r="AC25" s="32" t="s">
        <v>843</v>
      </c>
      <c r="AD25" s="198">
        <f t="shared" si="20"/>
        <v>15</v>
      </c>
      <c r="AE25" s="199">
        <f t="shared" si="21"/>
        <v>60</v>
      </c>
      <c r="AF25" s="199">
        <f t="shared" si="22"/>
        <v>135</v>
      </c>
      <c r="AG25" s="200">
        <v>2.1749999999999998</v>
      </c>
      <c r="AH25" s="200">
        <v>3</v>
      </c>
      <c r="AI25" s="200">
        <v>3.8250000000000002</v>
      </c>
      <c r="AJ25" s="201">
        <f t="shared" si="23"/>
        <v>32.625</v>
      </c>
      <c r="AK25" s="201">
        <f t="shared" si="24"/>
        <v>180</v>
      </c>
      <c r="AL25" s="201">
        <f t="shared" si="25"/>
        <v>516.375</v>
      </c>
      <c r="AM25" s="244">
        <f t="shared" si="6"/>
        <v>1</v>
      </c>
      <c r="AN25" s="244">
        <f t="shared" si="7"/>
        <v>4.3</v>
      </c>
      <c r="AO25" s="244">
        <f t="shared" si="8"/>
        <v>7</v>
      </c>
      <c r="AP25" s="244" t="e">
        <f t="shared" si="9"/>
        <v>#N/A</v>
      </c>
      <c r="AQ25" s="244">
        <f t="shared" si="10"/>
        <v>0.03</v>
      </c>
      <c r="AR25" s="244">
        <f t="shared" si="11"/>
        <v>0.13</v>
      </c>
      <c r="AS25" s="245">
        <f t="shared" si="12"/>
        <v>0.30000000000000004</v>
      </c>
      <c r="AT25" s="245">
        <f t="shared" si="13"/>
        <v>1.29</v>
      </c>
      <c r="AU25" s="245">
        <f t="shared" si="14"/>
        <v>2.0999999999999996</v>
      </c>
      <c r="AV25" s="3" t="s">
        <v>932</v>
      </c>
      <c r="AW25" s="88">
        <f t="shared" si="26"/>
        <v>1.2299999999999998</v>
      </c>
    </row>
    <row r="26" spans="1:49" x14ac:dyDescent="0.25">
      <c r="A26" s="120">
        <v>1817</v>
      </c>
      <c r="B26" s="364"/>
      <c r="C26" s="80" t="s">
        <v>570</v>
      </c>
      <c r="D26" s="80" t="s">
        <v>474</v>
      </c>
      <c r="E26" s="347" t="s">
        <v>1020</v>
      </c>
      <c r="F26" s="40"/>
      <c r="G26" s="40"/>
      <c r="H26" s="40"/>
      <c r="I26" s="40"/>
      <c r="J26" s="40"/>
      <c r="K26" s="40"/>
      <c r="L26" s="178">
        <v>50</v>
      </c>
      <c r="M26" s="326">
        <v>50</v>
      </c>
      <c r="N26" s="30">
        <v>5</v>
      </c>
      <c r="O26" s="30">
        <v>50</v>
      </c>
      <c r="P26" s="179">
        <f t="shared" si="27"/>
        <v>2.5</v>
      </c>
      <c r="Q26" s="235">
        <f t="shared" si="15"/>
        <v>2.5</v>
      </c>
      <c r="R26" s="235">
        <f t="shared" si="16"/>
        <v>7.5</v>
      </c>
      <c r="S26" s="30" t="s">
        <v>742</v>
      </c>
      <c r="T26" s="38">
        <v>1</v>
      </c>
      <c r="U26" s="38">
        <v>50</v>
      </c>
      <c r="V26" s="191">
        <f t="shared" si="17"/>
        <v>0.5</v>
      </c>
      <c r="W26" s="237">
        <f t="shared" si="18"/>
        <v>0.5</v>
      </c>
      <c r="X26" s="237">
        <f t="shared" si="19"/>
        <v>1.5</v>
      </c>
      <c r="Y26" s="38" t="s">
        <v>1061</v>
      </c>
      <c r="Z26" s="11" t="s">
        <v>777</v>
      </c>
      <c r="AA26" s="11">
        <v>9</v>
      </c>
      <c r="AB26" s="32">
        <v>1</v>
      </c>
      <c r="AC26" s="32" t="s">
        <v>843</v>
      </c>
      <c r="AD26" s="198">
        <f t="shared" si="20"/>
        <v>11.25</v>
      </c>
      <c r="AE26" s="199">
        <f t="shared" si="21"/>
        <v>45</v>
      </c>
      <c r="AF26" s="199">
        <f t="shared" si="22"/>
        <v>101.25</v>
      </c>
      <c r="AG26" s="200">
        <v>1.35</v>
      </c>
      <c r="AH26" s="200">
        <v>2.0625</v>
      </c>
      <c r="AI26" s="200">
        <v>2.7749999999999999</v>
      </c>
      <c r="AJ26" s="201">
        <f t="shared" si="23"/>
        <v>15.187500000000002</v>
      </c>
      <c r="AK26" s="201">
        <f t="shared" si="24"/>
        <v>92.8125</v>
      </c>
      <c r="AL26" s="201">
        <f t="shared" si="25"/>
        <v>280.96875</v>
      </c>
      <c r="AM26" s="244">
        <f t="shared" si="6"/>
        <v>0.4</v>
      </c>
      <c r="AN26" s="244">
        <f t="shared" si="7"/>
        <v>2.7</v>
      </c>
      <c r="AO26" s="244">
        <f t="shared" si="8"/>
        <v>5.6999999999999993</v>
      </c>
      <c r="AP26" s="244" t="e">
        <f t="shared" si="9"/>
        <v>#N/A</v>
      </c>
      <c r="AQ26" s="244">
        <f t="shared" si="10"/>
        <v>0</v>
      </c>
      <c r="AR26" s="244">
        <f t="shared" si="11"/>
        <v>0.1</v>
      </c>
      <c r="AS26" s="245">
        <f t="shared" si="12"/>
        <v>0.12</v>
      </c>
      <c r="AT26" s="245">
        <f t="shared" si="13"/>
        <v>0.81</v>
      </c>
      <c r="AU26" s="245">
        <f t="shared" si="14"/>
        <v>1.71</v>
      </c>
      <c r="AV26" s="3" t="s">
        <v>931</v>
      </c>
      <c r="AW26" s="88">
        <f t="shared" si="26"/>
        <v>0.88</v>
      </c>
    </row>
    <row r="27" spans="1:49" x14ac:dyDescent="0.25">
      <c r="A27" s="358">
        <v>1816</v>
      </c>
      <c r="B27" s="364"/>
      <c r="C27" s="80" t="s">
        <v>36</v>
      </c>
      <c r="D27" s="80" t="s">
        <v>459</v>
      </c>
      <c r="E27" s="347" t="s">
        <v>1022</v>
      </c>
      <c r="F27" s="40"/>
      <c r="G27" s="40"/>
      <c r="H27" s="40"/>
      <c r="I27" s="40"/>
      <c r="J27" s="40"/>
      <c r="K27" s="40"/>
      <c r="L27" s="178">
        <v>50</v>
      </c>
      <c r="M27" s="326">
        <v>50</v>
      </c>
      <c r="N27" s="30">
        <v>5</v>
      </c>
      <c r="O27" s="30">
        <v>25</v>
      </c>
      <c r="P27" s="179">
        <f t="shared" si="27"/>
        <v>1.25</v>
      </c>
      <c r="Q27" s="235">
        <f t="shared" si="15"/>
        <v>3.75</v>
      </c>
      <c r="R27" s="235">
        <f t="shared" si="16"/>
        <v>6.25</v>
      </c>
      <c r="S27" s="30" t="s">
        <v>742</v>
      </c>
      <c r="T27" s="38">
        <v>1</v>
      </c>
      <c r="U27" s="38">
        <v>10</v>
      </c>
      <c r="V27" s="191">
        <f t="shared" si="17"/>
        <v>0.1</v>
      </c>
      <c r="W27" s="237">
        <f t="shared" si="18"/>
        <v>0.9</v>
      </c>
      <c r="X27" s="237">
        <f t="shared" si="19"/>
        <v>1.1000000000000001</v>
      </c>
      <c r="Y27" s="38" t="s">
        <v>1101</v>
      </c>
      <c r="Z27" s="11" t="s">
        <v>765</v>
      </c>
      <c r="AA27" s="11">
        <v>12</v>
      </c>
      <c r="AB27" s="32">
        <v>1</v>
      </c>
      <c r="AC27" s="32" t="s">
        <v>843</v>
      </c>
      <c r="AD27" s="198">
        <f t="shared" si="20"/>
        <v>40.5</v>
      </c>
      <c r="AE27" s="199">
        <f t="shared" si="21"/>
        <v>60</v>
      </c>
      <c r="AF27" s="199">
        <f t="shared" si="22"/>
        <v>82.5</v>
      </c>
      <c r="AG27" s="200">
        <v>1.9125000000000001</v>
      </c>
      <c r="AH27" s="200">
        <v>2.75</v>
      </c>
      <c r="AI27" s="200">
        <v>3.5874999999999999</v>
      </c>
      <c r="AJ27" s="201">
        <f t="shared" si="23"/>
        <v>77.456249999999997</v>
      </c>
      <c r="AK27" s="201">
        <f t="shared" si="24"/>
        <v>165</v>
      </c>
      <c r="AL27" s="201">
        <f t="shared" si="25"/>
        <v>295.96875</v>
      </c>
      <c r="AM27" s="244">
        <f t="shared" si="6"/>
        <v>2.2000000000000002</v>
      </c>
      <c r="AN27" s="244">
        <f t="shared" si="7"/>
        <v>4</v>
      </c>
      <c r="AO27" s="244">
        <f t="shared" si="8"/>
        <v>5.8</v>
      </c>
      <c r="AP27" s="244" t="e">
        <f t="shared" si="9"/>
        <v>#N/A</v>
      </c>
      <c r="AQ27" s="244">
        <f t="shared" si="10"/>
        <v>0.03</v>
      </c>
      <c r="AR27" s="244">
        <f t="shared" si="11"/>
        <v>0.10999999999999999</v>
      </c>
      <c r="AS27" s="245">
        <f t="shared" si="12"/>
        <v>0.66</v>
      </c>
      <c r="AT27" s="245">
        <f t="shared" si="13"/>
        <v>1.2000000000000002</v>
      </c>
      <c r="AU27" s="245">
        <f t="shared" si="14"/>
        <v>1.7399999999999998</v>
      </c>
      <c r="AV27" s="3" t="s">
        <v>932</v>
      </c>
      <c r="AW27" s="88">
        <f t="shared" si="26"/>
        <v>1.2</v>
      </c>
    </row>
    <row r="28" spans="1:49" x14ac:dyDescent="0.25">
      <c r="A28" s="120">
        <v>1830</v>
      </c>
      <c r="B28" s="364"/>
      <c r="C28" s="80" t="s">
        <v>293</v>
      </c>
      <c r="D28" s="80" t="s">
        <v>475</v>
      </c>
      <c r="E28" s="142" t="s">
        <v>299</v>
      </c>
      <c r="F28" s="40"/>
      <c r="G28" s="40"/>
      <c r="H28" s="40"/>
      <c r="I28" s="40"/>
      <c r="J28" s="40"/>
      <c r="K28" s="40"/>
      <c r="L28" s="178">
        <v>50</v>
      </c>
      <c r="M28" s="326">
        <v>50</v>
      </c>
      <c r="N28" s="30">
        <v>5</v>
      </c>
      <c r="O28" s="30">
        <v>50</v>
      </c>
      <c r="P28" s="179">
        <f t="shared" si="27"/>
        <v>2.5</v>
      </c>
      <c r="Q28" s="235">
        <f t="shared" si="15"/>
        <v>2.5</v>
      </c>
      <c r="R28" s="235">
        <f t="shared" si="16"/>
        <v>7.5</v>
      </c>
      <c r="S28" s="30" t="s">
        <v>742</v>
      </c>
      <c r="T28" s="38">
        <v>2</v>
      </c>
      <c r="U28" s="38">
        <v>50</v>
      </c>
      <c r="V28" s="191">
        <f t="shared" si="17"/>
        <v>1</v>
      </c>
      <c r="W28" s="237">
        <f t="shared" si="18"/>
        <v>1</v>
      </c>
      <c r="X28" s="237">
        <f t="shared" si="19"/>
        <v>3</v>
      </c>
      <c r="Y28" s="38" t="s">
        <v>1102</v>
      </c>
      <c r="Z28" s="11" t="s">
        <v>753</v>
      </c>
      <c r="AA28" s="11">
        <v>12</v>
      </c>
      <c r="AB28" s="32">
        <v>1</v>
      </c>
      <c r="AC28" s="32" t="s">
        <v>843</v>
      </c>
      <c r="AD28" s="198">
        <f t="shared" si="20"/>
        <v>30</v>
      </c>
      <c r="AE28" s="199">
        <f t="shared" si="21"/>
        <v>120</v>
      </c>
      <c r="AF28" s="199">
        <f t="shared" si="22"/>
        <v>270</v>
      </c>
      <c r="AG28" s="200">
        <v>2.9</v>
      </c>
      <c r="AH28" s="200">
        <v>3.75</v>
      </c>
      <c r="AI28" s="200">
        <v>4.5999999999999996</v>
      </c>
      <c r="AJ28" s="201">
        <f t="shared" si="23"/>
        <v>87</v>
      </c>
      <c r="AK28" s="201">
        <f t="shared" si="24"/>
        <v>450</v>
      </c>
      <c r="AL28" s="201">
        <f t="shared" si="25"/>
        <v>1242</v>
      </c>
      <c r="AM28" s="244">
        <f t="shared" si="6"/>
        <v>2.6</v>
      </c>
      <c r="AN28" s="244">
        <f t="shared" si="7"/>
        <v>6.6000000000000005</v>
      </c>
      <c r="AO28" s="244">
        <f t="shared" si="8"/>
        <v>9</v>
      </c>
      <c r="AP28" s="244">
        <f t="shared" si="9"/>
        <v>0</v>
      </c>
      <c r="AQ28" s="244">
        <f t="shared" si="10"/>
        <v>0.12</v>
      </c>
      <c r="AR28" s="244">
        <f t="shared" si="11"/>
        <v>0.15</v>
      </c>
      <c r="AS28" s="245">
        <f t="shared" si="12"/>
        <v>0.78</v>
      </c>
      <c r="AT28" s="245">
        <f t="shared" si="13"/>
        <v>1.98</v>
      </c>
      <c r="AU28" s="245">
        <f t="shared" si="14"/>
        <v>2.7</v>
      </c>
      <c r="AV28" s="3" t="s">
        <v>932</v>
      </c>
      <c r="AW28" s="88">
        <f t="shared" si="26"/>
        <v>1.82</v>
      </c>
    </row>
    <row r="29" spans="1:49" x14ac:dyDescent="0.25">
      <c r="A29" s="358">
        <v>1719</v>
      </c>
      <c r="B29" s="364"/>
      <c r="C29" s="80" t="s">
        <v>37</v>
      </c>
      <c r="D29" s="80" t="s">
        <v>476</v>
      </c>
      <c r="E29" s="347" t="s">
        <v>1018</v>
      </c>
      <c r="F29" s="40"/>
      <c r="G29" s="40"/>
      <c r="H29" s="40"/>
      <c r="I29" s="40"/>
      <c r="J29" s="40"/>
      <c r="K29" s="40"/>
      <c r="L29" s="178">
        <v>50</v>
      </c>
      <c r="M29" s="326">
        <v>50</v>
      </c>
      <c r="N29" s="30">
        <v>5</v>
      </c>
      <c r="O29" s="30">
        <v>25</v>
      </c>
      <c r="P29" s="179">
        <f t="shared" si="27"/>
        <v>1.25</v>
      </c>
      <c r="Q29" s="235">
        <f t="shared" si="15"/>
        <v>3.75</v>
      </c>
      <c r="R29" s="235">
        <f t="shared" si="16"/>
        <v>6.25</v>
      </c>
      <c r="S29" s="30" t="s">
        <v>742</v>
      </c>
      <c r="T29" s="38">
        <v>1</v>
      </c>
      <c r="U29" s="38">
        <v>10</v>
      </c>
      <c r="V29" s="191">
        <f t="shared" si="17"/>
        <v>0.1</v>
      </c>
      <c r="W29" s="237">
        <f t="shared" si="18"/>
        <v>0.9</v>
      </c>
      <c r="X29" s="237">
        <f t="shared" si="19"/>
        <v>1.1000000000000001</v>
      </c>
      <c r="Y29" s="38" t="s">
        <v>1103</v>
      </c>
      <c r="Z29" s="11" t="s">
        <v>753</v>
      </c>
      <c r="AA29" s="11">
        <v>12</v>
      </c>
      <c r="AB29" s="32">
        <v>1</v>
      </c>
      <c r="AC29" s="32" t="s">
        <v>842</v>
      </c>
      <c r="AD29" s="198">
        <f t="shared" si="20"/>
        <v>40.5</v>
      </c>
      <c r="AE29" s="199">
        <f t="shared" si="21"/>
        <v>60</v>
      </c>
      <c r="AF29" s="199">
        <f t="shared" si="22"/>
        <v>82.5</v>
      </c>
      <c r="AG29" s="200">
        <v>2.0375000000000001</v>
      </c>
      <c r="AH29" s="200">
        <v>2.3125</v>
      </c>
      <c r="AI29" s="200">
        <v>2.5874999999999999</v>
      </c>
      <c r="AJ29" s="201">
        <f t="shared" si="23"/>
        <v>82.518749999999997</v>
      </c>
      <c r="AK29" s="201">
        <f t="shared" si="24"/>
        <v>138.75</v>
      </c>
      <c r="AL29" s="201">
        <f t="shared" si="25"/>
        <v>213.46875</v>
      </c>
      <c r="AM29" s="244">
        <f t="shared" si="6"/>
        <v>2.4</v>
      </c>
      <c r="AN29" s="244">
        <f t="shared" si="7"/>
        <v>3.7</v>
      </c>
      <c r="AO29" s="244">
        <f t="shared" si="8"/>
        <v>4.8</v>
      </c>
      <c r="AP29" s="244">
        <f t="shared" si="9"/>
        <v>0</v>
      </c>
      <c r="AQ29" s="244">
        <f t="shared" si="10"/>
        <v>0.02</v>
      </c>
      <c r="AR29" s="244">
        <f t="shared" si="11"/>
        <v>0.09</v>
      </c>
      <c r="AS29" s="245">
        <f t="shared" si="12"/>
        <v>0.72</v>
      </c>
      <c r="AT29" s="245">
        <f t="shared" si="13"/>
        <v>1.1099999999999999</v>
      </c>
      <c r="AU29" s="245">
        <f t="shared" si="14"/>
        <v>1.44</v>
      </c>
      <c r="AV29" s="3" t="s">
        <v>932</v>
      </c>
      <c r="AW29" s="88">
        <f t="shared" si="26"/>
        <v>1.0899999999999999</v>
      </c>
    </row>
    <row r="30" spans="1:49" x14ac:dyDescent="0.25">
      <c r="A30" s="120">
        <v>1763</v>
      </c>
      <c r="B30" s="364"/>
      <c r="C30" s="80" t="s">
        <v>291</v>
      </c>
      <c r="D30" s="83" t="s">
        <v>477</v>
      </c>
      <c r="E30" s="343" t="s">
        <v>300</v>
      </c>
      <c r="F30" s="40"/>
      <c r="G30" s="40"/>
      <c r="H30" s="40"/>
      <c r="I30" s="40"/>
      <c r="J30" s="40"/>
      <c r="K30" s="40"/>
      <c r="L30" s="178">
        <v>50</v>
      </c>
      <c r="M30" s="326">
        <v>50</v>
      </c>
      <c r="N30" s="30">
        <v>5</v>
      </c>
      <c r="O30" s="30">
        <v>50</v>
      </c>
      <c r="P30" s="179">
        <f t="shared" si="27"/>
        <v>2.5</v>
      </c>
      <c r="Q30" s="235">
        <f t="shared" si="15"/>
        <v>2.5</v>
      </c>
      <c r="R30" s="235">
        <f t="shared" si="16"/>
        <v>7.5</v>
      </c>
      <c r="S30" s="30" t="s">
        <v>742</v>
      </c>
      <c r="T30" s="38">
        <v>3</v>
      </c>
      <c r="U30" s="38">
        <v>50</v>
      </c>
      <c r="V30" s="191">
        <f t="shared" si="17"/>
        <v>1.5</v>
      </c>
      <c r="W30" s="237">
        <f t="shared" si="18"/>
        <v>1.5</v>
      </c>
      <c r="X30" s="237">
        <f t="shared" si="19"/>
        <v>4.5</v>
      </c>
      <c r="Y30" s="38" t="s">
        <v>350</v>
      </c>
      <c r="Z30" s="11" t="s">
        <v>776</v>
      </c>
      <c r="AA30" s="11">
        <v>6</v>
      </c>
      <c r="AB30" s="32">
        <v>1</v>
      </c>
      <c r="AC30" s="32" t="s">
        <v>845</v>
      </c>
      <c r="AD30" s="198">
        <f t="shared" si="20"/>
        <v>22.5</v>
      </c>
      <c r="AE30" s="199">
        <f t="shared" si="21"/>
        <v>90</v>
      </c>
      <c r="AF30" s="199">
        <f t="shared" si="22"/>
        <v>202.5</v>
      </c>
      <c r="AG30" s="200">
        <v>3.1875</v>
      </c>
      <c r="AH30" s="200">
        <v>4</v>
      </c>
      <c r="AI30" s="200">
        <v>4.8125</v>
      </c>
      <c r="AJ30" s="201">
        <f t="shared" si="23"/>
        <v>71.71875</v>
      </c>
      <c r="AK30" s="201">
        <f t="shared" si="24"/>
        <v>360</v>
      </c>
      <c r="AL30" s="201">
        <f t="shared" si="25"/>
        <v>974.53125</v>
      </c>
      <c r="AM30" s="244">
        <f t="shared" si="6"/>
        <v>2.2000000000000002</v>
      </c>
      <c r="AN30" s="244">
        <f t="shared" si="7"/>
        <v>6.2</v>
      </c>
      <c r="AO30" s="244">
        <f t="shared" si="8"/>
        <v>8.6999999999999993</v>
      </c>
      <c r="AP30" s="244" t="e">
        <f t="shared" si="9"/>
        <v>#N/A</v>
      </c>
      <c r="AQ30" s="244">
        <f t="shared" si="10"/>
        <v>0.10999999999999999</v>
      </c>
      <c r="AR30" s="244">
        <f t="shared" si="11"/>
        <v>0.15</v>
      </c>
      <c r="AS30" s="245">
        <f t="shared" si="12"/>
        <v>0.66</v>
      </c>
      <c r="AT30" s="245">
        <f t="shared" si="13"/>
        <v>1.8599999999999999</v>
      </c>
      <c r="AU30" s="245">
        <f t="shared" si="14"/>
        <v>2.61</v>
      </c>
      <c r="AV30" s="3" t="s">
        <v>932</v>
      </c>
      <c r="AW30" s="88">
        <f t="shared" si="26"/>
        <v>1.71</v>
      </c>
    </row>
    <row r="31" spans="1:49" x14ac:dyDescent="0.25">
      <c r="A31" s="120">
        <v>1769</v>
      </c>
      <c r="B31" s="364"/>
      <c r="C31" s="80" t="s">
        <v>287</v>
      </c>
      <c r="D31" s="80" t="s">
        <v>478</v>
      </c>
      <c r="E31" s="142" t="s">
        <v>302</v>
      </c>
      <c r="F31" s="40"/>
      <c r="G31" s="40"/>
      <c r="H31" s="40"/>
      <c r="I31" s="40"/>
      <c r="J31" s="40"/>
      <c r="K31" s="40"/>
      <c r="L31" s="178">
        <v>50</v>
      </c>
      <c r="M31" s="326">
        <v>50</v>
      </c>
      <c r="N31" s="30">
        <v>5</v>
      </c>
      <c r="O31" s="30">
        <v>50</v>
      </c>
      <c r="P31" s="179">
        <f t="shared" si="27"/>
        <v>2.5</v>
      </c>
      <c r="Q31" s="235">
        <f t="shared" si="15"/>
        <v>2.5</v>
      </c>
      <c r="R31" s="235">
        <f t="shared" si="16"/>
        <v>7.5</v>
      </c>
      <c r="S31" s="30" t="s">
        <v>742</v>
      </c>
      <c r="T31" s="38">
        <v>1</v>
      </c>
      <c r="U31" s="38">
        <v>50</v>
      </c>
      <c r="V31" s="191">
        <f t="shared" si="17"/>
        <v>0.5</v>
      </c>
      <c r="W31" s="237">
        <f t="shared" si="18"/>
        <v>0.5</v>
      </c>
      <c r="X31" s="237">
        <f t="shared" si="19"/>
        <v>1.5</v>
      </c>
      <c r="Y31" s="38" t="s">
        <v>1061</v>
      </c>
      <c r="Z31" s="11" t="s">
        <v>759</v>
      </c>
      <c r="AA31" s="11">
        <v>11</v>
      </c>
      <c r="AB31" s="32">
        <v>1</v>
      </c>
      <c r="AC31" s="32" t="s">
        <v>845</v>
      </c>
      <c r="AD31" s="198">
        <f t="shared" si="20"/>
        <v>13.75</v>
      </c>
      <c r="AE31" s="199">
        <f t="shared" si="21"/>
        <v>55</v>
      </c>
      <c r="AF31" s="199">
        <f t="shared" si="22"/>
        <v>123.75</v>
      </c>
      <c r="AG31" s="200">
        <v>2.75</v>
      </c>
      <c r="AH31" s="200">
        <v>3.75</v>
      </c>
      <c r="AI31" s="200">
        <v>4.75</v>
      </c>
      <c r="AJ31" s="201">
        <f t="shared" si="23"/>
        <v>37.8125</v>
      </c>
      <c r="AK31" s="201">
        <f t="shared" si="24"/>
        <v>206.25</v>
      </c>
      <c r="AL31" s="201">
        <f t="shared" si="25"/>
        <v>587.8125</v>
      </c>
      <c r="AM31" s="244">
        <f t="shared" si="6"/>
        <v>1.3</v>
      </c>
      <c r="AN31" s="244">
        <f t="shared" si="7"/>
        <v>4.6999999999999993</v>
      </c>
      <c r="AO31" s="244">
        <f t="shared" si="8"/>
        <v>7.3</v>
      </c>
      <c r="AP31" s="244" t="e">
        <f t="shared" si="9"/>
        <v>#N/A</v>
      </c>
      <c r="AQ31" s="244">
        <f t="shared" si="10"/>
        <v>0.09</v>
      </c>
      <c r="AR31" s="244">
        <f t="shared" si="11"/>
        <v>0.13</v>
      </c>
      <c r="AS31" s="245">
        <f t="shared" si="12"/>
        <v>0.39</v>
      </c>
      <c r="AT31" s="245">
        <f t="shared" si="13"/>
        <v>1.41</v>
      </c>
      <c r="AU31" s="245">
        <f t="shared" si="14"/>
        <v>2.19</v>
      </c>
      <c r="AV31" s="3" t="s">
        <v>932</v>
      </c>
      <c r="AW31" s="88">
        <f t="shared" si="26"/>
        <v>1.3299999999999998</v>
      </c>
    </row>
    <row r="32" spans="1:49" x14ac:dyDescent="0.25">
      <c r="A32" s="120">
        <v>1755</v>
      </c>
      <c r="B32" s="364"/>
      <c r="C32" s="80" t="s">
        <v>261</v>
      </c>
      <c r="D32" s="80" t="s">
        <v>479</v>
      </c>
      <c r="E32" s="142" t="s">
        <v>39</v>
      </c>
      <c r="F32" s="40"/>
      <c r="G32" s="40"/>
      <c r="H32" s="40"/>
      <c r="I32" s="40"/>
      <c r="J32" s="40"/>
      <c r="K32" s="40"/>
      <c r="L32" s="178">
        <v>50</v>
      </c>
      <c r="M32" s="326">
        <v>50</v>
      </c>
      <c r="N32" s="30">
        <v>5</v>
      </c>
      <c r="O32" s="30">
        <v>50</v>
      </c>
      <c r="P32" s="179">
        <f t="shared" si="27"/>
        <v>2.5</v>
      </c>
      <c r="Q32" s="235">
        <f t="shared" si="15"/>
        <v>2.5</v>
      </c>
      <c r="R32" s="235">
        <f t="shared" si="16"/>
        <v>7.5</v>
      </c>
      <c r="S32" s="30" t="s">
        <v>742</v>
      </c>
      <c r="T32" s="38">
        <v>1</v>
      </c>
      <c r="U32" s="38">
        <v>50</v>
      </c>
      <c r="V32" s="191">
        <f t="shared" si="17"/>
        <v>0.5</v>
      </c>
      <c r="W32" s="237">
        <f t="shared" si="18"/>
        <v>0.5</v>
      </c>
      <c r="X32" s="237">
        <f t="shared" si="19"/>
        <v>1.5</v>
      </c>
      <c r="Y32" s="38" t="s">
        <v>1061</v>
      </c>
      <c r="Z32" s="11" t="s">
        <v>775</v>
      </c>
      <c r="AA32" s="11">
        <v>5</v>
      </c>
      <c r="AB32" s="32">
        <v>1</v>
      </c>
      <c r="AC32" s="32" t="s">
        <v>845</v>
      </c>
      <c r="AD32" s="198">
        <f t="shared" si="20"/>
        <v>6.25</v>
      </c>
      <c r="AE32" s="199">
        <f t="shared" si="21"/>
        <v>25</v>
      </c>
      <c r="AF32" s="199">
        <f t="shared" si="22"/>
        <v>56.25</v>
      </c>
      <c r="AG32" s="200">
        <v>1.95</v>
      </c>
      <c r="AH32" s="200">
        <v>2.75</v>
      </c>
      <c r="AI32" s="200">
        <v>3.55</v>
      </c>
      <c r="AJ32" s="201">
        <f t="shared" si="23"/>
        <v>12.1875</v>
      </c>
      <c r="AK32" s="201">
        <f t="shared" si="24"/>
        <v>68.75</v>
      </c>
      <c r="AL32" s="201">
        <f t="shared" si="25"/>
        <v>199.6875</v>
      </c>
      <c r="AM32" s="244">
        <f t="shared" si="6"/>
        <v>0.2</v>
      </c>
      <c r="AN32" s="244">
        <f t="shared" si="7"/>
        <v>2.1</v>
      </c>
      <c r="AO32" s="244">
        <f t="shared" si="8"/>
        <v>4.6000000000000005</v>
      </c>
      <c r="AP32" s="244" t="e">
        <f t="shared" si="9"/>
        <v>#N/A</v>
      </c>
      <c r="AQ32" s="244" t="e">
        <f t="shared" si="10"/>
        <v>#N/A</v>
      </c>
      <c r="AR32" s="244">
        <f t="shared" si="11"/>
        <v>0.08</v>
      </c>
      <c r="AS32" s="245">
        <f t="shared" si="12"/>
        <v>0.06</v>
      </c>
      <c r="AT32" s="245">
        <f t="shared" si="13"/>
        <v>0.63</v>
      </c>
      <c r="AU32" s="245">
        <f t="shared" si="14"/>
        <v>1.3800000000000001</v>
      </c>
      <c r="AV32" s="3" t="s">
        <v>931</v>
      </c>
      <c r="AW32" s="88">
        <f t="shared" si="26"/>
        <v>0.69000000000000006</v>
      </c>
    </row>
    <row r="33" spans="1:49" x14ac:dyDescent="0.25">
      <c r="A33" s="89">
        <v>1897</v>
      </c>
      <c r="B33" s="364"/>
      <c r="C33" s="80" t="s">
        <v>40</v>
      </c>
      <c r="D33" s="80" t="s">
        <v>433</v>
      </c>
      <c r="E33" s="347" t="s">
        <v>1016</v>
      </c>
      <c r="F33" s="40"/>
      <c r="G33" s="40"/>
      <c r="H33" s="40"/>
      <c r="I33" s="40"/>
      <c r="J33" s="40"/>
      <c r="K33" s="40"/>
      <c r="L33" s="178">
        <v>50</v>
      </c>
      <c r="M33" s="326">
        <v>50</v>
      </c>
      <c r="N33" s="30">
        <v>5</v>
      </c>
      <c r="O33" s="30">
        <v>50</v>
      </c>
      <c r="P33" s="179">
        <f t="shared" si="27"/>
        <v>2.5</v>
      </c>
      <c r="Q33" s="235">
        <f t="shared" si="15"/>
        <v>2.5</v>
      </c>
      <c r="R33" s="235">
        <f t="shared" si="16"/>
        <v>7.5</v>
      </c>
      <c r="S33" s="30" t="s">
        <v>742</v>
      </c>
      <c r="T33" s="38">
        <v>2</v>
      </c>
      <c r="U33" s="38">
        <v>50</v>
      </c>
      <c r="V33" s="191">
        <f t="shared" si="17"/>
        <v>1</v>
      </c>
      <c r="W33" s="237">
        <f t="shared" si="18"/>
        <v>1</v>
      </c>
      <c r="X33" s="237">
        <f t="shared" si="19"/>
        <v>3</v>
      </c>
      <c r="Y33" s="38" t="s">
        <v>1104</v>
      </c>
      <c r="Z33" s="11" t="s">
        <v>754</v>
      </c>
      <c r="AA33" s="11">
        <v>11</v>
      </c>
      <c r="AB33" s="32">
        <v>2</v>
      </c>
      <c r="AC33" s="32" t="s">
        <v>898</v>
      </c>
      <c r="AD33" s="198">
        <f t="shared" si="20"/>
        <v>55</v>
      </c>
      <c r="AE33" s="199">
        <f t="shared" si="21"/>
        <v>220</v>
      </c>
      <c r="AF33" s="199">
        <f t="shared" si="22"/>
        <v>495</v>
      </c>
      <c r="AG33" s="200">
        <v>3.5625</v>
      </c>
      <c r="AH33" s="200">
        <v>4.5</v>
      </c>
      <c r="AI33" s="200">
        <v>5.4375</v>
      </c>
      <c r="AJ33" s="201">
        <f t="shared" si="23"/>
        <v>195.9375</v>
      </c>
      <c r="AK33" s="201">
        <f t="shared" si="24"/>
        <v>990</v>
      </c>
      <c r="AL33" s="201">
        <f t="shared" si="25"/>
        <v>2691.5625</v>
      </c>
      <c r="AM33" s="244">
        <f t="shared" si="6"/>
        <v>4.5</v>
      </c>
      <c r="AN33" s="244">
        <f t="shared" si="7"/>
        <v>8.6999999999999993</v>
      </c>
      <c r="AO33" s="244">
        <f t="shared" si="8"/>
        <v>9.9</v>
      </c>
      <c r="AP33" s="244">
        <f t="shared" si="9"/>
        <v>0.04</v>
      </c>
      <c r="AQ33" s="244">
        <f t="shared" si="10"/>
        <v>0.15</v>
      </c>
      <c r="AR33" s="244">
        <f t="shared" si="11"/>
        <v>0.16</v>
      </c>
      <c r="AS33" s="245">
        <f t="shared" si="12"/>
        <v>1.35</v>
      </c>
      <c r="AT33" s="245">
        <f t="shared" si="13"/>
        <v>2.61</v>
      </c>
      <c r="AU33" s="245">
        <f t="shared" si="14"/>
        <v>2.9699999999999998</v>
      </c>
      <c r="AV33" s="3" t="s">
        <v>933</v>
      </c>
      <c r="AW33" s="88">
        <f t="shared" si="26"/>
        <v>2.31</v>
      </c>
    </row>
    <row r="34" spans="1:49" x14ac:dyDescent="0.25">
      <c r="A34" s="120">
        <v>1905</v>
      </c>
      <c r="B34" s="364"/>
      <c r="C34" s="80" t="s">
        <v>44</v>
      </c>
      <c r="D34" s="80" t="s">
        <v>434</v>
      </c>
      <c r="E34" s="347" t="s">
        <v>1015</v>
      </c>
      <c r="F34" s="40"/>
      <c r="G34" s="40"/>
      <c r="H34" s="40"/>
      <c r="I34" s="40"/>
      <c r="J34" s="40"/>
      <c r="K34" s="40"/>
      <c r="L34" s="178">
        <v>50</v>
      </c>
      <c r="M34" s="326">
        <v>50</v>
      </c>
      <c r="N34" s="30">
        <v>5</v>
      </c>
      <c r="O34" s="30">
        <v>50</v>
      </c>
      <c r="P34" s="179">
        <f t="shared" si="27"/>
        <v>2.5</v>
      </c>
      <c r="Q34" s="235">
        <f t="shared" si="15"/>
        <v>2.5</v>
      </c>
      <c r="R34" s="235">
        <f t="shared" si="16"/>
        <v>7.5</v>
      </c>
      <c r="S34" s="30" t="s">
        <v>742</v>
      </c>
      <c r="T34" s="38">
        <v>1</v>
      </c>
      <c r="U34" s="38">
        <v>50</v>
      </c>
      <c r="V34" s="191">
        <f t="shared" si="17"/>
        <v>0.5</v>
      </c>
      <c r="W34" s="237">
        <f t="shared" si="18"/>
        <v>0.5</v>
      </c>
      <c r="X34" s="237">
        <f t="shared" si="19"/>
        <v>1.5</v>
      </c>
      <c r="Y34" s="38" t="s">
        <v>1105</v>
      </c>
      <c r="Z34" s="11" t="s">
        <v>778</v>
      </c>
      <c r="AA34" s="11">
        <v>11</v>
      </c>
      <c r="AB34" s="32">
        <v>1.5</v>
      </c>
      <c r="AC34" s="32" t="s">
        <v>897</v>
      </c>
      <c r="AD34" s="198">
        <f t="shared" si="20"/>
        <v>20.625</v>
      </c>
      <c r="AE34" s="199">
        <f t="shared" si="21"/>
        <v>82.5</v>
      </c>
      <c r="AF34" s="199">
        <f t="shared" si="22"/>
        <v>185.625</v>
      </c>
      <c r="AG34" s="200">
        <v>2.5375000000000001</v>
      </c>
      <c r="AH34" s="200">
        <v>3.25</v>
      </c>
      <c r="AI34" s="200">
        <v>3.9624999999999999</v>
      </c>
      <c r="AJ34" s="201">
        <f t="shared" si="23"/>
        <v>52.3359375</v>
      </c>
      <c r="AK34" s="201">
        <f t="shared" si="24"/>
        <v>268.125</v>
      </c>
      <c r="AL34" s="201">
        <f t="shared" si="25"/>
        <v>735.5390625</v>
      </c>
      <c r="AM34" s="244">
        <f t="shared" si="6"/>
        <v>1.9</v>
      </c>
      <c r="AN34" s="244">
        <f t="shared" si="7"/>
        <v>5.5</v>
      </c>
      <c r="AO34" s="244">
        <f t="shared" si="8"/>
        <v>7.9</v>
      </c>
      <c r="AP34" s="244" t="e">
        <f t="shared" si="9"/>
        <v>#N/A</v>
      </c>
      <c r="AQ34" s="244">
        <f t="shared" si="10"/>
        <v>0.1</v>
      </c>
      <c r="AR34" s="244">
        <f t="shared" si="11"/>
        <v>0.14000000000000001</v>
      </c>
      <c r="AS34" s="245">
        <f t="shared" si="12"/>
        <v>0.57000000000000006</v>
      </c>
      <c r="AT34" s="245">
        <f t="shared" si="13"/>
        <v>1.6500000000000001</v>
      </c>
      <c r="AU34" s="245">
        <f t="shared" si="14"/>
        <v>2.37</v>
      </c>
      <c r="AV34" s="3" t="s">
        <v>932</v>
      </c>
      <c r="AW34" s="88">
        <f t="shared" si="26"/>
        <v>1.53</v>
      </c>
    </row>
    <row r="35" spans="1:49" x14ac:dyDescent="0.25">
      <c r="A35" s="120">
        <v>1886</v>
      </c>
      <c r="B35" s="364"/>
      <c r="C35" s="80" t="s">
        <v>571</v>
      </c>
      <c r="D35" s="80" t="s">
        <v>432</v>
      </c>
      <c r="E35" s="347" t="s">
        <v>1024</v>
      </c>
      <c r="F35" s="40"/>
      <c r="G35" s="40"/>
      <c r="H35" s="40"/>
      <c r="I35" s="40"/>
      <c r="J35" s="40"/>
      <c r="K35" s="40"/>
      <c r="L35" s="178">
        <v>50</v>
      </c>
      <c r="M35" s="326">
        <v>50</v>
      </c>
      <c r="N35" s="30">
        <v>5</v>
      </c>
      <c r="O35" s="30">
        <v>50</v>
      </c>
      <c r="P35" s="179">
        <f t="shared" si="27"/>
        <v>2.5</v>
      </c>
      <c r="Q35" s="235">
        <f t="shared" si="15"/>
        <v>2.5</v>
      </c>
      <c r="R35" s="235">
        <f t="shared" si="16"/>
        <v>7.5</v>
      </c>
      <c r="S35" s="30" t="s">
        <v>742</v>
      </c>
      <c r="T35" s="38">
        <v>1</v>
      </c>
      <c r="U35" s="38">
        <v>50</v>
      </c>
      <c r="V35" s="191">
        <f t="shared" si="17"/>
        <v>0.5</v>
      </c>
      <c r="W35" s="237">
        <f t="shared" si="18"/>
        <v>0.5</v>
      </c>
      <c r="X35" s="237">
        <f t="shared" si="19"/>
        <v>1.5</v>
      </c>
      <c r="Y35" s="38" t="s">
        <v>1106</v>
      </c>
      <c r="Z35" s="11" t="s">
        <v>753</v>
      </c>
      <c r="AA35" s="11">
        <v>12</v>
      </c>
      <c r="AB35" s="32">
        <v>1.5</v>
      </c>
      <c r="AC35" s="32" t="s">
        <v>866</v>
      </c>
      <c r="AD35" s="198">
        <f t="shared" si="20"/>
        <v>22.5</v>
      </c>
      <c r="AE35" s="199">
        <f t="shared" si="21"/>
        <v>90</v>
      </c>
      <c r="AF35" s="199">
        <f t="shared" si="22"/>
        <v>202.5</v>
      </c>
      <c r="AG35" s="200">
        <v>1.5375000000000001</v>
      </c>
      <c r="AH35" s="200">
        <v>2.125</v>
      </c>
      <c r="AI35" s="200">
        <v>2.7124999999999999</v>
      </c>
      <c r="AJ35" s="201">
        <f t="shared" si="23"/>
        <v>34.59375</v>
      </c>
      <c r="AK35" s="201">
        <f t="shared" si="24"/>
        <v>191.25</v>
      </c>
      <c r="AL35" s="201">
        <f t="shared" si="25"/>
        <v>549.28125</v>
      </c>
      <c r="AM35" s="244">
        <f t="shared" si="6"/>
        <v>1.2</v>
      </c>
      <c r="AN35" s="244">
        <f t="shared" si="7"/>
        <v>4.4000000000000004</v>
      </c>
      <c r="AO35" s="244">
        <f t="shared" si="8"/>
        <v>7</v>
      </c>
      <c r="AP35" s="244" t="e">
        <f t="shared" si="9"/>
        <v>#N/A</v>
      </c>
      <c r="AQ35" s="244">
        <f t="shared" si="10"/>
        <v>0.04</v>
      </c>
      <c r="AR35" s="244">
        <f t="shared" si="11"/>
        <v>0.13</v>
      </c>
      <c r="AS35" s="245">
        <f t="shared" si="12"/>
        <v>0.36</v>
      </c>
      <c r="AT35" s="245">
        <f t="shared" si="13"/>
        <v>1.32</v>
      </c>
      <c r="AU35" s="245">
        <f t="shared" si="14"/>
        <v>2.0999999999999996</v>
      </c>
      <c r="AV35" s="3" t="s">
        <v>932</v>
      </c>
      <c r="AW35" s="88">
        <f t="shared" si="26"/>
        <v>1.26</v>
      </c>
    </row>
    <row r="36" spans="1:49" x14ac:dyDescent="0.25">
      <c r="A36" s="120">
        <v>1890</v>
      </c>
      <c r="B36" s="364"/>
      <c r="C36" s="80" t="s">
        <v>573</v>
      </c>
      <c r="D36" s="80" t="s">
        <v>590</v>
      </c>
      <c r="E36" s="347" t="s">
        <v>1017</v>
      </c>
      <c r="F36" s="40"/>
      <c r="G36" s="40"/>
      <c r="H36" s="40"/>
      <c r="I36" s="40"/>
      <c r="J36" s="40"/>
      <c r="K36" s="40"/>
      <c r="L36" s="178">
        <v>50</v>
      </c>
      <c r="M36" s="326">
        <v>50</v>
      </c>
      <c r="N36" s="30">
        <v>5</v>
      </c>
      <c r="O36" s="30">
        <v>25</v>
      </c>
      <c r="P36" s="179">
        <f t="shared" si="27"/>
        <v>1.25</v>
      </c>
      <c r="Q36" s="235">
        <f t="shared" si="15"/>
        <v>3.75</v>
      </c>
      <c r="R36" s="235">
        <f t="shared" si="16"/>
        <v>6.25</v>
      </c>
      <c r="S36" s="30" t="s">
        <v>1009</v>
      </c>
      <c r="T36" s="38">
        <v>1</v>
      </c>
      <c r="U36" s="38">
        <v>10</v>
      </c>
      <c r="V36" s="191">
        <f>(U36/100)*T36</f>
        <v>0.1</v>
      </c>
      <c r="W36" s="237">
        <f t="shared" si="18"/>
        <v>0.9</v>
      </c>
      <c r="X36" s="237">
        <f t="shared" si="19"/>
        <v>1.1000000000000001</v>
      </c>
      <c r="Y36" s="38" t="s">
        <v>1107</v>
      </c>
      <c r="Z36" s="11" t="s">
        <v>753</v>
      </c>
      <c r="AA36" s="11">
        <v>12</v>
      </c>
      <c r="AB36" s="32">
        <v>2</v>
      </c>
      <c r="AC36" s="32" t="s">
        <v>899</v>
      </c>
      <c r="AD36" s="198">
        <f t="shared" si="20"/>
        <v>81</v>
      </c>
      <c r="AE36" s="199">
        <f t="shared" si="21"/>
        <v>120</v>
      </c>
      <c r="AF36" s="199">
        <f t="shared" si="22"/>
        <v>165</v>
      </c>
      <c r="AG36" s="200">
        <v>1.6</v>
      </c>
      <c r="AH36" s="200">
        <v>2.25</v>
      </c>
      <c r="AI36" s="200">
        <v>2.9</v>
      </c>
      <c r="AJ36" s="201">
        <f t="shared" si="23"/>
        <v>129.6</v>
      </c>
      <c r="AK36" s="201">
        <f t="shared" si="24"/>
        <v>270</v>
      </c>
      <c r="AL36" s="201">
        <f t="shared" si="25"/>
        <v>478.5</v>
      </c>
      <c r="AM36" s="244">
        <f t="shared" ref="AM36:AM67" si="28">_xlfn.PERCENTRANK.INC($AJ$4:$AL$79,AJ36,2)*10</f>
        <v>3.3000000000000003</v>
      </c>
      <c r="AN36" s="244">
        <f t="shared" ref="AN36:AN64" si="29">_xlfn.PERCENTRANK.INC($AJ$4:$AL$79,AK36,2)*10</f>
        <v>5.6000000000000005</v>
      </c>
      <c r="AO36" s="244">
        <f t="shared" ref="AO36:AO66" si="30">_xlfn.PERCENTRANK.INC($AJ$4:$AL$79,AL36,2)*10</f>
        <v>6.8000000000000007</v>
      </c>
      <c r="AP36" s="244">
        <f t="shared" ref="AP36:AP67" si="31">_xlfn.PERCENTRANK.INC($AJ$4:$AL$180,AM36,3)*10</f>
        <v>0.01</v>
      </c>
      <c r="AQ36" s="244">
        <f t="shared" ref="AQ36:AQ67" si="32">_xlfn.PERCENTRANK.INC($AJ$4:$AL$180,AN36,3)*10</f>
        <v>0.1</v>
      </c>
      <c r="AR36" s="244">
        <f t="shared" ref="AR36:AR67" si="33">_xlfn.PERCENTRANK.INC($AJ$4:$AL$180,AO36,3)*10</f>
        <v>0.12</v>
      </c>
      <c r="AS36" s="245">
        <f t="shared" ref="AS36:AS67" si="34">_xlfn.PERCENTRANK.INC($AJ$4:$AL$79,AJ36,2)*3</f>
        <v>0.99</v>
      </c>
      <c r="AT36" s="245">
        <f t="shared" ref="AT36:AT67" si="35">_xlfn.PERCENTRANK.INC($AJ$4:$AL$79,AK36,2)*3</f>
        <v>1.6800000000000002</v>
      </c>
      <c r="AU36" s="245">
        <f t="shared" ref="AU36:AU67" si="36">_xlfn.PERCENTRANK.INC($AJ$4:$AL$79,AL36,2)*3</f>
        <v>2.04</v>
      </c>
      <c r="AV36" s="3" t="s">
        <v>932</v>
      </c>
      <c r="AW36" s="88">
        <f t="shared" si="26"/>
        <v>1.57</v>
      </c>
    </row>
    <row r="37" spans="1:49" x14ac:dyDescent="0.25">
      <c r="A37" s="120">
        <v>1857</v>
      </c>
      <c r="B37" s="365"/>
      <c r="C37" s="80" t="s">
        <v>577</v>
      </c>
      <c r="D37" s="98" t="s">
        <v>480</v>
      </c>
      <c r="E37" s="343" t="s">
        <v>303</v>
      </c>
      <c r="F37" s="40"/>
      <c r="G37" s="40"/>
      <c r="H37" s="40"/>
      <c r="I37" s="40"/>
      <c r="J37" s="40"/>
      <c r="K37" s="40"/>
      <c r="L37" s="178">
        <v>50</v>
      </c>
      <c r="M37" s="326">
        <v>50</v>
      </c>
      <c r="N37" s="30">
        <v>5</v>
      </c>
      <c r="O37" s="30">
        <v>25</v>
      </c>
      <c r="P37" s="179">
        <f t="shared" si="27"/>
        <v>1.25</v>
      </c>
      <c r="Q37" s="235">
        <f t="shared" si="15"/>
        <v>3.75</v>
      </c>
      <c r="R37" s="235">
        <f t="shared" si="16"/>
        <v>6.25</v>
      </c>
      <c r="S37" s="30" t="s">
        <v>1009</v>
      </c>
      <c r="T37" s="38">
        <v>1</v>
      </c>
      <c r="U37" s="38">
        <v>50</v>
      </c>
      <c r="V37" s="191">
        <f t="shared" ref="V37" si="37">(U37/100)*T37</f>
        <v>0.5</v>
      </c>
      <c r="W37" s="237">
        <f t="shared" si="18"/>
        <v>0.5</v>
      </c>
      <c r="X37" s="237">
        <f t="shared" si="19"/>
        <v>1.5</v>
      </c>
      <c r="Y37" s="38" t="s">
        <v>1061</v>
      </c>
      <c r="Z37" s="11" t="s">
        <v>758</v>
      </c>
      <c r="AA37" s="11">
        <v>5</v>
      </c>
      <c r="AB37" s="32">
        <v>1</v>
      </c>
      <c r="AC37" s="32" t="s">
        <v>313</v>
      </c>
      <c r="AD37" s="198">
        <f t="shared" si="20"/>
        <v>9.375</v>
      </c>
      <c r="AE37" s="199">
        <f t="shared" si="21"/>
        <v>25</v>
      </c>
      <c r="AF37" s="199">
        <f t="shared" si="22"/>
        <v>46.875</v>
      </c>
      <c r="AG37" s="200">
        <v>1.4125000000000001</v>
      </c>
      <c r="AH37" s="200">
        <v>1.8125</v>
      </c>
      <c r="AI37" s="200">
        <v>2.2124999999999999</v>
      </c>
      <c r="AJ37" s="201">
        <f t="shared" si="23"/>
        <v>13.2421875</v>
      </c>
      <c r="AK37" s="201">
        <f t="shared" si="24"/>
        <v>45.3125</v>
      </c>
      <c r="AL37" s="201">
        <f t="shared" si="25"/>
        <v>103.7109375</v>
      </c>
      <c r="AM37" s="244">
        <f t="shared" si="28"/>
        <v>0.3</v>
      </c>
      <c r="AN37" s="244">
        <f t="shared" si="29"/>
        <v>1.6</v>
      </c>
      <c r="AO37" s="244">
        <f t="shared" si="30"/>
        <v>2.9</v>
      </c>
      <c r="AP37" s="244" t="e">
        <f t="shared" si="31"/>
        <v>#N/A</v>
      </c>
      <c r="AQ37" s="244" t="e">
        <f t="shared" si="32"/>
        <v>#N/A</v>
      </c>
      <c r="AR37" s="244">
        <f t="shared" si="33"/>
        <v>0.01</v>
      </c>
      <c r="AS37" s="245">
        <f t="shared" si="34"/>
        <v>0.09</v>
      </c>
      <c r="AT37" s="245">
        <f t="shared" si="35"/>
        <v>0.48</v>
      </c>
      <c r="AU37" s="245">
        <f t="shared" si="36"/>
        <v>0.86999999999999988</v>
      </c>
      <c r="AV37" s="3" t="s">
        <v>931</v>
      </c>
      <c r="AW37" s="88">
        <f t="shared" si="26"/>
        <v>0.48</v>
      </c>
    </row>
    <row r="38" spans="1:49" x14ac:dyDescent="0.25">
      <c r="A38" s="107">
        <v>2070</v>
      </c>
      <c r="B38" s="367" t="s">
        <v>46</v>
      </c>
      <c r="C38" s="98" t="s">
        <v>47</v>
      </c>
      <c r="D38" s="98" t="s">
        <v>435</v>
      </c>
      <c r="E38" s="347" t="s">
        <v>48</v>
      </c>
      <c r="F38" s="40"/>
      <c r="G38" s="40"/>
      <c r="H38" s="40"/>
      <c r="I38" s="40"/>
      <c r="J38" s="40"/>
      <c r="K38" s="40"/>
      <c r="L38" s="178" t="s">
        <v>506</v>
      </c>
      <c r="M38" s="326"/>
      <c r="N38" s="30">
        <v>1</v>
      </c>
      <c r="O38" s="30">
        <v>50</v>
      </c>
      <c r="P38" s="179">
        <f>(O38/100)*N38</f>
        <v>0.5</v>
      </c>
      <c r="Q38" s="235">
        <f t="shared" si="15"/>
        <v>0.5</v>
      </c>
      <c r="R38" s="235">
        <f t="shared" si="16"/>
        <v>1.5</v>
      </c>
      <c r="S38" s="30" t="s">
        <v>280</v>
      </c>
      <c r="T38" s="38">
        <v>4</v>
      </c>
      <c r="U38" s="38">
        <v>50</v>
      </c>
      <c r="V38" s="191">
        <f>(U38/100)*T38</f>
        <v>2</v>
      </c>
      <c r="W38" s="237">
        <f t="shared" si="18"/>
        <v>2</v>
      </c>
      <c r="X38" s="237">
        <f t="shared" si="19"/>
        <v>6</v>
      </c>
      <c r="Y38" s="38" t="s">
        <v>1090</v>
      </c>
      <c r="Z38" s="11" t="s">
        <v>753</v>
      </c>
      <c r="AA38" s="11">
        <v>12</v>
      </c>
      <c r="AB38" s="32">
        <v>1.5</v>
      </c>
      <c r="AC38" s="32" t="s">
        <v>867</v>
      </c>
      <c r="AD38" s="198">
        <f t="shared" si="20"/>
        <v>18</v>
      </c>
      <c r="AE38" s="199">
        <f t="shared" si="21"/>
        <v>72</v>
      </c>
      <c r="AF38" s="199">
        <f t="shared" si="22"/>
        <v>162</v>
      </c>
      <c r="AG38" s="200">
        <v>3.5</v>
      </c>
      <c r="AH38" s="200">
        <v>4.25</v>
      </c>
      <c r="AI38" s="200">
        <v>5</v>
      </c>
      <c r="AJ38" s="201">
        <f t="shared" si="23"/>
        <v>63</v>
      </c>
      <c r="AK38" s="201">
        <f t="shared" si="24"/>
        <v>306</v>
      </c>
      <c r="AL38" s="201">
        <f t="shared" si="25"/>
        <v>810</v>
      </c>
      <c r="AM38" s="244">
        <f t="shared" si="28"/>
        <v>2</v>
      </c>
      <c r="AN38" s="244">
        <f t="shared" si="29"/>
        <v>5.8999999999999995</v>
      </c>
      <c r="AO38" s="244">
        <f t="shared" si="30"/>
        <v>8.1999999999999993</v>
      </c>
      <c r="AP38" s="244" t="e">
        <f t="shared" si="31"/>
        <v>#N/A</v>
      </c>
      <c r="AQ38" s="244">
        <f t="shared" si="32"/>
        <v>0.10999999999999999</v>
      </c>
      <c r="AR38" s="244">
        <f t="shared" si="33"/>
        <v>0.14000000000000001</v>
      </c>
      <c r="AS38" s="245">
        <f t="shared" si="34"/>
        <v>0.60000000000000009</v>
      </c>
      <c r="AT38" s="245">
        <f t="shared" si="35"/>
        <v>1.77</v>
      </c>
      <c r="AU38" s="245">
        <f t="shared" si="36"/>
        <v>2.46</v>
      </c>
      <c r="AV38" s="3" t="s">
        <v>932</v>
      </c>
      <c r="AW38" s="88">
        <f t="shared" si="26"/>
        <v>1.61</v>
      </c>
    </row>
    <row r="39" spans="1:49" x14ac:dyDescent="0.25">
      <c r="A39" s="107">
        <v>2069</v>
      </c>
      <c r="B39" s="369"/>
      <c r="C39" s="98" t="s">
        <v>334</v>
      </c>
      <c r="D39" s="98" t="s">
        <v>436</v>
      </c>
      <c r="E39" s="142" t="s">
        <v>50</v>
      </c>
      <c r="F39" s="40"/>
      <c r="G39" s="40"/>
      <c r="H39" s="40"/>
      <c r="I39" s="40"/>
      <c r="J39" s="40"/>
      <c r="K39" s="40"/>
      <c r="L39" s="178" t="s">
        <v>506</v>
      </c>
      <c r="M39" s="326"/>
      <c r="N39" s="30">
        <v>1</v>
      </c>
      <c r="O39" s="30">
        <v>50</v>
      </c>
      <c r="P39" s="179">
        <f>(O39/100)*N39</f>
        <v>0.5</v>
      </c>
      <c r="Q39" s="235">
        <f t="shared" si="15"/>
        <v>0.5</v>
      </c>
      <c r="R39" s="235">
        <f t="shared" si="16"/>
        <v>1.5</v>
      </c>
      <c r="S39" s="30" t="s">
        <v>506</v>
      </c>
      <c r="T39" s="38">
        <v>4</v>
      </c>
      <c r="U39" s="38">
        <v>50</v>
      </c>
      <c r="V39" s="191">
        <f>(U39/100)*T39</f>
        <v>2</v>
      </c>
      <c r="W39" s="237">
        <f t="shared" si="18"/>
        <v>2</v>
      </c>
      <c r="X39" s="237">
        <f t="shared" si="19"/>
        <v>6</v>
      </c>
      <c r="Y39" s="38" t="s">
        <v>1091</v>
      </c>
      <c r="Z39" s="11" t="s">
        <v>753</v>
      </c>
      <c r="AA39" s="11">
        <v>12</v>
      </c>
      <c r="AB39" s="32">
        <v>1</v>
      </c>
      <c r="AC39" s="32" t="s">
        <v>813</v>
      </c>
      <c r="AD39" s="198">
        <f t="shared" si="20"/>
        <v>12</v>
      </c>
      <c r="AE39" s="199">
        <f t="shared" si="21"/>
        <v>48</v>
      </c>
      <c r="AF39" s="199">
        <f t="shared" si="22"/>
        <v>108</v>
      </c>
      <c r="AG39" s="200">
        <v>2.9</v>
      </c>
      <c r="AH39" s="200">
        <v>3.75</v>
      </c>
      <c r="AI39" s="200">
        <v>4.5999999999999996</v>
      </c>
      <c r="AJ39" s="201">
        <f t="shared" si="23"/>
        <v>34.799999999999997</v>
      </c>
      <c r="AK39" s="201">
        <f t="shared" si="24"/>
        <v>180</v>
      </c>
      <c r="AL39" s="201">
        <f t="shared" si="25"/>
        <v>496.79999999999995</v>
      </c>
      <c r="AM39" s="244">
        <f t="shared" si="28"/>
        <v>1.2</v>
      </c>
      <c r="AN39" s="244">
        <f t="shared" si="29"/>
        <v>4.3</v>
      </c>
      <c r="AO39" s="244">
        <f t="shared" si="30"/>
        <v>6.8999999999999995</v>
      </c>
      <c r="AP39" s="244" t="e">
        <f t="shared" si="31"/>
        <v>#N/A</v>
      </c>
      <c r="AQ39" s="244">
        <f t="shared" si="32"/>
        <v>0.03</v>
      </c>
      <c r="AR39" s="244">
        <f t="shared" si="33"/>
        <v>0.12</v>
      </c>
      <c r="AS39" s="245">
        <f t="shared" si="34"/>
        <v>0.36</v>
      </c>
      <c r="AT39" s="245">
        <f t="shared" si="35"/>
        <v>1.29</v>
      </c>
      <c r="AU39" s="245">
        <f t="shared" si="36"/>
        <v>2.0699999999999998</v>
      </c>
      <c r="AV39" s="3" t="s">
        <v>932</v>
      </c>
      <c r="AW39" s="88">
        <f t="shared" si="26"/>
        <v>1.24</v>
      </c>
    </row>
    <row r="40" spans="1:49" x14ac:dyDescent="0.25">
      <c r="A40" s="107">
        <v>1984</v>
      </c>
      <c r="B40" s="367" t="s">
        <v>51</v>
      </c>
      <c r="C40" s="98" t="s">
        <v>576</v>
      </c>
      <c r="D40" s="98" t="s">
        <v>1014</v>
      </c>
      <c r="E40" s="142" t="s">
        <v>52</v>
      </c>
      <c r="F40" s="40"/>
      <c r="G40" s="40"/>
      <c r="H40" s="40"/>
      <c r="I40" s="40"/>
      <c r="J40" s="40"/>
      <c r="K40" s="40"/>
      <c r="L40" s="178" t="s">
        <v>736</v>
      </c>
      <c r="M40" s="326" t="s">
        <v>736</v>
      </c>
      <c r="N40" s="30">
        <v>3</v>
      </c>
      <c r="O40" s="30">
        <v>50</v>
      </c>
      <c r="P40" s="179">
        <f t="shared" si="27"/>
        <v>1.5</v>
      </c>
      <c r="Q40" s="235">
        <f t="shared" si="15"/>
        <v>1.5</v>
      </c>
      <c r="R40" s="235">
        <f t="shared" si="16"/>
        <v>4.5</v>
      </c>
      <c r="S40" s="30" t="s">
        <v>742</v>
      </c>
      <c r="T40" s="38">
        <v>2</v>
      </c>
      <c r="U40" s="38">
        <v>10</v>
      </c>
      <c r="V40" s="191">
        <f t="shared" si="17"/>
        <v>0.2</v>
      </c>
      <c r="W40" s="237">
        <f t="shared" si="18"/>
        <v>1.8</v>
      </c>
      <c r="X40" s="237">
        <f t="shared" si="19"/>
        <v>2.2000000000000002</v>
      </c>
      <c r="Y40" s="38" t="s">
        <v>1108</v>
      </c>
      <c r="Z40" s="11" t="s">
        <v>753</v>
      </c>
      <c r="AA40" s="11">
        <v>12</v>
      </c>
      <c r="AB40" s="32">
        <v>2</v>
      </c>
      <c r="AC40" s="32" t="s">
        <v>849</v>
      </c>
      <c r="AD40" s="198">
        <f t="shared" si="20"/>
        <v>64.8</v>
      </c>
      <c r="AE40" s="199">
        <f t="shared" si="21"/>
        <v>144</v>
      </c>
      <c r="AF40" s="199">
        <f t="shared" si="22"/>
        <v>237.60000000000002</v>
      </c>
      <c r="AG40" s="200">
        <v>3.2249999999999996</v>
      </c>
      <c r="AH40" s="200">
        <v>3.5</v>
      </c>
      <c r="AI40" s="200">
        <v>3.7750000000000004</v>
      </c>
      <c r="AJ40" s="201">
        <f t="shared" si="23"/>
        <v>208.97999999999996</v>
      </c>
      <c r="AK40" s="201">
        <f t="shared" si="24"/>
        <v>504</v>
      </c>
      <c r="AL40" s="201">
        <f t="shared" si="25"/>
        <v>896.94000000000017</v>
      </c>
      <c r="AM40" s="244">
        <f t="shared" si="28"/>
        <v>4.8</v>
      </c>
      <c r="AN40" s="244">
        <f t="shared" si="29"/>
        <v>6.8999999999999995</v>
      </c>
      <c r="AO40" s="244">
        <f t="shared" si="30"/>
        <v>8.4</v>
      </c>
      <c r="AP40" s="244">
        <f t="shared" si="31"/>
        <v>0.09</v>
      </c>
      <c r="AQ40" s="244">
        <f t="shared" si="32"/>
        <v>0.12</v>
      </c>
      <c r="AR40" s="244">
        <f t="shared" si="33"/>
        <v>0.14000000000000001</v>
      </c>
      <c r="AS40" s="245">
        <f t="shared" si="34"/>
        <v>1.44</v>
      </c>
      <c r="AT40" s="245">
        <f t="shared" si="35"/>
        <v>2.0699999999999998</v>
      </c>
      <c r="AU40" s="245">
        <f t="shared" si="36"/>
        <v>2.52</v>
      </c>
      <c r="AV40" s="3" t="s">
        <v>933</v>
      </c>
      <c r="AW40" s="88">
        <f t="shared" si="26"/>
        <v>2.0099999999999998</v>
      </c>
    </row>
    <row r="41" spans="1:49" x14ac:dyDescent="0.25">
      <c r="A41" s="107">
        <v>1988</v>
      </c>
      <c r="B41" s="368"/>
      <c r="C41" s="346" t="s">
        <v>575</v>
      </c>
      <c r="D41" s="346" t="s">
        <v>437</v>
      </c>
      <c r="E41" s="142" t="s">
        <v>54</v>
      </c>
      <c r="F41" s="40"/>
      <c r="G41" s="40"/>
      <c r="H41" s="40"/>
      <c r="I41" s="40"/>
      <c r="J41" s="40"/>
      <c r="K41" s="40"/>
      <c r="L41" s="178" t="s">
        <v>736</v>
      </c>
      <c r="M41" s="326" t="s">
        <v>736</v>
      </c>
      <c r="N41" s="30">
        <v>3</v>
      </c>
      <c r="O41" s="30">
        <v>50</v>
      </c>
      <c r="P41" s="179">
        <f t="shared" si="27"/>
        <v>1.5</v>
      </c>
      <c r="Q41" s="235">
        <f t="shared" si="15"/>
        <v>1.5</v>
      </c>
      <c r="R41" s="235">
        <f t="shared" si="16"/>
        <v>4.5</v>
      </c>
      <c r="S41" s="30" t="s">
        <v>742</v>
      </c>
      <c r="T41" s="38">
        <v>2</v>
      </c>
      <c r="U41" s="38">
        <v>10</v>
      </c>
      <c r="V41" s="191">
        <f t="shared" si="17"/>
        <v>0.2</v>
      </c>
      <c r="W41" s="237">
        <f t="shared" si="18"/>
        <v>1.8</v>
      </c>
      <c r="X41" s="237">
        <f t="shared" si="19"/>
        <v>2.2000000000000002</v>
      </c>
      <c r="Y41" s="38" t="s">
        <v>1109</v>
      </c>
      <c r="Z41" s="11" t="s">
        <v>753</v>
      </c>
      <c r="AA41" s="11">
        <v>12</v>
      </c>
      <c r="AB41" s="32">
        <v>2</v>
      </c>
      <c r="AC41" s="32" t="s">
        <v>849</v>
      </c>
      <c r="AD41" s="198">
        <f t="shared" si="20"/>
        <v>64.8</v>
      </c>
      <c r="AE41" s="199">
        <f t="shared" si="21"/>
        <v>144</v>
      </c>
      <c r="AF41" s="199">
        <f t="shared" si="22"/>
        <v>237.60000000000002</v>
      </c>
      <c r="AG41" s="200">
        <v>1.9624999999999999</v>
      </c>
      <c r="AH41" s="200">
        <v>2.3125</v>
      </c>
      <c r="AI41" s="200">
        <v>2.6625000000000001</v>
      </c>
      <c r="AJ41" s="201">
        <f t="shared" si="23"/>
        <v>127.16999999999999</v>
      </c>
      <c r="AK41" s="201">
        <f t="shared" si="24"/>
        <v>333</v>
      </c>
      <c r="AL41" s="201">
        <f t="shared" si="25"/>
        <v>632.61000000000013</v>
      </c>
      <c r="AM41" s="244">
        <f t="shared" si="28"/>
        <v>3.3000000000000003</v>
      </c>
      <c r="AN41" s="244">
        <f t="shared" si="29"/>
        <v>6.1</v>
      </c>
      <c r="AO41" s="244">
        <f t="shared" si="30"/>
        <v>7.4</v>
      </c>
      <c r="AP41" s="244">
        <f t="shared" si="31"/>
        <v>0.01</v>
      </c>
      <c r="AQ41" s="244">
        <f t="shared" si="32"/>
        <v>0.10999999999999999</v>
      </c>
      <c r="AR41" s="244">
        <f t="shared" si="33"/>
        <v>0.13</v>
      </c>
      <c r="AS41" s="245">
        <f t="shared" si="34"/>
        <v>0.99</v>
      </c>
      <c r="AT41" s="245">
        <f t="shared" si="35"/>
        <v>1.83</v>
      </c>
      <c r="AU41" s="245">
        <f t="shared" si="36"/>
        <v>2.2199999999999998</v>
      </c>
      <c r="AV41" s="3" t="s">
        <v>932</v>
      </c>
      <c r="AW41" s="88">
        <f t="shared" si="26"/>
        <v>1.68</v>
      </c>
    </row>
    <row r="42" spans="1:49" x14ac:dyDescent="0.25">
      <c r="A42" s="107">
        <v>2010</v>
      </c>
      <c r="B42" s="369"/>
      <c r="C42" s="98" t="s">
        <v>56</v>
      </c>
      <c r="D42" s="98" t="s">
        <v>438</v>
      </c>
      <c r="E42" s="142" t="s">
        <v>57</v>
      </c>
      <c r="F42" s="40"/>
      <c r="G42" s="40"/>
      <c r="H42" s="40"/>
      <c r="I42" s="40"/>
      <c r="J42" s="40"/>
      <c r="K42" s="40"/>
      <c r="L42" s="178" t="s">
        <v>736</v>
      </c>
      <c r="M42" s="326" t="s">
        <v>736</v>
      </c>
      <c r="N42" s="30">
        <v>3</v>
      </c>
      <c r="O42" s="30">
        <v>50</v>
      </c>
      <c r="P42" s="179">
        <f t="shared" si="27"/>
        <v>1.5</v>
      </c>
      <c r="Q42" s="235">
        <f t="shared" si="15"/>
        <v>1.5</v>
      </c>
      <c r="R42" s="235">
        <f t="shared" si="16"/>
        <v>4.5</v>
      </c>
      <c r="S42" s="30" t="s">
        <v>742</v>
      </c>
      <c r="T42" s="38">
        <v>2</v>
      </c>
      <c r="U42" s="38">
        <v>10</v>
      </c>
      <c r="V42" s="191">
        <f t="shared" si="17"/>
        <v>0.2</v>
      </c>
      <c r="W42" s="237">
        <f t="shared" si="18"/>
        <v>1.8</v>
      </c>
      <c r="X42" s="237">
        <f t="shared" si="19"/>
        <v>2.2000000000000002</v>
      </c>
      <c r="Y42" s="38" t="s">
        <v>1110</v>
      </c>
      <c r="Z42" s="11" t="s">
        <v>753</v>
      </c>
      <c r="AA42" s="11">
        <v>12</v>
      </c>
      <c r="AB42" s="32">
        <v>2</v>
      </c>
      <c r="AC42" s="32" t="s">
        <v>849</v>
      </c>
      <c r="AD42" s="198">
        <f t="shared" si="20"/>
        <v>64.8</v>
      </c>
      <c r="AE42" s="199">
        <f t="shared" si="21"/>
        <v>144</v>
      </c>
      <c r="AF42" s="199">
        <f t="shared" si="22"/>
        <v>237.60000000000002</v>
      </c>
      <c r="AG42" s="200">
        <v>2.7250000000000001</v>
      </c>
      <c r="AH42" s="200">
        <v>3.25</v>
      </c>
      <c r="AI42" s="200">
        <v>3.7750000000000004</v>
      </c>
      <c r="AJ42" s="201">
        <f t="shared" si="23"/>
        <v>176.57999999999998</v>
      </c>
      <c r="AK42" s="201">
        <f t="shared" si="24"/>
        <v>468</v>
      </c>
      <c r="AL42" s="201">
        <f t="shared" si="25"/>
        <v>896.94000000000017</v>
      </c>
      <c r="AM42" s="244">
        <f t="shared" si="28"/>
        <v>4.2</v>
      </c>
      <c r="AN42" s="244">
        <f t="shared" si="29"/>
        <v>6.7</v>
      </c>
      <c r="AO42" s="244">
        <f t="shared" si="30"/>
        <v>8.4</v>
      </c>
      <c r="AP42" s="244">
        <f t="shared" si="31"/>
        <v>0.03</v>
      </c>
      <c r="AQ42" s="244">
        <f t="shared" si="32"/>
        <v>0.12</v>
      </c>
      <c r="AR42" s="244">
        <f t="shared" si="33"/>
        <v>0.14000000000000001</v>
      </c>
      <c r="AS42" s="245">
        <f t="shared" si="34"/>
        <v>1.26</v>
      </c>
      <c r="AT42" s="245">
        <f t="shared" si="35"/>
        <v>2.0100000000000002</v>
      </c>
      <c r="AU42" s="245">
        <f t="shared" si="36"/>
        <v>2.52</v>
      </c>
      <c r="AV42" s="3" t="s">
        <v>933</v>
      </c>
      <c r="AW42" s="88">
        <f t="shared" si="26"/>
        <v>1.9300000000000004</v>
      </c>
    </row>
    <row r="43" spans="1:49" x14ac:dyDescent="0.25">
      <c r="A43" s="107">
        <v>3816</v>
      </c>
      <c r="B43" s="367" t="s">
        <v>135</v>
      </c>
      <c r="C43" s="98" t="s">
        <v>136</v>
      </c>
      <c r="D43" s="98" t="s">
        <v>504</v>
      </c>
      <c r="E43" s="142" t="s">
        <v>137</v>
      </c>
      <c r="F43" s="40"/>
      <c r="G43" s="40"/>
      <c r="H43" s="40"/>
      <c r="I43" s="40"/>
      <c r="J43" s="40"/>
      <c r="K43" s="40"/>
      <c r="L43" s="178">
        <v>27</v>
      </c>
      <c r="M43" s="326">
        <v>27</v>
      </c>
      <c r="N43" s="30">
        <v>3</v>
      </c>
      <c r="O43" s="30">
        <v>50</v>
      </c>
      <c r="P43" s="179">
        <f>(O43/100)*N43</f>
        <v>1.5</v>
      </c>
      <c r="Q43" s="235">
        <f t="shared" si="15"/>
        <v>1.5</v>
      </c>
      <c r="R43" s="235">
        <f t="shared" si="16"/>
        <v>4.5</v>
      </c>
      <c r="S43" s="30" t="s">
        <v>280</v>
      </c>
      <c r="T43" s="38">
        <v>2</v>
      </c>
      <c r="U43" s="38">
        <v>25</v>
      </c>
      <c r="V43" s="191">
        <f t="shared" si="17"/>
        <v>0.5</v>
      </c>
      <c r="W43" s="237">
        <f t="shared" si="18"/>
        <v>1.5</v>
      </c>
      <c r="X43" s="237">
        <f t="shared" si="19"/>
        <v>2.5</v>
      </c>
      <c r="Y43" s="38" t="s">
        <v>908</v>
      </c>
      <c r="Z43" s="11" t="s">
        <v>779</v>
      </c>
      <c r="AA43" s="11">
        <v>12</v>
      </c>
      <c r="AB43" s="32">
        <v>1</v>
      </c>
      <c r="AC43" s="32" t="s">
        <v>868</v>
      </c>
      <c r="AD43" s="198">
        <f t="shared" si="20"/>
        <v>27</v>
      </c>
      <c r="AE43" s="199">
        <f t="shared" si="21"/>
        <v>72</v>
      </c>
      <c r="AF43" s="199">
        <f t="shared" si="22"/>
        <v>135</v>
      </c>
      <c r="AG43" s="200">
        <v>1.6375</v>
      </c>
      <c r="AH43" s="200">
        <v>2.0625</v>
      </c>
      <c r="AI43" s="200">
        <v>2.4874999999999998</v>
      </c>
      <c r="AJ43" s="201">
        <f t="shared" si="23"/>
        <v>44.212499999999999</v>
      </c>
      <c r="AK43" s="201">
        <f t="shared" si="24"/>
        <v>148.5</v>
      </c>
      <c r="AL43" s="201">
        <f t="shared" si="25"/>
        <v>335.8125</v>
      </c>
      <c r="AM43" s="244">
        <f t="shared" si="28"/>
        <v>1.6</v>
      </c>
      <c r="AN43" s="244">
        <f t="shared" si="29"/>
        <v>3.9000000000000004</v>
      </c>
      <c r="AO43" s="244">
        <f t="shared" si="30"/>
        <v>6.2</v>
      </c>
      <c r="AP43" s="244" t="e">
        <f t="shared" si="31"/>
        <v>#N/A</v>
      </c>
      <c r="AQ43" s="244">
        <f t="shared" si="32"/>
        <v>0.03</v>
      </c>
      <c r="AR43" s="244">
        <f t="shared" si="33"/>
        <v>0.10999999999999999</v>
      </c>
      <c r="AS43" s="245">
        <f t="shared" si="34"/>
        <v>0.48</v>
      </c>
      <c r="AT43" s="245">
        <f t="shared" si="35"/>
        <v>1.17</v>
      </c>
      <c r="AU43" s="245">
        <f t="shared" si="36"/>
        <v>1.8599999999999999</v>
      </c>
      <c r="AV43" s="3" t="s">
        <v>932</v>
      </c>
      <c r="AW43" s="88">
        <f t="shared" si="26"/>
        <v>1.17</v>
      </c>
    </row>
    <row r="44" spans="1:49" x14ac:dyDescent="0.25">
      <c r="A44" s="107">
        <v>4137</v>
      </c>
      <c r="B44" s="369"/>
      <c r="C44" s="98" t="s">
        <v>589</v>
      </c>
      <c r="D44" s="98" t="s">
        <v>503</v>
      </c>
      <c r="E44" s="142" t="s">
        <v>139</v>
      </c>
      <c r="F44" s="40"/>
      <c r="G44" s="40"/>
      <c r="H44" s="40"/>
      <c r="I44" s="40"/>
      <c r="J44" s="40"/>
      <c r="K44" s="40"/>
      <c r="L44" s="178">
        <v>27</v>
      </c>
      <c r="M44" s="326">
        <v>27</v>
      </c>
      <c r="N44" s="30">
        <v>3</v>
      </c>
      <c r="O44" s="30">
        <v>50</v>
      </c>
      <c r="P44" s="179">
        <f>(O44/100)*N44</f>
        <v>1.5</v>
      </c>
      <c r="Q44" s="235">
        <f t="shared" si="15"/>
        <v>1.5</v>
      </c>
      <c r="R44" s="235">
        <f t="shared" si="16"/>
        <v>4.5</v>
      </c>
      <c r="S44" s="30" t="s">
        <v>280</v>
      </c>
      <c r="T44" s="38">
        <v>2</v>
      </c>
      <c r="U44" s="38">
        <v>25</v>
      </c>
      <c r="V44" s="191">
        <f t="shared" si="17"/>
        <v>0.5</v>
      </c>
      <c r="W44" s="237">
        <f t="shared" si="18"/>
        <v>1.5</v>
      </c>
      <c r="X44" s="237">
        <f t="shared" si="19"/>
        <v>2.5</v>
      </c>
      <c r="Y44" s="38" t="s">
        <v>814</v>
      </c>
      <c r="Z44" s="11" t="s">
        <v>753</v>
      </c>
      <c r="AA44" s="11">
        <v>12</v>
      </c>
      <c r="AB44" s="32">
        <v>1</v>
      </c>
      <c r="AC44" s="32" t="s">
        <v>869</v>
      </c>
      <c r="AD44" s="198">
        <f t="shared" si="20"/>
        <v>27</v>
      </c>
      <c r="AE44" s="199">
        <f t="shared" si="21"/>
        <v>72</v>
      </c>
      <c r="AF44" s="199">
        <f t="shared" si="22"/>
        <v>135</v>
      </c>
      <c r="AG44" s="200">
        <v>1.4125000000000001</v>
      </c>
      <c r="AH44" s="200">
        <v>1.8125</v>
      </c>
      <c r="AI44" s="200">
        <v>2.2124999999999999</v>
      </c>
      <c r="AJ44" s="201">
        <f t="shared" si="23"/>
        <v>38.137500000000003</v>
      </c>
      <c r="AK44" s="201">
        <f t="shared" si="24"/>
        <v>130.5</v>
      </c>
      <c r="AL44" s="201">
        <f t="shared" si="25"/>
        <v>298.6875</v>
      </c>
      <c r="AM44" s="244">
        <f t="shared" si="28"/>
        <v>1.4000000000000001</v>
      </c>
      <c r="AN44" s="244">
        <f t="shared" si="29"/>
        <v>3.4000000000000004</v>
      </c>
      <c r="AO44" s="244">
        <f t="shared" si="30"/>
        <v>5.8999999999999995</v>
      </c>
      <c r="AP44" s="244" t="e">
        <f t="shared" si="31"/>
        <v>#N/A</v>
      </c>
      <c r="AQ44" s="244">
        <f t="shared" si="32"/>
        <v>0.02</v>
      </c>
      <c r="AR44" s="244">
        <f t="shared" si="33"/>
        <v>0.10999999999999999</v>
      </c>
      <c r="AS44" s="245">
        <f t="shared" si="34"/>
        <v>0.42000000000000004</v>
      </c>
      <c r="AT44" s="245">
        <f t="shared" si="35"/>
        <v>1.02</v>
      </c>
      <c r="AU44" s="245">
        <f t="shared" si="36"/>
        <v>1.77</v>
      </c>
      <c r="AV44" s="3" t="s">
        <v>932</v>
      </c>
      <c r="AW44" s="88">
        <f t="shared" si="26"/>
        <v>1.07</v>
      </c>
    </row>
    <row r="45" spans="1:49" x14ac:dyDescent="0.25">
      <c r="A45" s="120">
        <v>4264</v>
      </c>
      <c r="B45" s="363" t="s">
        <v>69</v>
      </c>
      <c r="C45" s="80" t="s">
        <v>263</v>
      </c>
      <c r="D45" s="80" t="s">
        <v>487</v>
      </c>
      <c r="E45" s="142" t="s">
        <v>70</v>
      </c>
      <c r="F45" s="40"/>
      <c r="G45" s="40"/>
      <c r="H45" s="40"/>
      <c r="I45" s="40"/>
      <c r="J45" s="40"/>
      <c r="K45" s="40"/>
      <c r="L45" s="178" t="s">
        <v>739</v>
      </c>
      <c r="M45" s="326" t="s">
        <v>739</v>
      </c>
      <c r="N45" s="30">
        <v>3</v>
      </c>
      <c r="O45" s="30">
        <v>50</v>
      </c>
      <c r="P45" s="179">
        <f t="shared" si="27"/>
        <v>1.5</v>
      </c>
      <c r="Q45" s="235">
        <f t="shared" si="15"/>
        <v>1.5</v>
      </c>
      <c r="R45" s="235">
        <f t="shared" si="16"/>
        <v>4.5</v>
      </c>
      <c r="S45" s="30" t="s">
        <v>1008</v>
      </c>
      <c r="T45" s="38">
        <v>2</v>
      </c>
      <c r="U45" s="38">
        <v>10</v>
      </c>
      <c r="V45" s="191">
        <f t="shared" si="17"/>
        <v>0.2</v>
      </c>
      <c r="W45" s="237">
        <f t="shared" si="18"/>
        <v>1.8</v>
      </c>
      <c r="X45" s="237">
        <f t="shared" si="19"/>
        <v>2.2000000000000002</v>
      </c>
      <c r="Y45" s="38" t="s">
        <v>850</v>
      </c>
      <c r="Z45" s="11" t="s">
        <v>795</v>
      </c>
      <c r="AA45" s="11">
        <v>8</v>
      </c>
      <c r="AB45" s="32">
        <v>1</v>
      </c>
      <c r="AC45" s="32" t="s">
        <v>842</v>
      </c>
      <c r="AD45" s="198">
        <f t="shared" si="20"/>
        <v>21.6</v>
      </c>
      <c r="AE45" s="199">
        <f t="shared" si="21"/>
        <v>48</v>
      </c>
      <c r="AF45" s="199">
        <f t="shared" si="22"/>
        <v>79.2</v>
      </c>
      <c r="AG45" s="200">
        <v>1.4875</v>
      </c>
      <c r="AH45" s="200">
        <v>2.0625</v>
      </c>
      <c r="AI45" s="200">
        <v>2.6375000000000002</v>
      </c>
      <c r="AJ45" s="201">
        <f t="shared" si="23"/>
        <v>32.130000000000003</v>
      </c>
      <c r="AK45" s="201">
        <f t="shared" si="24"/>
        <v>99</v>
      </c>
      <c r="AL45" s="201">
        <f t="shared" si="25"/>
        <v>208.89000000000001</v>
      </c>
      <c r="AM45" s="244">
        <f t="shared" si="28"/>
        <v>1</v>
      </c>
      <c r="AN45" s="244">
        <f t="shared" si="29"/>
        <v>2.8000000000000003</v>
      </c>
      <c r="AO45" s="244">
        <f t="shared" si="30"/>
        <v>4.6999999999999993</v>
      </c>
      <c r="AP45" s="244" t="e">
        <f t="shared" si="31"/>
        <v>#N/A</v>
      </c>
      <c r="AQ45" s="244">
        <f t="shared" si="32"/>
        <v>0</v>
      </c>
      <c r="AR45" s="244">
        <f t="shared" si="33"/>
        <v>0.09</v>
      </c>
      <c r="AS45" s="245">
        <f t="shared" si="34"/>
        <v>0.30000000000000004</v>
      </c>
      <c r="AT45" s="245">
        <f t="shared" si="35"/>
        <v>0.84000000000000008</v>
      </c>
      <c r="AU45" s="245">
        <f t="shared" si="36"/>
        <v>1.41</v>
      </c>
      <c r="AV45" s="3" t="s">
        <v>931</v>
      </c>
      <c r="AW45" s="88">
        <f t="shared" si="26"/>
        <v>0.85</v>
      </c>
    </row>
    <row r="46" spans="1:49" x14ac:dyDescent="0.25">
      <c r="A46" s="120">
        <v>4276</v>
      </c>
      <c r="B46" s="364"/>
      <c r="C46" s="80" t="s">
        <v>579</v>
      </c>
      <c r="D46" s="80" t="s">
        <v>488</v>
      </c>
      <c r="E46" s="142" t="s">
        <v>72</v>
      </c>
      <c r="F46" s="40"/>
      <c r="G46" s="40"/>
      <c r="H46" s="40"/>
      <c r="I46" s="40"/>
      <c r="J46" s="40"/>
      <c r="K46" s="40"/>
      <c r="L46" s="178" t="s">
        <v>739</v>
      </c>
      <c r="M46" s="326" t="s">
        <v>739</v>
      </c>
      <c r="N46" s="30">
        <v>3</v>
      </c>
      <c r="O46" s="30">
        <v>50</v>
      </c>
      <c r="P46" s="179">
        <f t="shared" si="27"/>
        <v>1.5</v>
      </c>
      <c r="Q46" s="235">
        <f t="shared" si="15"/>
        <v>1.5</v>
      </c>
      <c r="R46" s="235">
        <f t="shared" si="16"/>
        <v>4.5</v>
      </c>
      <c r="S46" s="30" t="s">
        <v>1008</v>
      </c>
      <c r="T46" s="38">
        <v>2</v>
      </c>
      <c r="U46" s="38">
        <v>25</v>
      </c>
      <c r="V46" s="191">
        <f t="shared" si="17"/>
        <v>0.5</v>
      </c>
      <c r="W46" s="237">
        <f t="shared" si="18"/>
        <v>1.5</v>
      </c>
      <c r="X46" s="237">
        <f t="shared" si="19"/>
        <v>2.5</v>
      </c>
      <c r="Y46" s="38" t="s">
        <v>815</v>
      </c>
      <c r="Z46" s="11" t="s">
        <v>753</v>
      </c>
      <c r="AA46" s="11">
        <v>12</v>
      </c>
      <c r="AB46" s="32">
        <v>1</v>
      </c>
      <c r="AC46" s="32" t="s">
        <v>870</v>
      </c>
      <c r="AD46" s="198">
        <f t="shared" si="20"/>
        <v>27</v>
      </c>
      <c r="AE46" s="199">
        <f t="shared" si="21"/>
        <v>72</v>
      </c>
      <c r="AF46" s="199">
        <f t="shared" si="22"/>
        <v>135</v>
      </c>
      <c r="AG46" s="200">
        <v>1.9375</v>
      </c>
      <c r="AH46" s="200">
        <v>3.0625</v>
      </c>
      <c r="AI46" s="200">
        <v>4.1875</v>
      </c>
      <c r="AJ46" s="201">
        <f t="shared" si="23"/>
        <v>52.3125</v>
      </c>
      <c r="AK46" s="201">
        <f t="shared" si="24"/>
        <v>220.5</v>
      </c>
      <c r="AL46" s="201">
        <f t="shared" si="25"/>
        <v>565.3125</v>
      </c>
      <c r="AM46" s="244">
        <f t="shared" si="28"/>
        <v>1.7999999999999998</v>
      </c>
      <c r="AN46" s="244">
        <f t="shared" si="29"/>
        <v>5</v>
      </c>
      <c r="AO46" s="244">
        <f t="shared" si="30"/>
        <v>7.1999999999999993</v>
      </c>
      <c r="AP46" s="244" t="e">
        <f t="shared" si="31"/>
        <v>#N/A</v>
      </c>
      <c r="AQ46" s="244">
        <f t="shared" si="32"/>
        <v>0.09</v>
      </c>
      <c r="AR46" s="244">
        <f t="shared" si="33"/>
        <v>0.13</v>
      </c>
      <c r="AS46" s="245">
        <f t="shared" si="34"/>
        <v>0.54</v>
      </c>
      <c r="AT46" s="245">
        <f t="shared" si="35"/>
        <v>1.5</v>
      </c>
      <c r="AU46" s="245">
        <f t="shared" si="36"/>
        <v>2.16</v>
      </c>
      <c r="AV46" s="3" t="s">
        <v>932</v>
      </c>
      <c r="AW46" s="88">
        <f t="shared" si="26"/>
        <v>1.4000000000000001</v>
      </c>
    </row>
    <row r="47" spans="1:49" x14ac:dyDescent="0.25">
      <c r="A47" s="120">
        <v>4269</v>
      </c>
      <c r="B47" s="364"/>
      <c r="C47" s="80" t="s">
        <v>580</v>
      </c>
      <c r="D47" s="80" t="s">
        <v>489</v>
      </c>
      <c r="E47" s="142" t="s">
        <v>74</v>
      </c>
      <c r="F47" s="40"/>
      <c r="G47" s="40"/>
      <c r="H47" s="40"/>
      <c r="I47" s="40"/>
      <c r="J47" s="40"/>
      <c r="K47" s="40"/>
      <c r="L47" s="178" t="s">
        <v>739</v>
      </c>
      <c r="M47" s="326" t="s">
        <v>739</v>
      </c>
      <c r="N47" s="30">
        <v>3</v>
      </c>
      <c r="O47" s="30">
        <v>50</v>
      </c>
      <c r="P47" s="179">
        <f t="shared" si="27"/>
        <v>1.5</v>
      </c>
      <c r="Q47" s="235">
        <f t="shared" si="15"/>
        <v>1.5</v>
      </c>
      <c r="R47" s="235">
        <f t="shared" si="16"/>
        <v>4.5</v>
      </c>
      <c r="S47" s="30" t="s">
        <v>1008</v>
      </c>
      <c r="T47" s="38">
        <v>2</v>
      </c>
      <c r="U47" s="38">
        <v>25</v>
      </c>
      <c r="V47" s="191">
        <f t="shared" si="17"/>
        <v>0.5</v>
      </c>
      <c r="W47" s="237">
        <f t="shared" si="18"/>
        <v>1.5</v>
      </c>
      <c r="X47" s="237">
        <f t="shared" si="19"/>
        <v>2.5</v>
      </c>
      <c r="Y47" s="38" t="s">
        <v>909</v>
      </c>
      <c r="Z47" s="11" t="s">
        <v>767</v>
      </c>
      <c r="AA47" s="11">
        <v>7</v>
      </c>
      <c r="AB47" s="32">
        <v>1</v>
      </c>
      <c r="AC47" s="32" t="s">
        <v>871</v>
      </c>
      <c r="AD47" s="198">
        <f t="shared" si="20"/>
        <v>15.75</v>
      </c>
      <c r="AE47" s="199">
        <f t="shared" si="21"/>
        <v>42</v>
      </c>
      <c r="AF47" s="199">
        <f t="shared" si="22"/>
        <v>78.75</v>
      </c>
      <c r="AG47" s="200">
        <v>1.8125</v>
      </c>
      <c r="AH47" s="200">
        <v>2.3125</v>
      </c>
      <c r="AI47" s="200">
        <v>2.8125</v>
      </c>
      <c r="AJ47" s="201">
        <f t="shared" si="23"/>
        <v>28.546875</v>
      </c>
      <c r="AK47" s="201">
        <f t="shared" si="24"/>
        <v>97.125</v>
      </c>
      <c r="AL47" s="201">
        <f t="shared" si="25"/>
        <v>221.484375</v>
      </c>
      <c r="AM47" s="244">
        <f t="shared" si="28"/>
        <v>0.8</v>
      </c>
      <c r="AN47" s="244">
        <f t="shared" si="29"/>
        <v>2.7</v>
      </c>
      <c r="AO47" s="244">
        <f t="shared" si="30"/>
        <v>5</v>
      </c>
      <c r="AP47" s="244" t="e">
        <f t="shared" si="31"/>
        <v>#N/A</v>
      </c>
      <c r="AQ47" s="244">
        <f t="shared" si="32"/>
        <v>0</v>
      </c>
      <c r="AR47" s="244">
        <f t="shared" si="33"/>
        <v>0.09</v>
      </c>
      <c r="AS47" s="245">
        <f t="shared" si="34"/>
        <v>0.24</v>
      </c>
      <c r="AT47" s="245">
        <f t="shared" si="35"/>
        <v>0.81</v>
      </c>
      <c r="AU47" s="245">
        <f t="shared" si="36"/>
        <v>1.5</v>
      </c>
      <c r="AV47" s="3" t="s">
        <v>931</v>
      </c>
      <c r="AW47" s="88">
        <f t="shared" si="26"/>
        <v>0.85</v>
      </c>
    </row>
    <row r="48" spans="1:49" x14ac:dyDescent="0.25">
      <c r="A48" s="120">
        <v>4325</v>
      </c>
      <c r="B48" s="364"/>
      <c r="C48" s="80" t="s">
        <v>76</v>
      </c>
      <c r="D48" s="80" t="s">
        <v>441</v>
      </c>
      <c r="E48" s="142" t="s">
        <v>77</v>
      </c>
      <c r="F48" s="40"/>
      <c r="G48" s="40"/>
      <c r="H48" s="40"/>
      <c r="I48" s="40"/>
      <c r="J48" s="40"/>
      <c r="K48" s="40"/>
      <c r="L48" s="178" t="s">
        <v>739</v>
      </c>
      <c r="M48" s="326" t="s">
        <v>739</v>
      </c>
      <c r="N48" s="30">
        <v>3</v>
      </c>
      <c r="O48" s="30">
        <v>50</v>
      </c>
      <c r="P48" s="179">
        <f t="shared" si="27"/>
        <v>1.5</v>
      </c>
      <c r="Q48" s="235">
        <f t="shared" si="15"/>
        <v>1.5</v>
      </c>
      <c r="R48" s="235">
        <f t="shared" si="16"/>
        <v>4.5</v>
      </c>
      <c r="S48" s="30" t="s">
        <v>1008</v>
      </c>
      <c r="T48" s="38">
        <v>1</v>
      </c>
      <c r="U48" s="38">
        <v>50</v>
      </c>
      <c r="V48" s="191">
        <f t="shared" si="17"/>
        <v>0.5</v>
      </c>
      <c r="W48" s="237">
        <f t="shared" si="18"/>
        <v>0.5</v>
      </c>
      <c r="X48" s="237">
        <f t="shared" si="19"/>
        <v>1.5</v>
      </c>
      <c r="Y48" s="38" t="s">
        <v>1111</v>
      </c>
      <c r="Z48" s="11" t="s">
        <v>753</v>
      </c>
      <c r="AA48" s="11">
        <v>12</v>
      </c>
      <c r="AB48" s="32">
        <v>1.5</v>
      </c>
      <c r="AC48" s="32" t="s">
        <v>872</v>
      </c>
      <c r="AD48" s="198">
        <f t="shared" si="20"/>
        <v>13.5</v>
      </c>
      <c r="AE48" s="199">
        <f t="shared" si="21"/>
        <v>54</v>
      </c>
      <c r="AF48" s="199">
        <f t="shared" si="22"/>
        <v>121.5</v>
      </c>
      <c r="AG48" s="200">
        <v>2.1124999999999998</v>
      </c>
      <c r="AH48" s="200">
        <v>2.75</v>
      </c>
      <c r="AI48" s="200">
        <v>3.3875000000000002</v>
      </c>
      <c r="AJ48" s="201">
        <f t="shared" si="23"/>
        <v>28.518749999999997</v>
      </c>
      <c r="AK48" s="201">
        <f t="shared" si="24"/>
        <v>148.5</v>
      </c>
      <c r="AL48" s="201">
        <f t="shared" si="25"/>
        <v>411.58125000000001</v>
      </c>
      <c r="AM48" s="244">
        <f t="shared" si="28"/>
        <v>0.8</v>
      </c>
      <c r="AN48" s="244">
        <f t="shared" si="29"/>
        <v>3.9000000000000004</v>
      </c>
      <c r="AO48" s="244">
        <f t="shared" si="30"/>
        <v>6.6000000000000005</v>
      </c>
      <c r="AP48" s="244" t="e">
        <f t="shared" si="31"/>
        <v>#N/A</v>
      </c>
      <c r="AQ48" s="244">
        <f t="shared" si="32"/>
        <v>0.03</v>
      </c>
      <c r="AR48" s="244">
        <f t="shared" si="33"/>
        <v>0.12</v>
      </c>
      <c r="AS48" s="245">
        <f t="shared" si="34"/>
        <v>0.24</v>
      </c>
      <c r="AT48" s="245">
        <f t="shared" si="35"/>
        <v>1.17</v>
      </c>
      <c r="AU48" s="245">
        <f t="shared" si="36"/>
        <v>1.98</v>
      </c>
      <c r="AV48" s="3" t="s">
        <v>932</v>
      </c>
      <c r="AW48" s="88">
        <f t="shared" si="26"/>
        <v>1.1299999999999999</v>
      </c>
    </row>
    <row r="49" spans="1:49" x14ac:dyDescent="0.25">
      <c r="A49" s="120">
        <v>4313</v>
      </c>
      <c r="B49" s="364"/>
      <c r="C49" s="80" t="s">
        <v>581</v>
      </c>
      <c r="D49" s="80" t="s">
        <v>439</v>
      </c>
      <c r="E49" s="142" t="s">
        <v>78</v>
      </c>
      <c r="F49" s="40"/>
      <c r="G49" s="40"/>
      <c r="H49" s="40"/>
      <c r="I49" s="40"/>
      <c r="J49" s="40"/>
      <c r="K49" s="40"/>
      <c r="L49" s="178" t="s">
        <v>739</v>
      </c>
      <c r="M49" s="326" t="s">
        <v>739</v>
      </c>
      <c r="N49" s="30">
        <v>3</v>
      </c>
      <c r="O49" s="30">
        <v>50</v>
      </c>
      <c r="P49" s="179">
        <f t="shared" si="27"/>
        <v>1.5</v>
      </c>
      <c r="Q49" s="235">
        <f t="shared" si="15"/>
        <v>1.5</v>
      </c>
      <c r="R49" s="235">
        <f t="shared" si="16"/>
        <v>4.5</v>
      </c>
      <c r="S49" s="30" t="s">
        <v>1008</v>
      </c>
      <c r="T49" s="38">
        <v>1</v>
      </c>
      <c r="U49" s="38">
        <v>50</v>
      </c>
      <c r="V49" s="191">
        <f t="shared" si="17"/>
        <v>0.5</v>
      </c>
      <c r="W49" s="237">
        <f t="shared" si="18"/>
        <v>0.5</v>
      </c>
      <c r="X49" s="237">
        <f t="shared" si="19"/>
        <v>1.5</v>
      </c>
      <c r="Y49" s="38" t="s">
        <v>1112</v>
      </c>
      <c r="Z49" s="11" t="s">
        <v>753</v>
      </c>
      <c r="AA49" s="11">
        <v>12</v>
      </c>
      <c r="AB49" s="32">
        <v>1</v>
      </c>
      <c r="AC49" s="32" t="s">
        <v>873</v>
      </c>
      <c r="AD49" s="198">
        <f t="shared" si="20"/>
        <v>9</v>
      </c>
      <c r="AE49" s="199">
        <f t="shared" si="21"/>
        <v>36</v>
      </c>
      <c r="AF49" s="199">
        <f t="shared" si="22"/>
        <v>81</v>
      </c>
      <c r="AG49" s="200">
        <v>2.1749999999999998</v>
      </c>
      <c r="AH49" s="200">
        <v>3</v>
      </c>
      <c r="AI49" s="200">
        <v>3.8250000000000002</v>
      </c>
      <c r="AJ49" s="201">
        <f t="shared" si="23"/>
        <v>19.574999999999999</v>
      </c>
      <c r="AK49" s="201">
        <f t="shared" si="24"/>
        <v>108</v>
      </c>
      <c r="AL49" s="201">
        <f t="shared" si="25"/>
        <v>309.82499999999999</v>
      </c>
      <c r="AM49" s="244">
        <f t="shared" si="28"/>
        <v>0.6</v>
      </c>
      <c r="AN49" s="244">
        <f t="shared" si="29"/>
        <v>2.9</v>
      </c>
      <c r="AO49" s="244">
        <f t="shared" si="30"/>
        <v>6</v>
      </c>
      <c r="AP49" s="244" t="e">
        <f t="shared" si="31"/>
        <v>#N/A</v>
      </c>
      <c r="AQ49" s="244">
        <f t="shared" si="32"/>
        <v>0.01</v>
      </c>
      <c r="AR49" s="244">
        <f t="shared" si="33"/>
        <v>0.10999999999999999</v>
      </c>
      <c r="AS49" s="245">
        <f t="shared" si="34"/>
        <v>0.18</v>
      </c>
      <c r="AT49" s="245">
        <f t="shared" si="35"/>
        <v>0.86999999999999988</v>
      </c>
      <c r="AU49" s="245">
        <f t="shared" si="36"/>
        <v>1.7999999999999998</v>
      </c>
      <c r="AV49" s="3" t="s">
        <v>931</v>
      </c>
      <c r="AW49" s="88">
        <f t="shared" si="26"/>
        <v>0.94999999999999984</v>
      </c>
    </row>
    <row r="50" spans="1:49" x14ac:dyDescent="0.25">
      <c r="A50" s="120">
        <v>4318</v>
      </c>
      <c r="B50" s="364"/>
      <c r="C50" s="80" t="s">
        <v>79</v>
      </c>
      <c r="D50" s="80" t="s">
        <v>490</v>
      </c>
      <c r="E50" s="142" t="s">
        <v>80</v>
      </c>
      <c r="F50" s="40"/>
      <c r="G50" s="40"/>
      <c r="H50" s="40"/>
      <c r="I50" s="40"/>
      <c r="J50" s="40"/>
      <c r="K50" s="40"/>
      <c r="L50" s="178" t="s">
        <v>739</v>
      </c>
      <c r="M50" s="326" t="s">
        <v>739</v>
      </c>
      <c r="N50" s="30">
        <v>3</v>
      </c>
      <c r="O50" s="30">
        <v>50</v>
      </c>
      <c r="P50" s="179">
        <f t="shared" si="27"/>
        <v>1.5</v>
      </c>
      <c r="Q50" s="235">
        <f t="shared" si="15"/>
        <v>1.5</v>
      </c>
      <c r="R50" s="235">
        <f t="shared" si="16"/>
        <v>4.5</v>
      </c>
      <c r="S50" s="30" t="s">
        <v>1008</v>
      </c>
      <c r="T50" s="38">
        <v>1</v>
      </c>
      <c r="U50" s="38">
        <v>50</v>
      </c>
      <c r="V50" s="191">
        <f t="shared" si="17"/>
        <v>0.5</v>
      </c>
      <c r="W50" s="237">
        <f t="shared" si="18"/>
        <v>0.5</v>
      </c>
      <c r="X50" s="237">
        <f t="shared" si="19"/>
        <v>1.5</v>
      </c>
      <c r="Y50" s="38" t="s">
        <v>1113</v>
      </c>
      <c r="Z50" s="11" t="s">
        <v>782</v>
      </c>
      <c r="AA50" s="11">
        <v>6</v>
      </c>
      <c r="AB50" s="32">
        <v>1</v>
      </c>
      <c r="AC50" s="32" t="s">
        <v>874</v>
      </c>
      <c r="AD50" s="198">
        <f t="shared" si="20"/>
        <v>4.5</v>
      </c>
      <c r="AE50" s="199">
        <f t="shared" si="21"/>
        <v>18</v>
      </c>
      <c r="AF50" s="199">
        <f t="shared" si="22"/>
        <v>40.5</v>
      </c>
      <c r="AG50" s="200">
        <v>1</v>
      </c>
      <c r="AH50" s="200">
        <v>1.5625</v>
      </c>
      <c r="AI50" s="200">
        <v>2.125</v>
      </c>
      <c r="AJ50" s="201">
        <f t="shared" si="23"/>
        <v>4.5</v>
      </c>
      <c r="AK50" s="201">
        <f t="shared" si="24"/>
        <v>28.125</v>
      </c>
      <c r="AL50" s="201">
        <f t="shared" si="25"/>
        <v>86.0625</v>
      </c>
      <c r="AM50" s="244">
        <f t="shared" si="28"/>
        <v>0</v>
      </c>
      <c r="AN50" s="244">
        <f t="shared" si="29"/>
        <v>0.70000000000000007</v>
      </c>
      <c r="AO50" s="244">
        <f t="shared" si="30"/>
        <v>2.5</v>
      </c>
      <c r="AP50" s="244" t="e">
        <f t="shared" si="31"/>
        <v>#N/A</v>
      </c>
      <c r="AQ50" s="244" t="e">
        <f t="shared" si="32"/>
        <v>#N/A</v>
      </c>
      <c r="AR50" s="244">
        <f t="shared" si="33"/>
        <v>0</v>
      </c>
      <c r="AS50" s="245">
        <f t="shared" si="34"/>
        <v>0</v>
      </c>
      <c r="AT50" s="245">
        <f t="shared" si="35"/>
        <v>0.21000000000000002</v>
      </c>
      <c r="AU50" s="245">
        <f t="shared" si="36"/>
        <v>0.75</v>
      </c>
      <c r="AV50" s="3" t="s">
        <v>931</v>
      </c>
      <c r="AW50" s="88">
        <f t="shared" si="26"/>
        <v>0.32</v>
      </c>
    </row>
    <row r="51" spans="1:49" x14ac:dyDescent="0.25">
      <c r="A51" s="120">
        <v>4319</v>
      </c>
      <c r="B51" s="364"/>
      <c r="C51" s="80" t="s">
        <v>582</v>
      </c>
      <c r="D51" s="80" t="s">
        <v>440</v>
      </c>
      <c r="E51" s="142" t="s">
        <v>82</v>
      </c>
      <c r="F51" s="40"/>
      <c r="G51" s="40"/>
      <c r="H51" s="40"/>
      <c r="I51" s="40"/>
      <c r="J51" s="40"/>
      <c r="K51" s="40"/>
      <c r="L51" s="178" t="s">
        <v>739</v>
      </c>
      <c r="M51" s="326" t="s">
        <v>739</v>
      </c>
      <c r="N51" s="30">
        <v>3</v>
      </c>
      <c r="O51" s="30">
        <v>50</v>
      </c>
      <c r="P51" s="179">
        <f t="shared" si="27"/>
        <v>1.5</v>
      </c>
      <c r="Q51" s="235">
        <f t="shared" si="15"/>
        <v>1.5</v>
      </c>
      <c r="R51" s="235">
        <f t="shared" si="16"/>
        <v>4.5</v>
      </c>
      <c r="S51" s="30" t="s">
        <v>1008</v>
      </c>
      <c r="T51" s="38">
        <v>1</v>
      </c>
      <c r="U51" s="38">
        <v>50</v>
      </c>
      <c r="V51" s="191">
        <f t="shared" si="17"/>
        <v>0.5</v>
      </c>
      <c r="W51" s="237">
        <f t="shared" si="18"/>
        <v>0.5</v>
      </c>
      <c r="X51" s="237">
        <f t="shared" si="19"/>
        <v>1.5</v>
      </c>
      <c r="Y51" s="38" t="s">
        <v>1114</v>
      </c>
      <c r="Z51" s="11" t="s">
        <v>753</v>
      </c>
      <c r="AA51" s="11">
        <v>12</v>
      </c>
      <c r="AB51" s="32">
        <v>1.5</v>
      </c>
      <c r="AC51" s="32" t="s">
        <v>875</v>
      </c>
      <c r="AD51" s="198">
        <f t="shared" si="20"/>
        <v>13.5</v>
      </c>
      <c r="AE51" s="199">
        <f t="shared" si="21"/>
        <v>54</v>
      </c>
      <c r="AF51" s="199">
        <f t="shared" si="22"/>
        <v>121.5</v>
      </c>
      <c r="AG51" s="200">
        <v>1.7</v>
      </c>
      <c r="AH51" s="200">
        <v>2.0625</v>
      </c>
      <c r="AI51" s="200">
        <v>2.4249999999999998</v>
      </c>
      <c r="AJ51" s="201">
        <f t="shared" si="23"/>
        <v>22.95</v>
      </c>
      <c r="AK51" s="201">
        <f t="shared" si="24"/>
        <v>111.375</v>
      </c>
      <c r="AL51" s="201">
        <f t="shared" si="25"/>
        <v>294.63749999999999</v>
      </c>
      <c r="AM51" s="244">
        <f t="shared" si="28"/>
        <v>0.6</v>
      </c>
      <c r="AN51" s="244">
        <f t="shared" si="29"/>
        <v>3</v>
      </c>
      <c r="AO51" s="244">
        <f t="shared" si="30"/>
        <v>5.8</v>
      </c>
      <c r="AP51" s="244" t="e">
        <f t="shared" si="31"/>
        <v>#N/A</v>
      </c>
      <c r="AQ51" s="244">
        <f t="shared" si="32"/>
        <v>0.01</v>
      </c>
      <c r="AR51" s="244">
        <f t="shared" si="33"/>
        <v>0.10999999999999999</v>
      </c>
      <c r="AS51" s="245">
        <f t="shared" si="34"/>
        <v>0.18</v>
      </c>
      <c r="AT51" s="245">
        <f t="shared" si="35"/>
        <v>0.89999999999999991</v>
      </c>
      <c r="AU51" s="245">
        <f t="shared" si="36"/>
        <v>1.7399999999999998</v>
      </c>
      <c r="AV51" s="3" t="s">
        <v>931</v>
      </c>
      <c r="AW51" s="88">
        <f t="shared" si="26"/>
        <v>0.93999999999999984</v>
      </c>
    </row>
    <row r="52" spans="1:49" x14ac:dyDescent="0.25">
      <c r="A52" s="120">
        <v>4329</v>
      </c>
      <c r="B52" s="364"/>
      <c r="C52" s="80" t="s">
        <v>83</v>
      </c>
      <c r="D52" s="80" t="s">
        <v>491</v>
      </c>
      <c r="E52" s="142" t="s">
        <v>84</v>
      </c>
      <c r="F52" s="40"/>
      <c r="G52" s="40"/>
      <c r="H52" s="40"/>
      <c r="I52" s="40"/>
      <c r="J52" s="40"/>
      <c r="K52" s="40"/>
      <c r="L52" s="178" t="s">
        <v>739</v>
      </c>
      <c r="M52" s="326" t="s">
        <v>739</v>
      </c>
      <c r="N52" s="30">
        <v>3</v>
      </c>
      <c r="O52" s="30">
        <v>50</v>
      </c>
      <c r="P52" s="179">
        <f t="shared" si="27"/>
        <v>1.5</v>
      </c>
      <c r="Q52" s="235">
        <f t="shared" si="15"/>
        <v>1.5</v>
      </c>
      <c r="R52" s="235">
        <f t="shared" si="16"/>
        <v>4.5</v>
      </c>
      <c r="S52" s="30" t="s">
        <v>1008</v>
      </c>
      <c r="T52" s="38">
        <v>1</v>
      </c>
      <c r="U52" s="38">
        <v>10</v>
      </c>
      <c r="V52" s="191">
        <f t="shared" si="17"/>
        <v>0.1</v>
      </c>
      <c r="W52" s="237">
        <f t="shared" si="18"/>
        <v>0.9</v>
      </c>
      <c r="X52" s="237">
        <f t="shared" si="19"/>
        <v>1.1000000000000001</v>
      </c>
      <c r="Y52" s="38" t="s">
        <v>910</v>
      </c>
      <c r="Z52" s="11" t="s">
        <v>773</v>
      </c>
      <c r="AA52" s="11">
        <v>10</v>
      </c>
      <c r="AB52" s="32">
        <v>1</v>
      </c>
      <c r="AC52" s="32" t="s">
        <v>876</v>
      </c>
      <c r="AD52" s="198">
        <f t="shared" si="20"/>
        <v>13.5</v>
      </c>
      <c r="AE52" s="199">
        <f t="shared" si="21"/>
        <v>30</v>
      </c>
      <c r="AF52" s="199">
        <f t="shared" si="22"/>
        <v>49.500000000000007</v>
      </c>
      <c r="AG52" s="200">
        <v>1.25</v>
      </c>
      <c r="AH52" s="200">
        <v>1.8125</v>
      </c>
      <c r="AI52" s="200">
        <v>2.375</v>
      </c>
      <c r="AJ52" s="201">
        <f t="shared" si="23"/>
        <v>16.875</v>
      </c>
      <c r="AK52" s="201">
        <f t="shared" si="24"/>
        <v>54.375</v>
      </c>
      <c r="AL52" s="201">
        <f t="shared" si="25"/>
        <v>117.56250000000001</v>
      </c>
      <c r="AM52" s="244">
        <f t="shared" si="28"/>
        <v>0.5</v>
      </c>
      <c r="AN52" s="244">
        <f t="shared" si="29"/>
        <v>1.9</v>
      </c>
      <c r="AO52" s="244">
        <f t="shared" si="30"/>
        <v>3.1</v>
      </c>
      <c r="AP52" s="244" t="e">
        <f t="shared" si="31"/>
        <v>#N/A</v>
      </c>
      <c r="AQ52" s="244" t="e">
        <f t="shared" si="32"/>
        <v>#N/A</v>
      </c>
      <c r="AR52" s="244">
        <f t="shared" si="33"/>
        <v>0.01</v>
      </c>
      <c r="AS52" s="245">
        <f t="shared" si="34"/>
        <v>0.15000000000000002</v>
      </c>
      <c r="AT52" s="245">
        <f t="shared" si="35"/>
        <v>0.57000000000000006</v>
      </c>
      <c r="AU52" s="245">
        <f t="shared" si="36"/>
        <v>0.92999999999999994</v>
      </c>
      <c r="AV52" s="3" t="s">
        <v>931</v>
      </c>
      <c r="AW52" s="88">
        <f t="shared" si="26"/>
        <v>0.54999999999999993</v>
      </c>
    </row>
    <row r="53" spans="1:49" x14ac:dyDescent="0.25">
      <c r="A53" s="120">
        <v>4349</v>
      </c>
      <c r="B53" s="364"/>
      <c r="C53" s="80" t="s">
        <v>583</v>
      </c>
      <c r="D53" s="80" t="s">
        <v>492</v>
      </c>
      <c r="E53" s="142" t="s">
        <v>85</v>
      </c>
      <c r="F53" s="40"/>
      <c r="G53" s="40"/>
      <c r="H53" s="40"/>
      <c r="I53" s="40"/>
      <c r="J53" s="40"/>
      <c r="K53" s="40"/>
      <c r="L53" s="178" t="s">
        <v>739</v>
      </c>
      <c r="M53" s="326" t="s">
        <v>739</v>
      </c>
      <c r="N53" s="30">
        <v>3</v>
      </c>
      <c r="O53" s="30">
        <v>50</v>
      </c>
      <c r="P53" s="179">
        <f t="shared" si="27"/>
        <v>1.5</v>
      </c>
      <c r="Q53" s="235">
        <f t="shared" si="15"/>
        <v>1.5</v>
      </c>
      <c r="R53" s="235">
        <f t="shared" si="16"/>
        <v>4.5</v>
      </c>
      <c r="S53" s="30" t="s">
        <v>1008</v>
      </c>
      <c r="T53" s="38">
        <v>1</v>
      </c>
      <c r="U53" s="38">
        <v>50</v>
      </c>
      <c r="V53" s="191">
        <f t="shared" si="17"/>
        <v>0.5</v>
      </c>
      <c r="W53" s="237">
        <f t="shared" si="18"/>
        <v>0.5</v>
      </c>
      <c r="X53" s="237">
        <f t="shared" si="19"/>
        <v>1.5</v>
      </c>
      <c r="Y53" s="38" t="s">
        <v>1115</v>
      </c>
      <c r="Z53" s="11" t="s">
        <v>756</v>
      </c>
      <c r="AA53" s="11">
        <v>9</v>
      </c>
      <c r="AB53" s="32">
        <v>1</v>
      </c>
      <c r="AC53" s="32" t="s">
        <v>877</v>
      </c>
      <c r="AD53" s="198">
        <f t="shared" si="20"/>
        <v>6.75</v>
      </c>
      <c r="AE53" s="199">
        <f t="shared" si="21"/>
        <v>27</v>
      </c>
      <c r="AF53" s="199">
        <f t="shared" si="22"/>
        <v>60.75</v>
      </c>
      <c r="AG53" s="200">
        <v>2.0625</v>
      </c>
      <c r="AH53" s="200">
        <v>2.8125</v>
      </c>
      <c r="AI53" s="200">
        <v>3.5625</v>
      </c>
      <c r="AJ53" s="201">
        <f t="shared" si="23"/>
        <v>13.921875</v>
      </c>
      <c r="AK53" s="201">
        <f t="shared" si="24"/>
        <v>75.9375</v>
      </c>
      <c r="AL53" s="201">
        <f t="shared" si="25"/>
        <v>216.421875</v>
      </c>
      <c r="AM53" s="244">
        <f t="shared" si="28"/>
        <v>0.3</v>
      </c>
      <c r="AN53" s="244">
        <f t="shared" si="29"/>
        <v>2.2000000000000002</v>
      </c>
      <c r="AO53" s="244">
        <f t="shared" si="30"/>
        <v>4.9000000000000004</v>
      </c>
      <c r="AP53" s="244" t="e">
        <f t="shared" si="31"/>
        <v>#N/A</v>
      </c>
      <c r="AQ53" s="244" t="e">
        <f t="shared" si="32"/>
        <v>#N/A</v>
      </c>
      <c r="AR53" s="244">
        <f t="shared" si="33"/>
        <v>0.09</v>
      </c>
      <c r="AS53" s="245">
        <f t="shared" si="34"/>
        <v>0.09</v>
      </c>
      <c r="AT53" s="245">
        <f t="shared" si="35"/>
        <v>0.66</v>
      </c>
      <c r="AU53" s="245">
        <f t="shared" si="36"/>
        <v>1.47</v>
      </c>
      <c r="AV53" s="3" t="s">
        <v>931</v>
      </c>
      <c r="AW53" s="88">
        <f t="shared" si="26"/>
        <v>0.73999999999999988</v>
      </c>
    </row>
    <row r="54" spans="1:49" x14ac:dyDescent="0.25">
      <c r="A54" s="120">
        <v>4363</v>
      </c>
      <c r="B54" s="364"/>
      <c r="C54" s="80" t="s">
        <v>584</v>
      </c>
      <c r="D54" s="80" t="s">
        <v>591</v>
      </c>
      <c r="E54" s="142" t="s">
        <v>86</v>
      </c>
      <c r="F54" s="40"/>
      <c r="G54" s="40"/>
      <c r="H54" s="40"/>
      <c r="I54" s="40"/>
      <c r="J54" s="40"/>
      <c r="K54" s="40"/>
      <c r="L54" s="178" t="s">
        <v>739</v>
      </c>
      <c r="M54" s="326" t="s">
        <v>739</v>
      </c>
      <c r="N54" s="30">
        <v>3</v>
      </c>
      <c r="O54" s="30">
        <v>50</v>
      </c>
      <c r="P54" s="179">
        <f t="shared" si="27"/>
        <v>1.5</v>
      </c>
      <c r="Q54" s="235">
        <f t="shared" si="15"/>
        <v>1.5</v>
      </c>
      <c r="R54" s="235">
        <f t="shared" si="16"/>
        <v>4.5</v>
      </c>
      <c r="S54" s="30" t="s">
        <v>1008</v>
      </c>
      <c r="T54" s="38">
        <v>1</v>
      </c>
      <c r="U54" s="38">
        <v>25</v>
      </c>
      <c r="V54" s="191">
        <f t="shared" si="17"/>
        <v>0.25</v>
      </c>
      <c r="W54" s="237">
        <f t="shared" si="18"/>
        <v>0.75</v>
      </c>
      <c r="X54" s="237">
        <f t="shared" si="19"/>
        <v>1.25</v>
      </c>
      <c r="Y54" s="38" t="s">
        <v>818</v>
      </c>
      <c r="Z54" s="11" t="s">
        <v>753</v>
      </c>
      <c r="AA54" s="11">
        <v>12</v>
      </c>
      <c r="AB54" s="32">
        <v>1.5</v>
      </c>
      <c r="AC54" s="32" t="s">
        <v>818</v>
      </c>
      <c r="AD54" s="198">
        <f t="shared" si="20"/>
        <v>20.25</v>
      </c>
      <c r="AE54" s="199">
        <f t="shared" si="21"/>
        <v>54</v>
      </c>
      <c r="AF54" s="199">
        <f t="shared" si="22"/>
        <v>101.25</v>
      </c>
      <c r="AG54" s="200">
        <v>1.6125</v>
      </c>
      <c r="AH54" s="200">
        <v>2.3125</v>
      </c>
      <c r="AI54" s="200">
        <v>3.0125000000000002</v>
      </c>
      <c r="AJ54" s="201">
        <f t="shared" si="23"/>
        <v>32.653125000000003</v>
      </c>
      <c r="AK54" s="201">
        <f t="shared" si="24"/>
        <v>124.875</v>
      </c>
      <c r="AL54" s="201">
        <f t="shared" si="25"/>
        <v>305.015625</v>
      </c>
      <c r="AM54" s="244">
        <f t="shared" si="28"/>
        <v>1.1000000000000001</v>
      </c>
      <c r="AN54" s="244">
        <f t="shared" si="29"/>
        <v>3.2</v>
      </c>
      <c r="AO54" s="244">
        <f t="shared" si="30"/>
        <v>5.8999999999999995</v>
      </c>
      <c r="AP54" s="244" t="e">
        <f t="shared" si="31"/>
        <v>#N/A</v>
      </c>
      <c r="AQ54" s="244">
        <f t="shared" si="32"/>
        <v>0.01</v>
      </c>
      <c r="AR54" s="244">
        <f t="shared" si="33"/>
        <v>0.10999999999999999</v>
      </c>
      <c r="AS54" s="245">
        <f t="shared" si="34"/>
        <v>0.33</v>
      </c>
      <c r="AT54" s="245">
        <f t="shared" si="35"/>
        <v>0.96</v>
      </c>
      <c r="AU54" s="245">
        <f t="shared" si="36"/>
        <v>1.77</v>
      </c>
      <c r="AV54" s="3" t="s">
        <v>931</v>
      </c>
      <c r="AW54" s="88">
        <f t="shared" si="26"/>
        <v>1.02</v>
      </c>
    </row>
    <row r="55" spans="1:49" x14ac:dyDescent="0.25">
      <c r="A55" s="120">
        <v>4320</v>
      </c>
      <c r="B55" s="364"/>
      <c r="C55" s="80" t="s">
        <v>87</v>
      </c>
      <c r="D55" s="80" t="s">
        <v>442</v>
      </c>
      <c r="E55" s="142" t="s">
        <v>88</v>
      </c>
      <c r="F55" s="40"/>
      <c r="G55" s="40"/>
      <c r="H55" s="40"/>
      <c r="I55" s="40"/>
      <c r="J55" s="40"/>
      <c r="K55" s="40"/>
      <c r="L55" s="178" t="s">
        <v>739</v>
      </c>
      <c r="M55" s="326" t="s">
        <v>739</v>
      </c>
      <c r="N55" s="30">
        <v>3</v>
      </c>
      <c r="O55" s="30">
        <v>50</v>
      </c>
      <c r="P55" s="179">
        <f t="shared" si="27"/>
        <v>1.5</v>
      </c>
      <c r="Q55" s="235">
        <f t="shared" si="15"/>
        <v>1.5</v>
      </c>
      <c r="R55" s="235">
        <f t="shared" si="16"/>
        <v>4.5</v>
      </c>
      <c r="S55" s="30" t="s">
        <v>1008</v>
      </c>
      <c r="T55" s="38">
        <v>1</v>
      </c>
      <c r="U55" s="38">
        <v>10</v>
      </c>
      <c r="V55" s="191">
        <f t="shared" si="17"/>
        <v>0.1</v>
      </c>
      <c r="W55" s="237">
        <f t="shared" si="18"/>
        <v>0.9</v>
      </c>
      <c r="X55" s="237">
        <f t="shared" si="19"/>
        <v>1.1000000000000001</v>
      </c>
      <c r="Y55" s="38" t="s">
        <v>853</v>
      </c>
      <c r="Z55" s="11" t="s">
        <v>753</v>
      </c>
      <c r="AA55" s="11">
        <v>12</v>
      </c>
      <c r="AB55" s="32">
        <v>1</v>
      </c>
      <c r="AC55" s="32" t="s">
        <v>878</v>
      </c>
      <c r="AD55" s="198">
        <f t="shared" si="20"/>
        <v>16.2</v>
      </c>
      <c r="AE55" s="199">
        <f t="shared" si="21"/>
        <v>36</v>
      </c>
      <c r="AF55" s="199">
        <f t="shared" si="22"/>
        <v>59.400000000000006</v>
      </c>
      <c r="AG55" s="200">
        <v>2.0874999999999999</v>
      </c>
      <c r="AH55" s="200">
        <v>3.0625</v>
      </c>
      <c r="AI55" s="200">
        <v>4.0374999999999996</v>
      </c>
      <c r="AJ55" s="201">
        <f t="shared" si="23"/>
        <v>33.817499999999995</v>
      </c>
      <c r="AK55" s="201">
        <f t="shared" si="24"/>
        <v>110.25</v>
      </c>
      <c r="AL55" s="201">
        <f t="shared" si="25"/>
        <v>239.82750000000001</v>
      </c>
      <c r="AM55" s="244">
        <f t="shared" si="28"/>
        <v>1.1000000000000001</v>
      </c>
      <c r="AN55" s="244">
        <f t="shared" si="29"/>
        <v>3</v>
      </c>
      <c r="AO55" s="244">
        <f t="shared" si="30"/>
        <v>5.3000000000000007</v>
      </c>
      <c r="AP55" s="244" t="e">
        <f t="shared" si="31"/>
        <v>#N/A</v>
      </c>
      <c r="AQ55" s="244">
        <f t="shared" si="32"/>
        <v>0.01</v>
      </c>
      <c r="AR55" s="244">
        <f t="shared" si="33"/>
        <v>0.1</v>
      </c>
      <c r="AS55" s="245">
        <f t="shared" si="34"/>
        <v>0.33</v>
      </c>
      <c r="AT55" s="245">
        <f t="shared" si="35"/>
        <v>0.89999999999999991</v>
      </c>
      <c r="AU55" s="245">
        <f t="shared" si="36"/>
        <v>1.59</v>
      </c>
      <c r="AV55" s="3" t="s">
        <v>931</v>
      </c>
      <c r="AW55" s="88">
        <f t="shared" si="26"/>
        <v>0.94000000000000006</v>
      </c>
    </row>
    <row r="56" spans="1:49" x14ac:dyDescent="0.25">
      <c r="A56" s="120">
        <v>4463</v>
      </c>
      <c r="B56" s="364"/>
      <c r="C56" s="80" t="s">
        <v>89</v>
      </c>
      <c r="D56" s="80" t="s">
        <v>443</v>
      </c>
      <c r="E56" s="142" t="s">
        <v>90</v>
      </c>
      <c r="F56" s="40"/>
      <c r="G56" s="40"/>
      <c r="H56" s="40"/>
      <c r="I56" s="40"/>
      <c r="J56" s="40"/>
      <c r="K56" s="40"/>
      <c r="L56" s="178" t="s">
        <v>740</v>
      </c>
      <c r="M56" s="326" t="s">
        <v>740</v>
      </c>
      <c r="N56" s="30">
        <v>5</v>
      </c>
      <c r="O56" s="30">
        <v>50</v>
      </c>
      <c r="P56" s="179">
        <f t="shared" si="27"/>
        <v>2.5</v>
      </c>
      <c r="Q56" s="235">
        <f t="shared" si="15"/>
        <v>2.5</v>
      </c>
      <c r="R56" s="235">
        <f t="shared" si="16"/>
        <v>7.5</v>
      </c>
      <c r="S56" s="30" t="s">
        <v>1008</v>
      </c>
      <c r="T56" s="38">
        <v>3</v>
      </c>
      <c r="U56" s="38">
        <v>50</v>
      </c>
      <c r="V56" s="191">
        <f t="shared" si="17"/>
        <v>1.5</v>
      </c>
      <c r="W56" s="237">
        <f t="shared" si="18"/>
        <v>1.5</v>
      </c>
      <c r="X56" s="237">
        <f t="shared" si="19"/>
        <v>4.5</v>
      </c>
      <c r="Y56" s="38" t="s">
        <v>1116</v>
      </c>
      <c r="Z56" s="11" t="s">
        <v>753</v>
      </c>
      <c r="AA56" s="11">
        <v>12</v>
      </c>
      <c r="AB56" s="32">
        <v>1.5</v>
      </c>
      <c r="AC56" s="32" t="s">
        <v>879</v>
      </c>
      <c r="AD56" s="198">
        <f t="shared" si="20"/>
        <v>67.5</v>
      </c>
      <c r="AE56" s="199">
        <f t="shared" si="21"/>
        <v>270</v>
      </c>
      <c r="AF56" s="199">
        <f t="shared" si="22"/>
        <v>607.5</v>
      </c>
      <c r="AG56" s="200">
        <v>2.5249999999999999</v>
      </c>
      <c r="AH56" s="200">
        <v>3.25</v>
      </c>
      <c r="AI56" s="200">
        <v>3.9750000000000001</v>
      </c>
      <c r="AJ56" s="201">
        <f t="shared" si="23"/>
        <v>170.4375</v>
      </c>
      <c r="AK56" s="201">
        <f t="shared" si="24"/>
        <v>877.5</v>
      </c>
      <c r="AL56" s="201">
        <f t="shared" si="25"/>
        <v>2414.8125</v>
      </c>
      <c r="AM56" s="244">
        <f t="shared" si="28"/>
        <v>4.2</v>
      </c>
      <c r="AN56" s="244">
        <f t="shared" si="29"/>
        <v>8.4</v>
      </c>
      <c r="AO56" s="244">
        <f t="shared" si="30"/>
        <v>9.6999999999999993</v>
      </c>
      <c r="AP56" s="244">
        <f t="shared" si="31"/>
        <v>0.03</v>
      </c>
      <c r="AQ56" s="244">
        <f t="shared" si="32"/>
        <v>0.14000000000000001</v>
      </c>
      <c r="AR56" s="244">
        <f t="shared" si="33"/>
        <v>0.16</v>
      </c>
      <c r="AS56" s="245">
        <f t="shared" si="34"/>
        <v>1.26</v>
      </c>
      <c r="AT56" s="245">
        <f t="shared" si="35"/>
        <v>2.52</v>
      </c>
      <c r="AU56" s="245">
        <f t="shared" si="36"/>
        <v>2.91</v>
      </c>
      <c r="AV56" s="3" t="s">
        <v>933</v>
      </c>
      <c r="AW56" s="88">
        <f t="shared" si="26"/>
        <v>2.23</v>
      </c>
    </row>
    <row r="57" spans="1:49" x14ac:dyDescent="0.25">
      <c r="A57" s="120">
        <v>4497</v>
      </c>
      <c r="B57" s="364"/>
      <c r="C57" s="80" t="s">
        <v>92</v>
      </c>
      <c r="D57" s="80" t="s">
        <v>493</v>
      </c>
      <c r="E57" s="142" t="s">
        <v>93</v>
      </c>
      <c r="F57" s="40"/>
      <c r="G57" s="40"/>
      <c r="H57" s="40"/>
      <c r="I57" s="40"/>
      <c r="J57" s="40"/>
      <c r="K57" s="40"/>
      <c r="L57" s="178" t="s">
        <v>740</v>
      </c>
      <c r="M57" s="326" t="s">
        <v>740</v>
      </c>
      <c r="N57" s="30">
        <v>5</v>
      </c>
      <c r="O57" s="30">
        <v>50</v>
      </c>
      <c r="P57" s="179">
        <f t="shared" si="27"/>
        <v>2.5</v>
      </c>
      <c r="Q57" s="235">
        <f t="shared" si="15"/>
        <v>2.5</v>
      </c>
      <c r="R57" s="235">
        <f t="shared" si="16"/>
        <v>7.5</v>
      </c>
      <c r="S57" s="30" t="s">
        <v>1008</v>
      </c>
      <c r="T57" s="38">
        <v>3</v>
      </c>
      <c r="U57" s="38">
        <v>10</v>
      </c>
      <c r="V57" s="191">
        <f t="shared" si="17"/>
        <v>0.30000000000000004</v>
      </c>
      <c r="W57" s="237">
        <f t="shared" si="18"/>
        <v>2.7</v>
      </c>
      <c r="X57" s="237">
        <f t="shared" si="19"/>
        <v>3.3</v>
      </c>
      <c r="Y57" s="38" t="s">
        <v>912</v>
      </c>
      <c r="Z57" s="11" t="s">
        <v>767</v>
      </c>
      <c r="AA57" s="11">
        <v>7</v>
      </c>
      <c r="AB57" s="32">
        <v>1</v>
      </c>
      <c r="AC57" s="32" t="s">
        <v>880</v>
      </c>
      <c r="AD57" s="198">
        <f t="shared" si="20"/>
        <v>47.25</v>
      </c>
      <c r="AE57" s="199">
        <f t="shared" si="21"/>
        <v>105</v>
      </c>
      <c r="AF57" s="199">
        <f t="shared" si="22"/>
        <v>173.25</v>
      </c>
      <c r="AG57" s="200">
        <v>1.825</v>
      </c>
      <c r="AH57" s="200">
        <v>2.5</v>
      </c>
      <c r="AI57" s="200">
        <v>3.1749999999999998</v>
      </c>
      <c r="AJ57" s="201">
        <f t="shared" si="23"/>
        <v>86.231250000000003</v>
      </c>
      <c r="AK57" s="201">
        <f t="shared" si="24"/>
        <v>262.5</v>
      </c>
      <c r="AL57" s="201">
        <f t="shared" si="25"/>
        <v>550.06875000000002</v>
      </c>
      <c r="AM57" s="244">
        <f t="shared" si="28"/>
        <v>2.5</v>
      </c>
      <c r="AN57" s="244">
        <f t="shared" si="29"/>
        <v>5.5</v>
      </c>
      <c r="AO57" s="244">
        <f t="shared" si="30"/>
        <v>7.1</v>
      </c>
      <c r="AP57" s="244">
        <f t="shared" si="31"/>
        <v>0</v>
      </c>
      <c r="AQ57" s="244">
        <f t="shared" si="32"/>
        <v>0.1</v>
      </c>
      <c r="AR57" s="244">
        <f t="shared" si="33"/>
        <v>0.13</v>
      </c>
      <c r="AS57" s="245">
        <f t="shared" si="34"/>
        <v>0.75</v>
      </c>
      <c r="AT57" s="245">
        <f t="shared" si="35"/>
        <v>1.6500000000000001</v>
      </c>
      <c r="AU57" s="245">
        <f t="shared" si="36"/>
        <v>2.13</v>
      </c>
      <c r="AV57" s="3" t="s">
        <v>932</v>
      </c>
      <c r="AW57" s="88">
        <f t="shared" si="26"/>
        <v>1.51</v>
      </c>
    </row>
    <row r="58" spans="1:49" x14ac:dyDescent="0.25">
      <c r="A58" s="120">
        <v>4492</v>
      </c>
      <c r="B58" s="364"/>
      <c r="C58" s="80" t="s">
        <v>94</v>
      </c>
      <c r="D58" s="80" t="s">
        <v>494</v>
      </c>
      <c r="E58" s="345" t="s">
        <v>95</v>
      </c>
      <c r="F58" s="40"/>
      <c r="G58" s="40"/>
      <c r="H58" s="40"/>
      <c r="I58" s="40"/>
      <c r="J58" s="40"/>
      <c r="K58" s="40"/>
      <c r="L58" s="178" t="s">
        <v>740</v>
      </c>
      <c r="M58" s="326" t="s">
        <v>740</v>
      </c>
      <c r="N58" s="30">
        <v>5</v>
      </c>
      <c r="O58" s="30">
        <v>50</v>
      </c>
      <c r="P58" s="179">
        <f t="shared" si="27"/>
        <v>2.5</v>
      </c>
      <c r="Q58" s="235">
        <f t="shared" si="15"/>
        <v>2.5</v>
      </c>
      <c r="R58" s="235">
        <f t="shared" si="16"/>
        <v>7.5</v>
      </c>
      <c r="S58" s="30" t="s">
        <v>1008</v>
      </c>
      <c r="T58" s="38">
        <v>3</v>
      </c>
      <c r="U58" s="38">
        <v>10</v>
      </c>
      <c r="V58" s="191">
        <f t="shared" si="17"/>
        <v>0.30000000000000004</v>
      </c>
      <c r="W58" s="237">
        <f t="shared" si="18"/>
        <v>2.7</v>
      </c>
      <c r="X58" s="237">
        <f t="shared" si="19"/>
        <v>3.3</v>
      </c>
      <c r="Y58" s="38" t="s">
        <v>911</v>
      </c>
      <c r="Z58" s="11" t="s">
        <v>754</v>
      </c>
      <c r="AA58" s="11">
        <v>11</v>
      </c>
      <c r="AB58" s="32">
        <v>1</v>
      </c>
      <c r="AC58" s="32" t="s">
        <v>881</v>
      </c>
      <c r="AD58" s="198">
        <f t="shared" si="20"/>
        <v>74.25</v>
      </c>
      <c r="AE58" s="199">
        <f t="shared" si="21"/>
        <v>165</v>
      </c>
      <c r="AF58" s="199">
        <f t="shared" si="22"/>
        <v>272.25</v>
      </c>
      <c r="AG58" s="200">
        <v>1.8125</v>
      </c>
      <c r="AH58" s="200">
        <v>2.25</v>
      </c>
      <c r="AI58" s="200">
        <v>2.6875</v>
      </c>
      <c r="AJ58" s="201">
        <f t="shared" si="23"/>
        <v>134.578125</v>
      </c>
      <c r="AK58" s="201">
        <f t="shared" si="24"/>
        <v>371.25</v>
      </c>
      <c r="AL58" s="201">
        <f t="shared" si="25"/>
        <v>731.671875</v>
      </c>
      <c r="AM58" s="244">
        <f t="shared" si="28"/>
        <v>3.5</v>
      </c>
      <c r="AN58" s="244">
        <f t="shared" si="29"/>
        <v>6.4</v>
      </c>
      <c r="AO58" s="244">
        <f t="shared" si="30"/>
        <v>7.9</v>
      </c>
      <c r="AP58" s="244">
        <f t="shared" si="31"/>
        <v>0.02</v>
      </c>
      <c r="AQ58" s="244">
        <f t="shared" si="32"/>
        <v>0.12</v>
      </c>
      <c r="AR58" s="244">
        <f t="shared" si="33"/>
        <v>0.14000000000000001</v>
      </c>
      <c r="AS58" s="245">
        <f t="shared" si="34"/>
        <v>1.0499999999999998</v>
      </c>
      <c r="AT58" s="245">
        <f t="shared" si="35"/>
        <v>1.92</v>
      </c>
      <c r="AU58" s="245">
        <f t="shared" si="36"/>
        <v>2.37</v>
      </c>
      <c r="AV58" s="3" t="s">
        <v>932</v>
      </c>
      <c r="AW58" s="88">
        <f t="shared" si="26"/>
        <v>1.78</v>
      </c>
    </row>
    <row r="59" spans="1:49" x14ac:dyDescent="0.25">
      <c r="A59" s="120">
        <v>4530</v>
      </c>
      <c r="B59" s="364"/>
      <c r="C59" s="80" t="s">
        <v>96</v>
      </c>
      <c r="D59" s="80" t="s">
        <v>446</v>
      </c>
      <c r="E59" s="142" t="s">
        <v>97</v>
      </c>
      <c r="F59" s="40"/>
      <c r="G59" s="40"/>
      <c r="H59" s="40"/>
      <c r="I59" s="40"/>
      <c r="J59" s="40"/>
      <c r="K59" s="40"/>
      <c r="L59" s="178" t="s">
        <v>740</v>
      </c>
      <c r="M59" s="326" t="s">
        <v>740</v>
      </c>
      <c r="N59" s="30">
        <v>5</v>
      </c>
      <c r="O59" s="30">
        <v>50</v>
      </c>
      <c r="P59" s="179">
        <f t="shared" si="27"/>
        <v>2.5</v>
      </c>
      <c r="Q59" s="235">
        <f t="shared" si="15"/>
        <v>2.5</v>
      </c>
      <c r="R59" s="235">
        <f t="shared" si="16"/>
        <v>7.5</v>
      </c>
      <c r="S59" s="30" t="s">
        <v>1008</v>
      </c>
      <c r="T59" s="38">
        <v>4</v>
      </c>
      <c r="U59" s="38">
        <v>50</v>
      </c>
      <c r="V59" s="191">
        <f t="shared" si="17"/>
        <v>2</v>
      </c>
      <c r="W59" s="237">
        <f t="shared" si="18"/>
        <v>2</v>
      </c>
      <c r="X59" s="237">
        <f t="shared" si="19"/>
        <v>6</v>
      </c>
      <c r="Y59" s="38" t="s">
        <v>1117</v>
      </c>
      <c r="Z59" s="11" t="s">
        <v>759</v>
      </c>
      <c r="AA59" s="11">
        <v>8</v>
      </c>
      <c r="AB59" s="32">
        <v>1.5</v>
      </c>
      <c r="AC59" s="32" t="s">
        <v>882</v>
      </c>
      <c r="AD59" s="198">
        <f t="shared" si="20"/>
        <v>60</v>
      </c>
      <c r="AE59" s="199">
        <f t="shared" si="21"/>
        <v>240</v>
      </c>
      <c r="AF59" s="199">
        <f t="shared" si="22"/>
        <v>540</v>
      </c>
      <c r="AG59" s="200">
        <v>3</v>
      </c>
      <c r="AH59" s="200">
        <v>4</v>
      </c>
      <c r="AI59" s="200">
        <v>5</v>
      </c>
      <c r="AJ59" s="201">
        <f t="shared" si="23"/>
        <v>180</v>
      </c>
      <c r="AK59" s="201">
        <f t="shared" si="24"/>
        <v>960</v>
      </c>
      <c r="AL59" s="201">
        <f t="shared" si="25"/>
        <v>2700</v>
      </c>
      <c r="AM59" s="244">
        <f t="shared" si="28"/>
        <v>4.3</v>
      </c>
      <c r="AN59" s="244">
        <f t="shared" si="29"/>
        <v>8.6</v>
      </c>
      <c r="AO59" s="244">
        <f t="shared" si="30"/>
        <v>9.9</v>
      </c>
      <c r="AP59" s="244">
        <f t="shared" si="31"/>
        <v>0.03</v>
      </c>
      <c r="AQ59" s="244">
        <f t="shared" si="32"/>
        <v>0.15</v>
      </c>
      <c r="AR59" s="244">
        <f t="shared" si="33"/>
        <v>0.16</v>
      </c>
      <c r="AS59" s="245">
        <f t="shared" si="34"/>
        <v>1.29</v>
      </c>
      <c r="AT59" s="245">
        <f t="shared" si="35"/>
        <v>2.58</v>
      </c>
      <c r="AU59" s="245">
        <f t="shared" si="36"/>
        <v>2.9699999999999998</v>
      </c>
      <c r="AV59" s="3" t="s">
        <v>933</v>
      </c>
      <c r="AW59" s="88">
        <f t="shared" si="26"/>
        <v>2.2799999999999998</v>
      </c>
    </row>
    <row r="60" spans="1:49" x14ac:dyDescent="0.25">
      <c r="A60" s="120">
        <v>4515</v>
      </c>
      <c r="B60" s="364"/>
      <c r="C60" s="80" t="s">
        <v>99</v>
      </c>
      <c r="D60" s="80" t="s">
        <v>447</v>
      </c>
      <c r="E60" s="142" t="s">
        <v>100</v>
      </c>
      <c r="F60" s="40"/>
      <c r="G60" s="40"/>
      <c r="H60" s="40"/>
      <c r="I60" s="40"/>
      <c r="J60" s="40"/>
      <c r="K60" s="40"/>
      <c r="L60" s="178" t="s">
        <v>740</v>
      </c>
      <c r="M60" s="326" t="s">
        <v>740</v>
      </c>
      <c r="N60" s="30">
        <v>5</v>
      </c>
      <c r="O60" s="30">
        <v>50</v>
      </c>
      <c r="P60" s="179">
        <f t="shared" si="27"/>
        <v>2.5</v>
      </c>
      <c r="Q60" s="235">
        <f t="shared" si="15"/>
        <v>2.5</v>
      </c>
      <c r="R60" s="235">
        <f t="shared" si="16"/>
        <v>7.5</v>
      </c>
      <c r="S60" s="30" t="s">
        <v>1008</v>
      </c>
      <c r="T60" s="38">
        <v>3</v>
      </c>
      <c r="U60" s="38">
        <v>50</v>
      </c>
      <c r="V60" s="191">
        <f t="shared" si="17"/>
        <v>1.5</v>
      </c>
      <c r="W60" s="237">
        <f t="shared" si="18"/>
        <v>1.5</v>
      </c>
      <c r="X60" s="237">
        <f t="shared" si="19"/>
        <v>4.5</v>
      </c>
      <c r="Y60" s="38" t="s">
        <v>1118</v>
      </c>
      <c r="Z60" s="11" t="s">
        <v>784</v>
      </c>
      <c r="AA60" s="11">
        <v>12</v>
      </c>
      <c r="AB60" s="32">
        <v>1.5</v>
      </c>
      <c r="AC60" s="32" t="s">
        <v>883</v>
      </c>
      <c r="AD60" s="198">
        <f t="shared" si="20"/>
        <v>67.5</v>
      </c>
      <c r="AE60" s="199">
        <f t="shared" si="21"/>
        <v>270</v>
      </c>
      <c r="AF60" s="199">
        <f t="shared" si="22"/>
        <v>607.5</v>
      </c>
      <c r="AG60" s="200">
        <v>2.0874999999999999</v>
      </c>
      <c r="AH60" s="200">
        <v>2.75</v>
      </c>
      <c r="AI60" s="200">
        <v>3.4125000000000001</v>
      </c>
      <c r="AJ60" s="201">
        <f t="shared" si="23"/>
        <v>140.90625</v>
      </c>
      <c r="AK60" s="201">
        <f t="shared" si="24"/>
        <v>742.5</v>
      </c>
      <c r="AL60" s="201">
        <f t="shared" si="25"/>
        <v>2073.09375</v>
      </c>
      <c r="AM60" s="244">
        <f t="shared" si="28"/>
        <v>3.7</v>
      </c>
      <c r="AN60" s="244">
        <f t="shared" si="29"/>
        <v>8</v>
      </c>
      <c r="AO60" s="244">
        <f t="shared" si="30"/>
        <v>9.5</v>
      </c>
      <c r="AP60" s="244">
        <f t="shared" si="31"/>
        <v>0.02</v>
      </c>
      <c r="AQ60" s="244">
        <f t="shared" si="32"/>
        <v>0.14000000000000001</v>
      </c>
      <c r="AR60" s="244">
        <f t="shared" si="33"/>
        <v>0.16</v>
      </c>
      <c r="AS60" s="245">
        <f t="shared" si="34"/>
        <v>1.1099999999999999</v>
      </c>
      <c r="AT60" s="245">
        <f t="shared" si="35"/>
        <v>2.4000000000000004</v>
      </c>
      <c r="AU60" s="245">
        <f t="shared" si="36"/>
        <v>2.8499999999999996</v>
      </c>
      <c r="AV60" s="3" t="s">
        <v>933</v>
      </c>
      <c r="AW60" s="88">
        <f t="shared" si="26"/>
        <v>2.1199999999999997</v>
      </c>
    </row>
    <row r="61" spans="1:49" x14ac:dyDescent="0.25">
      <c r="A61" s="120">
        <v>4508</v>
      </c>
      <c r="B61" s="364"/>
      <c r="C61" s="80" t="s">
        <v>148</v>
      </c>
      <c r="D61" s="80" t="s">
        <v>444</v>
      </c>
      <c r="E61" s="142" t="s">
        <v>101</v>
      </c>
      <c r="F61" s="40"/>
      <c r="G61" s="40"/>
      <c r="H61" s="40"/>
      <c r="I61" s="40"/>
      <c r="J61" s="40"/>
      <c r="K61" s="40"/>
      <c r="L61" s="178" t="s">
        <v>740</v>
      </c>
      <c r="M61" s="326" t="s">
        <v>740</v>
      </c>
      <c r="N61" s="30">
        <v>5</v>
      </c>
      <c r="O61" s="30">
        <v>50</v>
      </c>
      <c r="P61" s="179">
        <f t="shared" si="27"/>
        <v>2.5</v>
      </c>
      <c r="Q61" s="235">
        <f t="shared" si="15"/>
        <v>2.5</v>
      </c>
      <c r="R61" s="235">
        <f t="shared" si="16"/>
        <v>7.5</v>
      </c>
      <c r="S61" s="30" t="s">
        <v>1008</v>
      </c>
      <c r="T61" s="38">
        <v>3</v>
      </c>
      <c r="U61" s="38">
        <v>50</v>
      </c>
      <c r="V61" s="191">
        <f t="shared" si="17"/>
        <v>1.5</v>
      </c>
      <c r="W61" s="237">
        <f t="shared" si="18"/>
        <v>1.5</v>
      </c>
      <c r="X61" s="237">
        <f t="shared" si="19"/>
        <v>4.5</v>
      </c>
      <c r="Y61" s="38" t="s">
        <v>884</v>
      </c>
      <c r="Z61" s="11" t="s">
        <v>753</v>
      </c>
      <c r="AA61" s="11">
        <v>12</v>
      </c>
      <c r="AB61" s="32">
        <v>1.5</v>
      </c>
      <c r="AC61" s="32" t="s">
        <v>884</v>
      </c>
      <c r="AD61" s="198">
        <f t="shared" si="20"/>
        <v>67.5</v>
      </c>
      <c r="AE61" s="199">
        <f t="shared" si="21"/>
        <v>270</v>
      </c>
      <c r="AF61" s="199">
        <f t="shared" si="22"/>
        <v>607.5</v>
      </c>
      <c r="AG61" s="200">
        <v>2.1625000000000001</v>
      </c>
      <c r="AH61" s="200">
        <v>2.8125</v>
      </c>
      <c r="AI61" s="200">
        <v>3.4625000000000004</v>
      </c>
      <c r="AJ61" s="201">
        <f t="shared" si="23"/>
        <v>145.96875</v>
      </c>
      <c r="AK61" s="201">
        <f t="shared" si="24"/>
        <v>759.375</v>
      </c>
      <c r="AL61" s="201">
        <f t="shared" si="25"/>
        <v>2103.46875</v>
      </c>
      <c r="AM61" s="244">
        <f t="shared" si="28"/>
        <v>3.8</v>
      </c>
      <c r="AN61" s="244">
        <f t="shared" si="29"/>
        <v>8.1000000000000014</v>
      </c>
      <c r="AO61" s="244">
        <f t="shared" si="30"/>
        <v>9.5</v>
      </c>
      <c r="AP61" s="244">
        <f t="shared" si="31"/>
        <v>0.02</v>
      </c>
      <c r="AQ61" s="244">
        <f t="shared" si="32"/>
        <v>0.14000000000000001</v>
      </c>
      <c r="AR61" s="244">
        <f t="shared" si="33"/>
        <v>0.16</v>
      </c>
      <c r="AS61" s="245">
        <f t="shared" si="34"/>
        <v>1.1400000000000001</v>
      </c>
      <c r="AT61" s="245">
        <f t="shared" si="35"/>
        <v>2.4300000000000002</v>
      </c>
      <c r="AU61" s="245">
        <f t="shared" si="36"/>
        <v>2.8499999999999996</v>
      </c>
      <c r="AV61" s="3" t="s">
        <v>933</v>
      </c>
      <c r="AW61" s="88">
        <f t="shared" si="26"/>
        <v>2.14</v>
      </c>
    </row>
    <row r="62" spans="1:49" x14ac:dyDescent="0.25">
      <c r="A62" s="120">
        <v>4440</v>
      </c>
      <c r="B62" s="364"/>
      <c r="C62" s="80" t="s">
        <v>102</v>
      </c>
      <c r="D62" s="80" t="s">
        <v>445</v>
      </c>
      <c r="E62" s="347" t="s">
        <v>103</v>
      </c>
      <c r="F62" s="40"/>
      <c r="G62" s="40"/>
      <c r="H62" s="40"/>
      <c r="I62" s="40"/>
      <c r="J62" s="40"/>
      <c r="K62" s="40"/>
      <c r="L62" s="178" t="s">
        <v>740</v>
      </c>
      <c r="M62" s="326" t="s">
        <v>740</v>
      </c>
      <c r="N62" s="30">
        <v>5</v>
      </c>
      <c r="O62" s="30">
        <v>50</v>
      </c>
      <c r="P62" s="179">
        <f t="shared" si="27"/>
        <v>2.5</v>
      </c>
      <c r="Q62" s="235">
        <f t="shared" si="15"/>
        <v>2.5</v>
      </c>
      <c r="R62" s="235">
        <f t="shared" si="16"/>
        <v>7.5</v>
      </c>
      <c r="S62" s="30" t="s">
        <v>1008</v>
      </c>
      <c r="T62" s="38">
        <v>3</v>
      </c>
      <c r="U62" s="38">
        <v>50</v>
      </c>
      <c r="V62" s="191">
        <f t="shared" si="17"/>
        <v>1.5</v>
      </c>
      <c r="W62" s="237">
        <f t="shared" si="18"/>
        <v>1.5</v>
      </c>
      <c r="X62" s="237">
        <f t="shared" si="19"/>
        <v>4.5</v>
      </c>
      <c r="Y62" s="38" t="s">
        <v>885</v>
      </c>
      <c r="Z62" s="11" t="s">
        <v>759</v>
      </c>
      <c r="AA62" s="11">
        <v>8</v>
      </c>
      <c r="AB62" s="32">
        <v>2</v>
      </c>
      <c r="AC62" s="32" t="s">
        <v>885</v>
      </c>
      <c r="AD62" s="198">
        <f t="shared" si="20"/>
        <v>60</v>
      </c>
      <c r="AE62" s="199">
        <f t="shared" si="21"/>
        <v>240</v>
      </c>
      <c r="AF62" s="199">
        <f t="shared" si="22"/>
        <v>540</v>
      </c>
      <c r="AG62" s="200">
        <v>3.25</v>
      </c>
      <c r="AH62" s="200">
        <v>4</v>
      </c>
      <c r="AI62" s="200">
        <v>4.75</v>
      </c>
      <c r="AJ62" s="201">
        <f t="shared" si="23"/>
        <v>195</v>
      </c>
      <c r="AK62" s="201">
        <f t="shared" si="24"/>
        <v>960</v>
      </c>
      <c r="AL62" s="201">
        <f t="shared" si="25"/>
        <v>2565</v>
      </c>
      <c r="AM62" s="244">
        <f t="shared" si="28"/>
        <v>4.5</v>
      </c>
      <c r="AN62" s="244">
        <f t="shared" si="29"/>
        <v>8.6</v>
      </c>
      <c r="AO62" s="244">
        <f t="shared" si="30"/>
        <v>9.8000000000000007</v>
      </c>
      <c r="AP62" s="244">
        <f t="shared" si="31"/>
        <v>0.04</v>
      </c>
      <c r="AQ62" s="244">
        <f t="shared" si="32"/>
        <v>0.15</v>
      </c>
      <c r="AR62" s="244">
        <f t="shared" si="33"/>
        <v>0.16</v>
      </c>
      <c r="AS62" s="245">
        <f t="shared" si="34"/>
        <v>1.35</v>
      </c>
      <c r="AT62" s="245">
        <f t="shared" si="35"/>
        <v>2.58</v>
      </c>
      <c r="AU62" s="245">
        <f t="shared" si="36"/>
        <v>2.94</v>
      </c>
      <c r="AV62" s="3" t="s">
        <v>933</v>
      </c>
      <c r="AW62" s="88">
        <f t="shared" si="26"/>
        <v>2.29</v>
      </c>
    </row>
    <row r="63" spans="1:49" x14ac:dyDescent="0.25">
      <c r="A63" s="120">
        <v>4456</v>
      </c>
      <c r="B63" s="364"/>
      <c r="C63" s="80" t="s">
        <v>325</v>
      </c>
      <c r="D63" s="80" t="s">
        <v>448</v>
      </c>
      <c r="E63" s="142" t="s">
        <v>328</v>
      </c>
      <c r="F63" s="40"/>
      <c r="G63" s="40"/>
      <c r="H63" s="40"/>
      <c r="I63" s="40"/>
      <c r="J63" s="40"/>
      <c r="K63" s="40"/>
      <c r="L63" s="178" t="s">
        <v>740</v>
      </c>
      <c r="M63" s="326" t="s">
        <v>740</v>
      </c>
      <c r="N63" s="30">
        <v>5</v>
      </c>
      <c r="O63" s="30">
        <v>50</v>
      </c>
      <c r="P63" s="179">
        <f t="shared" si="27"/>
        <v>2.5</v>
      </c>
      <c r="Q63" s="235">
        <f t="shared" si="15"/>
        <v>2.5</v>
      </c>
      <c r="R63" s="235">
        <f t="shared" si="16"/>
        <v>7.5</v>
      </c>
      <c r="S63" s="30" t="s">
        <v>1008</v>
      </c>
      <c r="T63" s="38">
        <v>2</v>
      </c>
      <c r="U63" s="38">
        <v>50</v>
      </c>
      <c r="V63" s="191">
        <f t="shared" si="17"/>
        <v>1</v>
      </c>
      <c r="W63" s="237">
        <f t="shared" si="18"/>
        <v>1</v>
      </c>
      <c r="X63" s="237">
        <f t="shared" si="19"/>
        <v>3</v>
      </c>
      <c r="Y63" s="38" t="s">
        <v>1119</v>
      </c>
      <c r="Z63" s="11" t="s">
        <v>783</v>
      </c>
      <c r="AA63" s="11">
        <v>6</v>
      </c>
      <c r="AB63" s="32">
        <v>1</v>
      </c>
      <c r="AC63" s="32" t="s">
        <v>886</v>
      </c>
      <c r="AD63" s="198">
        <f t="shared" si="20"/>
        <v>15</v>
      </c>
      <c r="AE63" s="199">
        <f t="shared" si="21"/>
        <v>60</v>
      </c>
      <c r="AF63" s="199">
        <f t="shared" si="22"/>
        <v>135</v>
      </c>
      <c r="AG63" s="200">
        <v>1.75</v>
      </c>
      <c r="AH63" s="200">
        <v>2.5625</v>
      </c>
      <c r="AI63" s="200">
        <v>3.375</v>
      </c>
      <c r="AJ63" s="201">
        <f t="shared" si="23"/>
        <v>26.25</v>
      </c>
      <c r="AK63" s="201">
        <f t="shared" si="24"/>
        <v>153.75</v>
      </c>
      <c r="AL63" s="201">
        <f t="shared" si="25"/>
        <v>455.625</v>
      </c>
      <c r="AM63" s="244">
        <f t="shared" si="28"/>
        <v>0.70000000000000007</v>
      </c>
      <c r="AN63" s="244">
        <f t="shared" si="29"/>
        <v>4</v>
      </c>
      <c r="AO63" s="244">
        <f t="shared" si="30"/>
        <v>6.7</v>
      </c>
      <c r="AP63" s="244" t="e">
        <f t="shared" si="31"/>
        <v>#N/A</v>
      </c>
      <c r="AQ63" s="244">
        <f t="shared" si="32"/>
        <v>0.03</v>
      </c>
      <c r="AR63" s="244">
        <f t="shared" si="33"/>
        <v>0.12</v>
      </c>
      <c r="AS63" s="245">
        <f t="shared" si="34"/>
        <v>0.21000000000000002</v>
      </c>
      <c r="AT63" s="245">
        <f t="shared" si="35"/>
        <v>1.2000000000000002</v>
      </c>
      <c r="AU63" s="245">
        <f t="shared" si="36"/>
        <v>2.0100000000000002</v>
      </c>
      <c r="AV63" s="3" t="s">
        <v>932</v>
      </c>
      <c r="AW63" s="88">
        <f t="shared" si="26"/>
        <v>1.1400000000000001</v>
      </c>
    </row>
    <row r="64" spans="1:49" x14ac:dyDescent="0.25">
      <c r="A64" s="120">
        <v>4539</v>
      </c>
      <c r="B64" s="365"/>
      <c r="C64" s="80" t="s">
        <v>294</v>
      </c>
      <c r="D64" s="98" t="s">
        <v>449</v>
      </c>
      <c r="E64" s="343" t="s">
        <v>304</v>
      </c>
      <c r="F64" s="40"/>
      <c r="G64" s="40"/>
      <c r="H64" s="40"/>
      <c r="I64" s="40"/>
      <c r="J64" s="40"/>
      <c r="K64" s="40"/>
      <c r="L64" s="178" t="s">
        <v>506</v>
      </c>
      <c r="M64" s="326" t="s">
        <v>506</v>
      </c>
      <c r="N64" s="30">
        <v>5</v>
      </c>
      <c r="O64" s="30">
        <v>50</v>
      </c>
      <c r="P64" s="179">
        <f t="shared" si="27"/>
        <v>2.5</v>
      </c>
      <c r="Q64" s="235">
        <f t="shared" si="15"/>
        <v>2.5</v>
      </c>
      <c r="R64" s="235">
        <f t="shared" si="16"/>
        <v>7.5</v>
      </c>
      <c r="S64" s="30" t="s">
        <v>742</v>
      </c>
      <c r="T64" s="38">
        <v>4</v>
      </c>
      <c r="U64" s="38">
        <v>50</v>
      </c>
      <c r="V64" s="191">
        <f t="shared" si="17"/>
        <v>2</v>
      </c>
      <c r="W64" s="237">
        <f t="shared" si="18"/>
        <v>2</v>
      </c>
      <c r="X64" s="237">
        <f t="shared" si="19"/>
        <v>6</v>
      </c>
      <c r="Y64" s="38" t="s">
        <v>1120</v>
      </c>
      <c r="Z64" s="11" t="s">
        <v>753</v>
      </c>
      <c r="AA64" s="11">
        <v>12</v>
      </c>
      <c r="AB64" s="32">
        <v>1.5</v>
      </c>
      <c r="AC64" s="32" t="s">
        <v>887</v>
      </c>
      <c r="AD64" s="198">
        <f t="shared" si="20"/>
        <v>90</v>
      </c>
      <c r="AE64" s="199">
        <f t="shared" si="21"/>
        <v>360</v>
      </c>
      <c r="AF64" s="199">
        <f t="shared" si="22"/>
        <v>810</v>
      </c>
      <c r="AG64" s="200">
        <v>2.85</v>
      </c>
      <c r="AH64" s="200">
        <v>3.5</v>
      </c>
      <c r="AI64" s="200">
        <v>4.1500000000000004</v>
      </c>
      <c r="AJ64" s="201">
        <f t="shared" si="23"/>
        <v>256.5</v>
      </c>
      <c r="AK64" s="201">
        <f t="shared" si="24"/>
        <v>1260</v>
      </c>
      <c r="AL64" s="201">
        <f t="shared" si="25"/>
        <v>3361.5000000000005</v>
      </c>
      <c r="AM64" s="244">
        <f t="shared" si="28"/>
        <v>5.5</v>
      </c>
      <c r="AN64" s="244">
        <f t="shared" si="29"/>
        <v>9</v>
      </c>
      <c r="AO64" s="244">
        <f>_xlfn.PERCENTRANK.INC($AJ$4:$AL$79,AL64,2)*10</f>
        <v>10</v>
      </c>
      <c r="AP64" s="244">
        <f t="shared" si="31"/>
        <v>0.1</v>
      </c>
      <c r="AQ64" s="244">
        <f t="shared" si="32"/>
        <v>0.15</v>
      </c>
      <c r="AR64" s="244">
        <f t="shared" si="33"/>
        <v>0.16</v>
      </c>
      <c r="AS64" s="245">
        <f t="shared" si="34"/>
        <v>1.6500000000000001</v>
      </c>
      <c r="AT64" s="245">
        <f t="shared" si="35"/>
        <v>2.7</v>
      </c>
      <c r="AU64" s="245">
        <f t="shared" si="36"/>
        <v>3</v>
      </c>
      <c r="AV64" s="3" t="s">
        <v>933</v>
      </c>
      <c r="AW64" s="88">
        <f t="shared" si="26"/>
        <v>2.4500000000000002</v>
      </c>
    </row>
    <row r="65" spans="1:49" x14ac:dyDescent="0.25">
      <c r="A65" s="107">
        <v>4262.12</v>
      </c>
      <c r="B65" s="367" t="s">
        <v>105</v>
      </c>
      <c r="C65" s="98" t="s">
        <v>585</v>
      </c>
      <c r="D65" s="98" t="s">
        <v>495</v>
      </c>
      <c r="E65" s="142" t="s">
        <v>106</v>
      </c>
      <c r="F65" s="40"/>
      <c r="G65" s="40"/>
      <c r="H65" s="40"/>
      <c r="I65" s="40"/>
      <c r="J65" s="40"/>
      <c r="K65" s="40"/>
      <c r="L65" s="178">
        <v>0</v>
      </c>
      <c r="M65" s="326">
        <v>0</v>
      </c>
      <c r="N65" s="30">
        <v>1</v>
      </c>
      <c r="O65" s="30">
        <v>25</v>
      </c>
      <c r="P65" s="179">
        <f t="shared" si="27"/>
        <v>0.25</v>
      </c>
      <c r="Q65" s="235">
        <f t="shared" si="15"/>
        <v>0.75</v>
      </c>
      <c r="R65" s="235">
        <f t="shared" si="16"/>
        <v>1.25</v>
      </c>
      <c r="S65" s="30" t="s">
        <v>742</v>
      </c>
      <c r="T65" s="38">
        <v>2</v>
      </c>
      <c r="U65" s="38">
        <v>50</v>
      </c>
      <c r="V65" s="191">
        <f t="shared" si="17"/>
        <v>1</v>
      </c>
      <c r="W65" s="237">
        <f t="shared" si="18"/>
        <v>1</v>
      </c>
      <c r="X65" s="237">
        <f t="shared" si="19"/>
        <v>3</v>
      </c>
      <c r="Y65" s="38" t="s">
        <v>913</v>
      </c>
      <c r="Z65" s="11" t="s">
        <v>766</v>
      </c>
      <c r="AA65" s="11">
        <v>3</v>
      </c>
      <c r="AB65" s="32">
        <v>1</v>
      </c>
      <c r="AC65" s="32" t="s">
        <v>888</v>
      </c>
      <c r="AD65" s="198">
        <f t="shared" si="20"/>
        <v>2.25</v>
      </c>
      <c r="AE65" s="199">
        <f t="shared" si="21"/>
        <v>6</v>
      </c>
      <c r="AF65" s="199">
        <f t="shared" si="22"/>
        <v>11.25</v>
      </c>
      <c r="AG65" s="200">
        <v>1.0625</v>
      </c>
      <c r="AH65" s="200">
        <v>1.8125</v>
      </c>
      <c r="AI65" s="200">
        <v>2.5625</v>
      </c>
      <c r="AJ65" s="201">
        <f t="shared" si="23"/>
        <v>2.390625</v>
      </c>
      <c r="AK65" s="201">
        <f t="shared" si="24"/>
        <v>10.875</v>
      </c>
      <c r="AL65" s="201">
        <f t="shared" si="25"/>
        <v>28.828125</v>
      </c>
      <c r="AM65" s="244">
        <f t="shared" si="28"/>
        <v>0</v>
      </c>
      <c r="AN65" s="244">
        <f>_xlfn.PERCENTRANK.INC($AJ$4:$AL$79,AK65,2)*10</f>
        <v>0.1</v>
      </c>
      <c r="AO65" s="244">
        <f>_xlfn.PERCENTRANK.INC($AJ$4:$AL$79,AL65,2)*10</f>
        <v>0.89999999999999991</v>
      </c>
      <c r="AP65" s="244" t="e">
        <f t="shared" si="31"/>
        <v>#N/A</v>
      </c>
      <c r="AQ65" s="244" t="e">
        <f t="shared" si="32"/>
        <v>#N/A</v>
      </c>
      <c r="AR65" s="244" t="e">
        <f t="shared" si="33"/>
        <v>#N/A</v>
      </c>
      <c r="AS65" s="245">
        <f t="shared" si="34"/>
        <v>0</v>
      </c>
      <c r="AT65" s="245">
        <f t="shared" si="35"/>
        <v>0.03</v>
      </c>
      <c r="AU65" s="245">
        <f t="shared" si="36"/>
        <v>0.27</v>
      </c>
      <c r="AV65" s="3" t="s">
        <v>931</v>
      </c>
      <c r="AW65" s="88">
        <f t="shared" si="26"/>
        <v>0.10000000000000002</v>
      </c>
    </row>
    <row r="66" spans="1:49" x14ac:dyDescent="0.25">
      <c r="A66" s="107">
        <v>4262.1000000000004</v>
      </c>
      <c r="B66" s="368"/>
      <c r="C66" s="98" t="s">
        <v>108</v>
      </c>
      <c r="D66" s="98" t="s">
        <v>496</v>
      </c>
      <c r="E66" s="142" t="s">
        <v>109</v>
      </c>
      <c r="F66" s="40"/>
      <c r="G66" s="40"/>
      <c r="H66" s="40"/>
      <c r="I66" s="40"/>
      <c r="J66" s="40"/>
      <c r="K66" s="40"/>
      <c r="L66" s="178">
        <v>0</v>
      </c>
      <c r="M66" s="326">
        <v>0</v>
      </c>
      <c r="N66" s="30">
        <v>1</v>
      </c>
      <c r="O66" s="30">
        <v>25</v>
      </c>
      <c r="P66" s="179">
        <f t="shared" si="27"/>
        <v>0.25</v>
      </c>
      <c r="Q66" s="235">
        <f t="shared" si="15"/>
        <v>0.75</v>
      </c>
      <c r="R66" s="235">
        <f t="shared" si="16"/>
        <v>1.25</v>
      </c>
      <c r="S66" s="30" t="s">
        <v>742</v>
      </c>
      <c r="T66" s="38">
        <v>2</v>
      </c>
      <c r="U66" s="38">
        <v>10</v>
      </c>
      <c r="V66" s="191">
        <f t="shared" si="17"/>
        <v>0.2</v>
      </c>
      <c r="W66" s="237">
        <f t="shared" si="18"/>
        <v>1.8</v>
      </c>
      <c r="X66" s="237">
        <f t="shared" si="19"/>
        <v>2.2000000000000002</v>
      </c>
      <c r="Y66" s="38" t="s">
        <v>915</v>
      </c>
      <c r="Z66" s="11" t="s">
        <v>793</v>
      </c>
      <c r="AA66" s="11">
        <v>12</v>
      </c>
      <c r="AB66" s="32">
        <v>1</v>
      </c>
      <c r="AC66" s="32" t="s">
        <v>889</v>
      </c>
      <c r="AD66" s="198">
        <f t="shared" si="20"/>
        <v>16.2</v>
      </c>
      <c r="AE66" s="199">
        <f t="shared" si="21"/>
        <v>24</v>
      </c>
      <c r="AF66" s="199">
        <f t="shared" si="22"/>
        <v>33</v>
      </c>
      <c r="AG66" s="200">
        <v>1.0625</v>
      </c>
      <c r="AH66" s="200">
        <v>1.8125</v>
      </c>
      <c r="AI66" s="200">
        <v>2.5625</v>
      </c>
      <c r="AJ66" s="201">
        <f t="shared" si="23"/>
        <v>17.212499999999999</v>
      </c>
      <c r="AK66" s="201">
        <f t="shared" si="24"/>
        <v>43.5</v>
      </c>
      <c r="AL66" s="201">
        <f t="shared" si="25"/>
        <v>84.5625</v>
      </c>
      <c r="AM66" s="244">
        <f t="shared" si="28"/>
        <v>0.5</v>
      </c>
      <c r="AN66" s="244">
        <f>_xlfn.PERCENTRANK.INC($AJ$4:$AL$79,AK66,2)*10</f>
        <v>1.5</v>
      </c>
      <c r="AO66" s="244">
        <f t="shared" si="30"/>
        <v>2.4</v>
      </c>
      <c r="AP66" s="244" t="e">
        <f t="shared" si="31"/>
        <v>#N/A</v>
      </c>
      <c r="AQ66" s="244" t="e">
        <f t="shared" si="32"/>
        <v>#N/A</v>
      </c>
      <c r="AR66" s="244">
        <f t="shared" si="33"/>
        <v>0</v>
      </c>
      <c r="AS66" s="245">
        <f t="shared" si="34"/>
        <v>0.15000000000000002</v>
      </c>
      <c r="AT66" s="245">
        <f t="shared" si="35"/>
        <v>0.44999999999999996</v>
      </c>
      <c r="AU66" s="245">
        <f t="shared" si="36"/>
        <v>0.72</v>
      </c>
      <c r="AV66" s="3" t="s">
        <v>931</v>
      </c>
      <c r="AW66" s="88">
        <f t="shared" si="26"/>
        <v>0.43999999999999995</v>
      </c>
    </row>
    <row r="67" spans="1:49" x14ac:dyDescent="0.25">
      <c r="A67" s="107">
        <v>4262.09</v>
      </c>
      <c r="B67" s="368"/>
      <c r="C67" s="98" t="s">
        <v>111</v>
      </c>
      <c r="D67" s="98" t="s">
        <v>497</v>
      </c>
      <c r="E67" s="142" t="s">
        <v>112</v>
      </c>
      <c r="F67" s="40"/>
      <c r="G67" s="40"/>
      <c r="H67" s="40"/>
      <c r="I67" s="40"/>
      <c r="J67" s="40"/>
      <c r="K67" s="40"/>
      <c r="L67" s="178">
        <v>0</v>
      </c>
      <c r="M67" s="326">
        <v>0</v>
      </c>
      <c r="N67" s="30">
        <v>1</v>
      </c>
      <c r="O67" s="30">
        <v>25</v>
      </c>
      <c r="P67" s="179">
        <f t="shared" si="27"/>
        <v>0.25</v>
      </c>
      <c r="Q67" s="235">
        <f t="shared" si="15"/>
        <v>0.75</v>
      </c>
      <c r="R67" s="235">
        <f t="shared" si="16"/>
        <v>1.25</v>
      </c>
      <c r="S67" s="30" t="s">
        <v>742</v>
      </c>
      <c r="T67" s="38">
        <v>2</v>
      </c>
      <c r="U67" s="38">
        <v>50</v>
      </c>
      <c r="V67" s="191">
        <f t="shared" si="17"/>
        <v>1</v>
      </c>
      <c r="W67" s="237">
        <f t="shared" si="18"/>
        <v>1</v>
      </c>
      <c r="X67" s="237">
        <f t="shared" si="19"/>
        <v>3</v>
      </c>
      <c r="Y67" s="38" t="s">
        <v>914</v>
      </c>
      <c r="Z67" s="11" t="s">
        <v>753</v>
      </c>
      <c r="AA67" s="11">
        <v>12</v>
      </c>
      <c r="AB67" s="32">
        <v>1</v>
      </c>
      <c r="AC67" s="32" t="s">
        <v>890</v>
      </c>
      <c r="AD67" s="198">
        <f t="shared" si="20"/>
        <v>9</v>
      </c>
      <c r="AE67" s="199">
        <f t="shared" si="21"/>
        <v>24</v>
      </c>
      <c r="AF67" s="199">
        <f t="shared" si="22"/>
        <v>45</v>
      </c>
      <c r="AG67" s="200">
        <v>1.3125</v>
      </c>
      <c r="AH67" s="200">
        <v>2.0625</v>
      </c>
      <c r="AI67" s="200">
        <v>2.8125</v>
      </c>
      <c r="AJ67" s="201">
        <f t="shared" si="23"/>
        <v>11.8125</v>
      </c>
      <c r="AK67" s="201">
        <f t="shared" si="24"/>
        <v>49.5</v>
      </c>
      <c r="AL67" s="201">
        <f t="shared" si="25"/>
        <v>126.5625</v>
      </c>
      <c r="AM67" s="244">
        <f t="shared" si="28"/>
        <v>0.2</v>
      </c>
      <c r="AN67" s="244">
        <f>_xlfn.PERCENTRANK.INC($AJ$4:$AL$79,AK67,2)*10</f>
        <v>1.7999999999999998</v>
      </c>
      <c r="AO67" s="244">
        <f>_xlfn.PERCENTRANK.INC($AJ$4:$AL$79,AL67,2)*10</f>
        <v>3.2</v>
      </c>
      <c r="AP67" s="244" t="e">
        <f t="shared" si="31"/>
        <v>#N/A</v>
      </c>
      <c r="AQ67" s="244" t="e">
        <f t="shared" si="32"/>
        <v>#N/A</v>
      </c>
      <c r="AR67" s="244">
        <f t="shared" si="33"/>
        <v>0.01</v>
      </c>
      <c r="AS67" s="245">
        <f t="shared" si="34"/>
        <v>0.06</v>
      </c>
      <c r="AT67" s="245">
        <f t="shared" si="35"/>
        <v>0.54</v>
      </c>
      <c r="AU67" s="245">
        <f t="shared" si="36"/>
        <v>0.96</v>
      </c>
      <c r="AV67" s="3" t="s">
        <v>931</v>
      </c>
      <c r="AW67" s="88">
        <f t="shared" si="26"/>
        <v>0.52</v>
      </c>
    </row>
    <row r="68" spans="1:49" x14ac:dyDescent="0.25">
      <c r="A68" s="107">
        <v>4262.03</v>
      </c>
      <c r="B68" s="369"/>
      <c r="C68" s="98" t="s">
        <v>114</v>
      </c>
      <c r="D68" s="98" t="s">
        <v>498</v>
      </c>
      <c r="E68" s="142" t="s">
        <v>115</v>
      </c>
      <c r="F68" s="40"/>
      <c r="G68" s="40"/>
      <c r="H68" s="40"/>
      <c r="I68" s="40"/>
      <c r="J68" s="40"/>
      <c r="K68" s="40"/>
      <c r="L68" s="178">
        <v>0</v>
      </c>
      <c r="M68" s="326">
        <v>0</v>
      </c>
      <c r="N68" s="30">
        <v>1</v>
      </c>
      <c r="O68" s="30">
        <v>50</v>
      </c>
      <c r="P68" s="179">
        <f t="shared" si="27"/>
        <v>0.5</v>
      </c>
      <c r="Q68" s="235">
        <f t="shared" si="15"/>
        <v>0.5</v>
      </c>
      <c r="R68" s="235">
        <f t="shared" si="16"/>
        <v>1.5</v>
      </c>
      <c r="S68" s="30" t="s">
        <v>742</v>
      </c>
      <c r="T68" s="38">
        <v>2</v>
      </c>
      <c r="U68" s="38">
        <v>50</v>
      </c>
      <c r="V68" s="191">
        <f t="shared" si="17"/>
        <v>1</v>
      </c>
      <c r="W68" s="237">
        <f t="shared" si="18"/>
        <v>1</v>
      </c>
      <c r="X68" s="237">
        <f t="shared" si="19"/>
        <v>3</v>
      </c>
      <c r="Y68" s="38" t="s">
        <v>1096</v>
      </c>
      <c r="Z68" s="11" t="s">
        <v>758</v>
      </c>
      <c r="AA68" s="11">
        <v>5</v>
      </c>
      <c r="AB68" s="32">
        <v>1</v>
      </c>
      <c r="AC68" s="32" t="s">
        <v>896</v>
      </c>
      <c r="AD68" s="198">
        <f t="shared" si="20"/>
        <v>2.5</v>
      </c>
      <c r="AE68" s="199">
        <f t="shared" si="21"/>
        <v>10</v>
      </c>
      <c r="AF68" s="199">
        <f t="shared" si="22"/>
        <v>22.5</v>
      </c>
      <c r="AG68" s="200">
        <v>2.8125</v>
      </c>
      <c r="AH68" s="200">
        <v>3.3125</v>
      </c>
      <c r="AI68" s="200">
        <v>3.8125</v>
      </c>
      <c r="AJ68" s="201">
        <f t="shared" si="23"/>
        <v>7.03125</v>
      </c>
      <c r="AK68" s="201">
        <f t="shared" si="24"/>
        <v>33.125</v>
      </c>
      <c r="AL68" s="201">
        <f t="shared" si="25"/>
        <v>85.78125</v>
      </c>
      <c r="AM68" s="244">
        <f t="shared" ref="AM68:AM78" si="38">_xlfn.PERCENTRANK.INC($AJ$4:$AL$79,AJ68,2)*10</f>
        <v>0.1</v>
      </c>
      <c r="AN68" s="244">
        <f t="shared" ref="AN68:AN79" si="39">_xlfn.PERCENTRANK.INC($AJ$4:$AL$79,AK68,2)*10</f>
        <v>1.1000000000000001</v>
      </c>
      <c r="AO68" s="244">
        <f t="shared" ref="AO68:AO79" si="40">_xlfn.PERCENTRANK.INC($AJ$4:$AL$79,AL68,2)*10</f>
        <v>2.5</v>
      </c>
      <c r="AP68" s="244" t="e">
        <f t="shared" ref="AP68:AP79" si="41">_xlfn.PERCENTRANK.INC($AJ$4:$AL$180,AM68,3)*10</f>
        <v>#N/A</v>
      </c>
      <c r="AQ68" s="244" t="e">
        <f t="shared" ref="AQ68:AQ79" si="42">_xlfn.PERCENTRANK.INC($AJ$4:$AL$180,AN68,3)*10</f>
        <v>#N/A</v>
      </c>
      <c r="AR68" s="244">
        <f t="shared" ref="AR68:AR80" si="43">_xlfn.PERCENTRANK.INC($AJ$4:$AL$180,AO68,3)*10</f>
        <v>0</v>
      </c>
      <c r="AS68" s="245">
        <f t="shared" ref="AS68:AS79" si="44">_xlfn.PERCENTRANK.INC($AJ$4:$AL$79,AJ68,2)*3</f>
        <v>0.03</v>
      </c>
      <c r="AT68" s="245">
        <f t="shared" ref="AT68:AT79" si="45">_xlfn.PERCENTRANK.INC($AJ$4:$AL$79,AK68,2)*3</f>
        <v>0.33</v>
      </c>
      <c r="AU68" s="245">
        <f t="shared" ref="AU68:AU79" si="46">_xlfn.PERCENTRANK.INC($AJ$4:$AL$79,AL68,2)*3</f>
        <v>0.75</v>
      </c>
      <c r="AV68" s="3" t="s">
        <v>931</v>
      </c>
      <c r="AW68" s="88">
        <f t="shared" si="26"/>
        <v>0.36999999999999994</v>
      </c>
    </row>
    <row r="69" spans="1:49" x14ac:dyDescent="0.25">
      <c r="A69" s="107">
        <v>4262.6099999999997</v>
      </c>
      <c r="B69" s="363" t="s">
        <v>117</v>
      </c>
      <c r="C69" s="98" t="s">
        <v>118</v>
      </c>
      <c r="D69" s="98" t="s">
        <v>499</v>
      </c>
      <c r="E69" s="142" t="s">
        <v>119</v>
      </c>
      <c r="F69" s="40"/>
      <c r="G69" s="40"/>
      <c r="H69" s="40"/>
      <c r="I69" s="40"/>
      <c r="J69" s="40"/>
      <c r="K69" s="40"/>
      <c r="L69" s="178" t="s">
        <v>741</v>
      </c>
      <c r="M69" s="326" t="s">
        <v>741</v>
      </c>
      <c r="N69" s="30">
        <v>5</v>
      </c>
      <c r="O69" s="30">
        <v>25</v>
      </c>
      <c r="P69" s="179">
        <f t="shared" si="27"/>
        <v>1.25</v>
      </c>
      <c r="Q69" s="235">
        <f t="shared" ref="Q69:Q79" si="47">N69-P69</f>
        <v>3.75</v>
      </c>
      <c r="R69" s="235">
        <f t="shared" ref="R69:R79" si="48">N69+P69</f>
        <v>6.25</v>
      </c>
      <c r="S69" s="30" t="s">
        <v>742</v>
      </c>
      <c r="T69" s="38">
        <v>3</v>
      </c>
      <c r="U69" s="38">
        <v>25</v>
      </c>
      <c r="V69" s="191">
        <f t="shared" ref="V69:V78" si="49">(U69/100)*T69</f>
        <v>0.75</v>
      </c>
      <c r="W69" s="237">
        <f t="shared" ref="W69:W79" si="50">T69-V69</f>
        <v>2.25</v>
      </c>
      <c r="X69" s="237">
        <f t="shared" ref="X69:X79" si="51">T69+V69</f>
        <v>3.75</v>
      </c>
      <c r="Y69" s="38" t="s">
        <v>904</v>
      </c>
      <c r="Z69" s="11" t="s">
        <v>785</v>
      </c>
      <c r="AA69" s="11">
        <v>12</v>
      </c>
      <c r="AB69" s="32">
        <v>2</v>
      </c>
      <c r="AC69" s="32" t="s">
        <v>852</v>
      </c>
      <c r="AD69" s="198">
        <f t="shared" ref="AD69:AD78" si="52">AA69*Q69*(W69*AB69)</f>
        <v>202.5</v>
      </c>
      <c r="AE69" s="199">
        <f t="shared" ref="AE69:AE78" si="53">AA69*N69*(T69*AB69)</f>
        <v>360</v>
      </c>
      <c r="AF69" s="199">
        <f t="shared" ref="AF69:AF78" si="54">AA69*R69*(X69*AB69)</f>
        <v>562.5</v>
      </c>
      <c r="AG69" s="200">
        <v>1.95</v>
      </c>
      <c r="AH69" s="200">
        <v>2.5</v>
      </c>
      <c r="AI69" s="200">
        <v>3.05</v>
      </c>
      <c r="AJ69" s="201">
        <f t="shared" ref="AJ69:AJ78" si="55">AD69*AG69</f>
        <v>394.875</v>
      </c>
      <c r="AK69" s="201">
        <f t="shared" ref="AK69:AK78" si="56">AE69*AH69</f>
        <v>900</v>
      </c>
      <c r="AL69" s="201">
        <f t="shared" ref="AL69:AL78" si="57">AF69*AI69</f>
        <v>1715.625</v>
      </c>
      <c r="AM69" s="244">
        <f t="shared" si="38"/>
        <v>6.5</v>
      </c>
      <c r="AN69" s="244">
        <f t="shared" si="39"/>
        <v>8.5</v>
      </c>
      <c r="AO69" s="244">
        <f t="shared" si="40"/>
        <v>9.3000000000000007</v>
      </c>
      <c r="AP69" s="244">
        <f t="shared" si="41"/>
        <v>0.12</v>
      </c>
      <c r="AQ69" s="244">
        <f t="shared" si="42"/>
        <v>0.14000000000000001</v>
      </c>
      <c r="AR69" s="244">
        <f t="shared" si="43"/>
        <v>0.15</v>
      </c>
      <c r="AS69" s="245">
        <f t="shared" si="44"/>
        <v>1.9500000000000002</v>
      </c>
      <c r="AT69" s="245">
        <f t="shared" si="45"/>
        <v>2.5499999999999998</v>
      </c>
      <c r="AU69" s="245">
        <f t="shared" si="46"/>
        <v>2.79</v>
      </c>
      <c r="AV69" s="3" t="s">
        <v>933</v>
      </c>
      <c r="AW69" s="88">
        <f t="shared" ref="AW69:AW79" si="58">AVERAGE(AS69:AU69)</f>
        <v>2.4300000000000002</v>
      </c>
    </row>
    <row r="70" spans="1:49" x14ac:dyDescent="0.25">
      <c r="A70" s="107">
        <v>4262.54</v>
      </c>
      <c r="B70" s="364"/>
      <c r="C70" s="98" t="s">
        <v>123</v>
      </c>
      <c r="D70" s="98" t="s">
        <v>451</v>
      </c>
      <c r="E70" s="142" t="s">
        <v>124</v>
      </c>
      <c r="F70" s="40"/>
      <c r="G70" s="40"/>
      <c r="H70" s="40"/>
      <c r="I70" s="40"/>
      <c r="J70" s="40"/>
      <c r="K70" s="40"/>
      <c r="L70" s="178" t="s">
        <v>741</v>
      </c>
      <c r="M70" s="326" t="s">
        <v>741</v>
      </c>
      <c r="N70" s="30">
        <v>5</v>
      </c>
      <c r="O70" s="30">
        <v>25</v>
      </c>
      <c r="P70" s="179">
        <f t="shared" si="27"/>
        <v>1.25</v>
      </c>
      <c r="Q70" s="235">
        <f t="shared" si="47"/>
        <v>3.75</v>
      </c>
      <c r="R70" s="235">
        <f t="shared" si="48"/>
        <v>6.25</v>
      </c>
      <c r="S70" s="30" t="s">
        <v>742</v>
      </c>
      <c r="T70" s="38">
        <v>3</v>
      </c>
      <c r="U70" s="38">
        <v>25</v>
      </c>
      <c r="V70" s="191">
        <f t="shared" si="49"/>
        <v>0.75</v>
      </c>
      <c r="W70" s="237">
        <f t="shared" si="50"/>
        <v>2.25</v>
      </c>
      <c r="X70" s="237">
        <f t="shared" si="51"/>
        <v>3.75</v>
      </c>
      <c r="Y70" s="38" t="s">
        <v>1121</v>
      </c>
      <c r="Z70" s="11" t="s">
        <v>753</v>
      </c>
      <c r="AA70" s="11">
        <v>12</v>
      </c>
      <c r="AB70" s="32">
        <v>2</v>
      </c>
      <c r="AC70" s="32" t="s">
        <v>851</v>
      </c>
      <c r="AD70" s="198">
        <f t="shared" si="52"/>
        <v>202.5</v>
      </c>
      <c r="AE70" s="199">
        <f t="shared" si="53"/>
        <v>360</v>
      </c>
      <c r="AF70" s="199">
        <f t="shared" si="54"/>
        <v>562.5</v>
      </c>
      <c r="AG70" s="200">
        <v>2.9375</v>
      </c>
      <c r="AH70" s="200">
        <v>3.5</v>
      </c>
      <c r="AI70" s="200">
        <v>4.0625</v>
      </c>
      <c r="AJ70" s="201">
        <f t="shared" si="55"/>
        <v>594.84375</v>
      </c>
      <c r="AK70" s="201">
        <f t="shared" si="56"/>
        <v>1260</v>
      </c>
      <c r="AL70" s="201">
        <f t="shared" si="57"/>
        <v>2285.15625</v>
      </c>
      <c r="AM70" s="244">
        <f t="shared" si="38"/>
        <v>7.3</v>
      </c>
      <c r="AN70" s="244">
        <f t="shared" si="39"/>
        <v>9</v>
      </c>
      <c r="AO70" s="244">
        <f t="shared" si="40"/>
        <v>9.6</v>
      </c>
      <c r="AP70" s="244">
        <f t="shared" si="41"/>
        <v>0.13</v>
      </c>
      <c r="AQ70" s="244">
        <f t="shared" si="42"/>
        <v>0.15</v>
      </c>
      <c r="AR70" s="244">
        <f t="shared" si="43"/>
        <v>0.16</v>
      </c>
      <c r="AS70" s="245">
        <f t="shared" si="44"/>
        <v>2.19</v>
      </c>
      <c r="AT70" s="245">
        <f t="shared" si="45"/>
        <v>2.7</v>
      </c>
      <c r="AU70" s="245">
        <f t="shared" si="46"/>
        <v>2.88</v>
      </c>
      <c r="AV70" s="3" t="s">
        <v>933</v>
      </c>
      <c r="AW70" s="88">
        <f t="shared" si="58"/>
        <v>2.5900000000000003</v>
      </c>
    </row>
    <row r="71" spans="1:49" x14ac:dyDescent="0.25">
      <c r="A71" s="107">
        <v>4262.5600000000004</v>
      </c>
      <c r="B71" s="364"/>
      <c r="C71" s="98" t="s">
        <v>1055</v>
      </c>
      <c r="D71" s="98" t="s">
        <v>452</v>
      </c>
      <c r="E71" s="142" t="s">
        <v>126</v>
      </c>
      <c r="F71" s="40"/>
      <c r="G71" s="40"/>
      <c r="H71" s="40"/>
      <c r="I71" s="40"/>
      <c r="J71" s="40"/>
      <c r="K71" s="40"/>
      <c r="L71" s="178" t="s">
        <v>741</v>
      </c>
      <c r="M71" s="326" t="s">
        <v>741</v>
      </c>
      <c r="N71" s="30">
        <v>5</v>
      </c>
      <c r="O71" s="30">
        <v>25</v>
      </c>
      <c r="P71" s="179">
        <f t="shared" si="27"/>
        <v>1.25</v>
      </c>
      <c r="Q71" s="235">
        <f t="shared" si="47"/>
        <v>3.75</v>
      </c>
      <c r="R71" s="235">
        <f t="shared" si="48"/>
        <v>6.25</v>
      </c>
      <c r="S71" s="30" t="s">
        <v>742</v>
      </c>
      <c r="T71" s="38">
        <v>4</v>
      </c>
      <c r="U71" s="38">
        <v>25</v>
      </c>
      <c r="V71" s="191">
        <f t="shared" si="49"/>
        <v>1</v>
      </c>
      <c r="W71" s="237">
        <f t="shared" si="50"/>
        <v>3</v>
      </c>
      <c r="X71" s="237">
        <f t="shared" si="51"/>
        <v>5</v>
      </c>
      <c r="Y71" s="38" t="s">
        <v>902</v>
      </c>
      <c r="Z71" s="11" t="s">
        <v>753</v>
      </c>
      <c r="AA71" s="11">
        <v>12</v>
      </c>
      <c r="AB71" s="32">
        <v>1.5</v>
      </c>
      <c r="AC71" s="32" t="s">
        <v>891</v>
      </c>
      <c r="AD71" s="198">
        <f t="shared" si="52"/>
        <v>202.5</v>
      </c>
      <c r="AE71" s="199">
        <f t="shared" si="53"/>
        <v>360</v>
      </c>
      <c r="AF71" s="199">
        <f t="shared" si="54"/>
        <v>562.5</v>
      </c>
      <c r="AG71" s="200">
        <v>3.0750000000000002</v>
      </c>
      <c r="AH71" s="200">
        <v>3.75</v>
      </c>
      <c r="AI71" s="200">
        <v>4.4249999999999998</v>
      </c>
      <c r="AJ71" s="201">
        <f t="shared" si="55"/>
        <v>622.6875</v>
      </c>
      <c r="AK71" s="201">
        <f t="shared" si="56"/>
        <v>1350</v>
      </c>
      <c r="AL71" s="201">
        <f t="shared" si="57"/>
        <v>2489.0625</v>
      </c>
      <c r="AM71" s="244">
        <f>_xlfn.PERCENTRANK.INC($AJ$4:$AL$79,AJ71,2)*10</f>
        <v>7.4</v>
      </c>
      <c r="AN71" s="244">
        <f>_xlfn.PERCENTRANK.INC($AJ$4:$AL$79,AK71,2)*10</f>
        <v>9.1</v>
      </c>
      <c r="AO71" s="244">
        <f>_xlfn.PERCENTRANK.INC($AJ$4:$AL$79,AL71,2)*10</f>
        <v>9.8000000000000007</v>
      </c>
      <c r="AP71" s="244">
        <f t="shared" si="41"/>
        <v>0.13</v>
      </c>
      <c r="AQ71" s="244">
        <f t="shared" si="42"/>
        <v>0.15</v>
      </c>
      <c r="AR71" s="244">
        <f t="shared" si="43"/>
        <v>0.16</v>
      </c>
      <c r="AS71" s="245">
        <f t="shared" si="44"/>
        <v>2.2199999999999998</v>
      </c>
      <c r="AT71" s="245">
        <f t="shared" si="45"/>
        <v>2.73</v>
      </c>
      <c r="AU71" s="245">
        <f t="shared" si="46"/>
        <v>2.94</v>
      </c>
      <c r="AV71" s="3" t="s">
        <v>933</v>
      </c>
      <c r="AW71" s="88">
        <f t="shared" si="58"/>
        <v>2.6299999999999994</v>
      </c>
    </row>
    <row r="72" spans="1:49" x14ac:dyDescent="0.25">
      <c r="A72" s="107">
        <v>4262.59</v>
      </c>
      <c r="B72" s="364"/>
      <c r="C72" s="98" t="s">
        <v>292</v>
      </c>
      <c r="D72" s="83" t="s">
        <v>500</v>
      </c>
      <c r="E72" s="343" t="s">
        <v>322</v>
      </c>
      <c r="F72" s="40"/>
      <c r="G72" s="40"/>
      <c r="H72" s="40"/>
      <c r="I72" s="40"/>
      <c r="J72" s="40"/>
      <c r="K72" s="40"/>
      <c r="L72" s="178" t="s">
        <v>741</v>
      </c>
      <c r="M72" s="326" t="s">
        <v>741</v>
      </c>
      <c r="N72" s="30">
        <v>5</v>
      </c>
      <c r="O72" s="30">
        <v>25</v>
      </c>
      <c r="P72" s="179">
        <f t="shared" si="27"/>
        <v>1.25</v>
      </c>
      <c r="Q72" s="235">
        <f t="shared" si="47"/>
        <v>3.75</v>
      </c>
      <c r="R72" s="235">
        <f t="shared" si="48"/>
        <v>6.25</v>
      </c>
      <c r="S72" s="30" t="s">
        <v>742</v>
      </c>
      <c r="T72" s="38">
        <v>4</v>
      </c>
      <c r="U72" s="38">
        <v>50</v>
      </c>
      <c r="V72" s="191">
        <f t="shared" si="49"/>
        <v>2</v>
      </c>
      <c r="W72" s="237">
        <f t="shared" si="50"/>
        <v>2</v>
      </c>
      <c r="X72" s="237">
        <f t="shared" si="51"/>
        <v>6</v>
      </c>
      <c r="Y72" s="38" t="s">
        <v>902</v>
      </c>
      <c r="Z72" s="11" t="s">
        <v>780</v>
      </c>
      <c r="AA72" s="11">
        <v>4</v>
      </c>
      <c r="AB72" s="32">
        <v>1</v>
      </c>
      <c r="AC72" s="32" t="s">
        <v>852</v>
      </c>
      <c r="AD72" s="198">
        <f t="shared" si="52"/>
        <v>30</v>
      </c>
      <c r="AE72" s="199">
        <f t="shared" si="53"/>
        <v>80</v>
      </c>
      <c r="AF72" s="199">
        <f t="shared" si="54"/>
        <v>150</v>
      </c>
      <c r="AG72" s="200">
        <v>2.75</v>
      </c>
      <c r="AH72" s="200">
        <v>3.5</v>
      </c>
      <c r="AI72" s="200">
        <v>4.25</v>
      </c>
      <c r="AJ72" s="201">
        <f t="shared" si="55"/>
        <v>82.5</v>
      </c>
      <c r="AK72" s="201">
        <f t="shared" si="56"/>
        <v>280</v>
      </c>
      <c r="AL72" s="201">
        <f t="shared" si="57"/>
        <v>637.5</v>
      </c>
      <c r="AM72" s="244">
        <f t="shared" si="38"/>
        <v>2.3000000000000003</v>
      </c>
      <c r="AN72" s="244">
        <f t="shared" si="39"/>
        <v>5.6000000000000005</v>
      </c>
      <c r="AO72" s="244">
        <f t="shared" si="40"/>
        <v>7.5</v>
      </c>
      <c r="AP72" s="244" t="e">
        <f t="shared" si="41"/>
        <v>#N/A</v>
      </c>
      <c r="AQ72" s="244">
        <f t="shared" si="42"/>
        <v>0.1</v>
      </c>
      <c r="AR72" s="244">
        <f t="shared" si="43"/>
        <v>0.13</v>
      </c>
      <c r="AS72" s="245">
        <f t="shared" si="44"/>
        <v>0.69000000000000006</v>
      </c>
      <c r="AT72" s="245">
        <f t="shared" si="45"/>
        <v>1.6800000000000002</v>
      </c>
      <c r="AU72" s="245">
        <f t="shared" si="46"/>
        <v>2.25</v>
      </c>
      <c r="AV72" s="3" t="s">
        <v>932</v>
      </c>
      <c r="AW72" s="88">
        <f t="shared" si="58"/>
        <v>1.54</v>
      </c>
    </row>
    <row r="73" spans="1:49" x14ac:dyDescent="0.25">
      <c r="A73" s="107">
        <v>4262.22</v>
      </c>
      <c r="B73" s="364"/>
      <c r="C73" s="98" t="s">
        <v>127</v>
      </c>
      <c r="D73" s="98" t="s">
        <v>453</v>
      </c>
      <c r="E73" s="142" t="s">
        <v>128</v>
      </c>
      <c r="F73" s="40"/>
      <c r="G73" s="40"/>
      <c r="H73" s="40"/>
      <c r="I73" s="40"/>
      <c r="J73" s="40"/>
      <c r="K73" s="40"/>
      <c r="L73" s="178" t="s">
        <v>741</v>
      </c>
      <c r="M73" s="326" t="s">
        <v>741</v>
      </c>
      <c r="N73" s="30">
        <v>5</v>
      </c>
      <c r="O73" s="30">
        <v>10</v>
      </c>
      <c r="P73" s="179">
        <f t="shared" ref="P73:P78" si="59">(O73/100)*N73</f>
        <v>0.5</v>
      </c>
      <c r="Q73" s="235">
        <f t="shared" si="47"/>
        <v>4.5</v>
      </c>
      <c r="R73" s="235">
        <f t="shared" si="48"/>
        <v>5.5</v>
      </c>
      <c r="S73" s="30" t="s">
        <v>1008</v>
      </c>
      <c r="T73" s="38">
        <v>3</v>
      </c>
      <c r="U73" s="38">
        <v>10</v>
      </c>
      <c r="V73" s="191">
        <f t="shared" si="49"/>
        <v>0.30000000000000004</v>
      </c>
      <c r="W73" s="237">
        <f t="shared" si="50"/>
        <v>2.7</v>
      </c>
      <c r="X73" s="237">
        <f t="shared" si="51"/>
        <v>3.3</v>
      </c>
      <c r="Y73" s="38" t="s">
        <v>916</v>
      </c>
      <c r="Z73" s="11" t="s">
        <v>753</v>
      </c>
      <c r="AA73" s="11">
        <v>12</v>
      </c>
      <c r="AB73" s="32">
        <v>2</v>
      </c>
      <c r="AC73" s="32" t="s">
        <v>892</v>
      </c>
      <c r="AD73" s="198">
        <f t="shared" si="52"/>
        <v>291.60000000000002</v>
      </c>
      <c r="AE73" s="199">
        <f t="shared" si="53"/>
        <v>360</v>
      </c>
      <c r="AF73" s="199">
        <f t="shared" si="54"/>
        <v>435.59999999999997</v>
      </c>
      <c r="AG73" s="200">
        <v>2.3624999999999998</v>
      </c>
      <c r="AH73" s="200">
        <v>2.75</v>
      </c>
      <c r="AI73" s="200">
        <v>3.1375000000000002</v>
      </c>
      <c r="AJ73" s="201">
        <f t="shared" si="55"/>
        <v>688.90499999999997</v>
      </c>
      <c r="AK73" s="201">
        <f t="shared" si="56"/>
        <v>990</v>
      </c>
      <c r="AL73" s="201">
        <f t="shared" si="57"/>
        <v>1366.6949999999999</v>
      </c>
      <c r="AM73" s="244">
        <f t="shared" si="38"/>
        <v>7.7</v>
      </c>
      <c r="AN73" s="244">
        <f t="shared" si="39"/>
        <v>8.6999999999999993</v>
      </c>
      <c r="AO73" s="244">
        <f t="shared" si="40"/>
        <v>9.2000000000000011</v>
      </c>
      <c r="AP73" s="244">
        <f t="shared" si="41"/>
        <v>0.13</v>
      </c>
      <c r="AQ73" s="244">
        <f t="shared" si="42"/>
        <v>0.15</v>
      </c>
      <c r="AR73" s="244">
        <f t="shared" si="43"/>
        <v>0.15</v>
      </c>
      <c r="AS73" s="245">
        <f t="shared" si="44"/>
        <v>2.31</v>
      </c>
      <c r="AT73" s="245">
        <f t="shared" si="45"/>
        <v>2.61</v>
      </c>
      <c r="AU73" s="245">
        <f t="shared" si="46"/>
        <v>2.7600000000000002</v>
      </c>
      <c r="AV73" s="3" t="s">
        <v>933</v>
      </c>
      <c r="AW73" s="88">
        <f t="shared" si="58"/>
        <v>2.56</v>
      </c>
    </row>
    <row r="74" spans="1:49" x14ac:dyDescent="0.25">
      <c r="A74" s="107">
        <v>4262.4399999999996</v>
      </c>
      <c r="B74" s="364"/>
      <c r="C74" s="98" t="s">
        <v>131</v>
      </c>
      <c r="D74" s="98" t="s">
        <v>455</v>
      </c>
      <c r="E74" s="142" t="s">
        <v>132</v>
      </c>
      <c r="F74" s="40"/>
      <c r="G74" s="40"/>
      <c r="H74" s="40"/>
      <c r="I74" s="40"/>
      <c r="J74" s="40"/>
      <c r="K74" s="40"/>
      <c r="L74" s="178" t="s">
        <v>741</v>
      </c>
      <c r="M74" s="326" t="s">
        <v>741</v>
      </c>
      <c r="N74" s="30">
        <v>5</v>
      </c>
      <c r="O74" s="30">
        <v>25</v>
      </c>
      <c r="P74" s="179">
        <f>(O74/100)*N74</f>
        <v>1.25</v>
      </c>
      <c r="Q74" s="235">
        <f t="shared" si="47"/>
        <v>3.75</v>
      </c>
      <c r="R74" s="235">
        <f t="shared" si="48"/>
        <v>6.25</v>
      </c>
      <c r="S74" s="30" t="s">
        <v>742</v>
      </c>
      <c r="T74" s="38">
        <v>3</v>
      </c>
      <c r="U74" s="38">
        <v>25</v>
      </c>
      <c r="V74" s="191">
        <f>(U74/100)*T74</f>
        <v>0.75</v>
      </c>
      <c r="W74" s="237">
        <f t="shared" si="50"/>
        <v>2.25</v>
      </c>
      <c r="X74" s="237">
        <f t="shared" si="51"/>
        <v>3.75</v>
      </c>
      <c r="Y74" s="38" t="s">
        <v>1122</v>
      </c>
      <c r="Z74" s="11" t="s">
        <v>760</v>
      </c>
      <c r="AA74" s="11">
        <v>4</v>
      </c>
      <c r="AB74" s="32">
        <v>2</v>
      </c>
      <c r="AC74" s="32" t="s">
        <v>851</v>
      </c>
      <c r="AD74" s="198">
        <f>AA74*Q74*(W74*AB74)</f>
        <v>67.5</v>
      </c>
      <c r="AE74" s="199">
        <f>AA74*N74*(T74*AB74)</f>
        <v>120</v>
      </c>
      <c r="AF74" s="199">
        <f>AA74*R74*(X74*AB74)</f>
        <v>187.5</v>
      </c>
      <c r="AG74" s="200">
        <v>2.4750000000000001</v>
      </c>
      <c r="AH74" s="200">
        <v>3</v>
      </c>
      <c r="AI74" s="200">
        <v>3.5250000000000004</v>
      </c>
      <c r="AJ74" s="201">
        <f>AD74*AG74</f>
        <v>167.0625</v>
      </c>
      <c r="AK74" s="201">
        <f>AE74*AH74</f>
        <v>360</v>
      </c>
      <c r="AL74" s="201">
        <f>AF74*AI74</f>
        <v>660.93750000000011</v>
      </c>
      <c r="AM74" s="244">
        <f t="shared" si="38"/>
        <v>4.0999999999999996</v>
      </c>
      <c r="AN74" s="244">
        <f t="shared" si="39"/>
        <v>6.2</v>
      </c>
      <c r="AO74" s="244">
        <f t="shared" si="40"/>
        <v>7.7</v>
      </c>
      <c r="AP74" s="244">
        <f t="shared" si="41"/>
        <v>0.03</v>
      </c>
      <c r="AQ74" s="244">
        <f t="shared" si="42"/>
        <v>0.10999999999999999</v>
      </c>
      <c r="AR74" s="244">
        <f t="shared" si="43"/>
        <v>0.13</v>
      </c>
      <c r="AS74" s="245">
        <f t="shared" si="44"/>
        <v>1.23</v>
      </c>
      <c r="AT74" s="245">
        <f t="shared" si="45"/>
        <v>1.8599999999999999</v>
      </c>
      <c r="AU74" s="245">
        <f t="shared" si="46"/>
        <v>2.31</v>
      </c>
      <c r="AV74" s="3" t="s">
        <v>932</v>
      </c>
      <c r="AW74" s="88">
        <f t="shared" si="58"/>
        <v>1.8</v>
      </c>
    </row>
    <row r="75" spans="1:49" x14ac:dyDescent="0.25">
      <c r="A75" s="107">
        <v>4262.8</v>
      </c>
      <c r="B75" s="364"/>
      <c r="C75" s="98" t="s">
        <v>588</v>
      </c>
      <c r="D75" s="98" t="s">
        <v>454</v>
      </c>
      <c r="E75" s="142" t="s">
        <v>330</v>
      </c>
      <c r="F75" s="40"/>
      <c r="G75" s="40"/>
      <c r="H75" s="40"/>
      <c r="I75" s="40"/>
      <c r="J75" s="40"/>
      <c r="K75" s="40"/>
      <c r="L75" s="178" t="s">
        <v>741</v>
      </c>
      <c r="M75" s="326" t="s">
        <v>741</v>
      </c>
      <c r="N75" s="30">
        <v>5</v>
      </c>
      <c r="O75" s="30">
        <v>25</v>
      </c>
      <c r="P75" s="179">
        <f t="shared" si="59"/>
        <v>1.25</v>
      </c>
      <c r="Q75" s="235">
        <f t="shared" si="47"/>
        <v>3.75</v>
      </c>
      <c r="R75" s="235">
        <f t="shared" si="48"/>
        <v>6.25</v>
      </c>
      <c r="S75" s="30" t="s">
        <v>742</v>
      </c>
      <c r="T75" s="38">
        <v>3</v>
      </c>
      <c r="U75" s="38">
        <v>25</v>
      </c>
      <c r="V75" s="191">
        <f t="shared" si="49"/>
        <v>0.75</v>
      </c>
      <c r="W75" s="237">
        <f t="shared" si="50"/>
        <v>2.25</v>
      </c>
      <c r="X75" s="237">
        <f t="shared" si="51"/>
        <v>3.75</v>
      </c>
      <c r="Y75" s="38" t="s">
        <v>901</v>
      </c>
      <c r="Z75" s="11" t="s">
        <v>753</v>
      </c>
      <c r="AA75" s="11">
        <v>12</v>
      </c>
      <c r="AB75" s="32">
        <v>2</v>
      </c>
      <c r="AC75" s="32" t="s">
        <v>893</v>
      </c>
      <c r="AD75" s="198">
        <f t="shared" si="52"/>
        <v>202.5</v>
      </c>
      <c r="AE75" s="199">
        <f t="shared" si="53"/>
        <v>360</v>
      </c>
      <c r="AF75" s="199">
        <f t="shared" si="54"/>
        <v>562.5</v>
      </c>
      <c r="AG75" s="200">
        <v>2.4375</v>
      </c>
      <c r="AH75" s="200">
        <v>3.25</v>
      </c>
      <c r="AI75" s="200">
        <v>4.0625</v>
      </c>
      <c r="AJ75" s="201">
        <f t="shared" si="55"/>
        <v>493.59375</v>
      </c>
      <c r="AK75" s="201">
        <f t="shared" si="56"/>
        <v>1170</v>
      </c>
      <c r="AL75" s="201">
        <f t="shared" si="57"/>
        <v>2285.15625</v>
      </c>
      <c r="AM75" s="244">
        <f t="shared" si="38"/>
        <v>6.8000000000000007</v>
      </c>
      <c r="AN75" s="244">
        <f t="shared" si="39"/>
        <v>8.8000000000000007</v>
      </c>
      <c r="AO75" s="244">
        <f t="shared" si="40"/>
        <v>9.6</v>
      </c>
      <c r="AP75" s="244">
        <f t="shared" si="41"/>
        <v>0.12</v>
      </c>
      <c r="AQ75" s="244">
        <f t="shared" si="42"/>
        <v>0.15</v>
      </c>
      <c r="AR75" s="244">
        <f t="shared" si="43"/>
        <v>0.16</v>
      </c>
      <c r="AS75" s="245">
        <f t="shared" si="44"/>
        <v>2.04</v>
      </c>
      <c r="AT75" s="245">
        <f t="shared" si="45"/>
        <v>2.64</v>
      </c>
      <c r="AU75" s="245">
        <f t="shared" si="46"/>
        <v>2.88</v>
      </c>
      <c r="AV75" s="3" t="s">
        <v>933</v>
      </c>
      <c r="AW75" s="88">
        <f t="shared" si="58"/>
        <v>2.52</v>
      </c>
    </row>
    <row r="76" spans="1:49" x14ac:dyDescent="0.25">
      <c r="A76" s="107">
        <v>4262.79</v>
      </c>
      <c r="B76" s="364"/>
      <c r="C76" s="98" t="s">
        <v>129</v>
      </c>
      <c r="D76" s="98" t="s">
        <v>501</v>
      </c>
      <c r="E76" s="142" t="s">
        <v>130</v>
      </c>
      <c r="F76" s="40"/>
      <c r="G76" s="40"/>
      <c r="H76" s="40"/>
      <c r="I76" s="40"/>
      <c r="J76" s="40"/>
      <c r="K76" s="40"/>
      <c r="L76" s="178" t="s">
        <v>741</v>
      </c>
      <c r="M76" s="326" t="s">
        <v>741</v>
      </c>
      <c r="N76" s="30">
        <v>5</v>
      </c>
      <c r="O76" s="30">
        <v>25</v>
      </c>
      <c r="P76" s="179">
        <f t="shared" si="59"/>
        <v>1.25</v>
      </c>
      <c r="Q76" s="235">
        <f t="shared" si="47"/>
        <v>3.75</v>
      </c>
      <c r="R76" s="235">
        <f t="shared" si="48"/>
        <v>6.25</v>
      </c>
      <c r="S76" s="30" t="s">
        <v>742</v>
      </c>
      <c r="T76" s="38">
        <v>3</v>
      </c>
      <c r="U76" s="38">
        <v>25</v>
      </c>
      <c r="V76" s="191">
        <f t="shared" si="49"/>
        <v>0.75</v>
      </c>
      <c r="W76" s="237">
        <f t="shared" si="50"/>
        <v>2.25</v>
      </c>
      <c r="X76" s="237">
        <f t="shared" si="51"/>
        <v>3.75</v>
      </c>
      <c r="Y76" s="38" t="s">
        <v>894</v>
      </c>
      <c r="Z76" s="11" t="s">
        <v>751</v>
      </c>
      <c r="AA76" s="11">
        <v>3</v>
      </c>
      <c r="AB76" s="32">
        <v>1</v>
      </c>
      <c r="AC76" s="32" t="s">
        <v>894</v>
      </c>
      <c r="AD76" s="198">
        <f t="shared" si="52"/>
        <v>25.3125</v>
      </c>
      <c r="AE76" s="199">
        <f t="shared" si="53"/>
        <v>45</v>
      </c>
      <c r="AF76" s="199">
        <f t="shared" si="54"/>
        <v>70.3125</v>
      </c>
      <c r="AG76" s="200">
        <v>1.7</v>
      </c>
      <c r="AH76" s="200">
        <v>2.5</v>
      </c>
      <c r="AI76" s="200">
        <v>3.3</v>
      </c>
      <c r="AJ76" s="201">
        <f t="shared" si="55"/>
        <v>43.03125</v>
      </c>
      <c r="AK76" s="201">
        <f t="shared" si="56"/>
        <v>112.5</v>
      </c>
      <c r="AL76" s="201">
        <f t="shared" si="57"/>
        <v>232.03125</v>
      </c>
      <c r="AM76" s="244">
        <f t="shared" si="38"/>
        <v>1.5</v>
      </c>
      <c r="AN76" s="244">
        <f t="shared" si="39"/>
        <v>3.1</v>
      </c>
      <c r="AO76" s="244">
        <f t="shared" si="40"/>
        <v>5.0999999999999996</v>
      </c>
      <c r="AP76" s="244" t="e">
        <f t="shared" si="41"/>
        <v>#N/A</v>
      </c>
      <c r="AQ76" s="244">
        <f t="shared" si="42"/>
        <v>0.01</v>
      </c>
      <c r="AR76" s="244">
        <f t="shared" si="43"/>
        <v>0.09</v>
      </c>
      <c r="AS76" s="245">
        <f t="shared" si="44"/>
        <v>0.44999999999999996</v>
      </c>
      <c r="AT76" s="245">
        <f t="shared" si="45"/>
        <v>0.92999999999999994</v>
      </c>
      <c r="AU76" s="245">
        <f t="shared" si="46"/>
        <v>1.53</v>
      </c>
      <c r="AV76" s="3" t="s">
        <v>931</v>
      </c>
      <c r="AW76" s="88">
        <f t="shared" si="58"/>
        <v>0.97000000000000008</v>
      </c>
    </row>
    <row r="77" spans="1:49" x14ac:dyDescent="0.25">
      <c r="A77" s="107">
        <v>4262.7299999999996</v>
      </c>
      <c r="B77" s="364"/>
      <c r="C77" s="98" t="s">
        <v>133</v>
      </c>
      <c r="D77" s="98" t="s">
        <v>456</v>
      </c>
      <c r="E77" s="142" t="s">
        <v>134</v>
      </c>
      <c r="F77" s="40"/>
      <c r="G77" s="40"/>
      <c r="H77" s="40"/>
      <c r="I77" s="40"/>
      <c r="J77" s="40"/>
      <c r="K77" s="40"/>
      <c r="L77" s="178" t="s">
        <v>741</v>
      </c>
      <c r="M77" s="326" t="s">
        <v>741</v>
      </c>
      <c r="N77" s="30">
        <v>5</v>
      </c>
      <c r="O77" s="30">
        <v>50</v>
      </c>
      <c r="P77" s="179">
        <f>(O77/100)*N77</f>
        <v>2.5</v>
      </c>
      <c r="Q77" s="235">
        <f t="shared" si="47"/>
        <v>2.5</v>
      </c>
      <c r="R77" s="235">
        <f t="shared" si="48"/>
        <v>7.5</v>
      </c>
      <c r="S77" s="30" t="s">
        <v>742</v>
      </c>
      <c r="T77" s="38">
        <v>3</v>
      </c>
      <c r="U77" s="38">
        <v>25</v>
      </c>
      <c r="V77" s="191">
        <f>(U77/100)*T77</f>
        <v>0.75</v>
      </c>
      <c r="W77" s="237">
        <f t="shared" si="50"/>
        <v>2.25</v>
      </c>
      <c r="X77" s="237">
        <f t="shared" si="51"/>
        <v>3.75</v>
      </c>
      <c r="Y77" s="38" t="s">
        <v>895</v>
      </c>
      <c r="Z77" s="11" t="s">
        <v>753</v>
      </c>
      <c r="AA77" s="11">
        <v>12</v>
      </c>
      <c r="AB77" s="32">
        <v>2</v>
      </c>
      <c r="AC77" s="32" t="s">
        <v>895</v>
      </c>
      <c r="AD77" s="198">
        <f>AA77*Q77*(W77*AB77)</f>
        <v>135</v>
      </c>
      <c r="AE77" s="199">
        <f>AA77*N77*(T77*AB77)</f>
        <v>360</v>
      </c>
      <c r="AF77" s="199">
        <f>AA77*R77*(X77*AB77)</f>
        <v>675</v>
      </c>
      <c r="AG77" s="200">
        <v>2.5750000000000002</v>
      </c>
      <c r="AH77" s="200">
        <v>3</v>
      </c>
      <c r="AI77" s="200">
        <v>3.4249999999999998</v>
      </c>
      <c r="AJ77" s="201">
        <f>AD77*AG77</f>
        <v>347.625</v>
      </c>
      <c r="AK77" s="201">
        <f>AE77*AH77</f>
        <v>1080</v>
      </c>
      <c r="AL77" s="201">
        <f>AF77*AI77</f>
        <v>2311.875</v>
      </c>
      <c r="AM77" s="244">
        <f t="shared" si="38"/>
        <v>6.2</v>
      </c>
      <c r="AN77" s="244">
        <f t="shared" si="39"/>
        <v>8.8000000000000007</v>
      </c>
      <c r="AO77" s="244">
        <f t="shared" si="40"/>
        <v>9.6999999999999993</v>
      </c>
      <c r="AP77" s="244">
        <f t="shared" si="41"/>
        <v>0.10999999999999999</v>
      </c>
      <c r="AQ77" s="244">
        <f t="shared" si="42"/>
        <v>0.15</v>
      </c>
      <c r="AR77" s="244">
        <f t="shared" si="43"/>
        <v>0.16</v>
      </c>
      <c r="AS77" s="245">
        <f t="shared" si="44"/>
        <v>1.8599999999999999</v>
      </c>
      <c r="AT77" s="245">
        <f t="shared" si="45"/>
        <v>2.64</v>
      </c>
      <c r="AU77" s="245">
        <f t="shared" si="46"/>
        <v>2.91</v>
      </c>
      <c r="AV77" s="3" t="s">
        <v>933</v>
      </c>
      <c r="AW77" s="88">
        <f t="shared" si="58"/>
        <v>2.4700000000000002</v>
      </c>
    </row>
    <row r="78" spans="1:49" x14ac:dyDescent="0.25">
      <c r="A78" s="107">
        <v>4262.6899999999996</v>
      </c>
      <c r="B78" s="364"/>
      <c r="C78" s="98" t="s">
        <v>288</v>
      </c>
      <c r="D78" s="98" t="s">
        <v>502</v>
      </c>
      <c r="E78" s="347" t="s">
        <v>289</v>
      </c>
      <c r="F78" s="40"/>
      <c r="G78" s="40"/>
      <c r="H78" s="40"/>
      <c r="I78" s="40"/>
      <c r="J78" s="40"/>
      <c r="K78" s="40"/>
      <c r="L78" s="178" t="s">
        <v>741</v>
      </c>
      <c r="M78" s="326" t="s">
        <v>741</v>
      </c>
      <c r="N78" s="30">
        <v>5</v>
      </c>
      <c r="O78" s="30">
        <v>25</v>
      </c>
      <c r="P78" s="179">
        <f t="shared" si="59"/>
        <v>1.25</v>
      </c>
      <c r="Q78" s="235">
        <f t="shared" si="47"/>
        <v>3.75</v>
      </c>
      <c r="R78" s="235">
        <f t="shared" si="48"/>
        <v>6.25</v>
      </c>
      <c r="S78" s="30" t="s">
        <v>742</v>
      </c>
      <c r="T78" s="38">
        <v>2</v>
      </c>
      <c r="U78" s="38">
        <v>25</v>
      </c>
      <c r="V78" s="191">
        <f t="shared" si="49"/>
        <v>0.5</v>
      </c>
      <c r="W78" s="237">
        <f t="shared" si="50"/>
        <v>1.5</v>
      </c>
      <c r="X78" s="237">
        <f t="shared" si="51"/>
        <v>2.5</v>
      </c>
      <c r="Y78" s="38" t="s">
        <v>900</v>
      </c>
      <c r="Z78" s="11" t="s">
        <v>755</v>
      </c>
      <c r="AA78" s="11">
        <v>5</v>
      </c>
      <c r="AB78" s="32">
        <v>1</v>
      </c>
      <c r="AC78" s="32" t="s">
        <v>852</v>
      </c>
      <c r="AD78" s="198">
        <f t="shared" si="52"/>
        <v>28.125</v>
      </c>
      <c r="AE78" s="199">
        <f t="shared" si="53"/>
        <v>50</v>
      </c>
      <c r="AF78" s="199">
        <f t="shared" si="54"/>
        <v>78.125</v>
      </c>
      <c r="AG78" s="200">
        <v>1.3875</v>
      </c>
      <c r="AH78" s="200">
        <v>2.0625</v>
      </c>
      <c r="AI78" s="200">
        <v>2.7374999999999998</v>
      </c>
      <c r="AJ78" s="201">
        <f t="shared" si="55"/>
        <v>39.0234375</v>
      </c>
      <c r="AK78" s="201">
        <f t="shared" si="56"/>
        <v>103.125</v>
      </c>
      <c r="AL78" s="201">
        <f t="shared" si="57"/>
        <v>213.8671875</v>
      </c>
      <c r="AM78" s="244">
        <f t="shared" si="38"/>
        <v>1.4000000000000001</v>
      </c>
      <c r="AN78" s="244">
        <f t="shared" si="39"/>
        <v>2.8000000000000003</v>
      </c>
      <c r="AO78" s="244">
        <f t="shared" si="40"/>
        <v>4.8</v>
      </c>
      <c r="AP78" s="244" t="e">
        <f t="shared" si="41"/>
        <v>#N/A</v>
      </c>
      <c r="AQ78" s="244">
        <f t="shared" si="42"/>
        <v>0</v>
      </c>
      <c r="AR78" s="244">
        <f t="shared" si="43"/>
        <v>0.09</v>
      </c>
      <c r="AS78" s="245">
        <f t="shared" si="44"/>
        <v>0.42000000000000004</v>
      </c>
      <c r="AT78" s="245">
        <f t="shared" si="45"/>
        <v>0.84000000000000008</v>
      </c>
      <c r="AU78" s="245">
        <f t="shared" si="46"/>
        <v>1.44</v>
      </c>
      <c r="AV78" s="3" t="s">
        <v>931</v>
      </c>
      <c r="AW78" s="88">
        <f t="shared" si="58"/>
        <v>0.9</v>
      </c>
    </row>
    <row r="79" spans="1:49" x14ac:dyDescent="0.25">
      <c r="A79" s="107">
        <v>4262.66</v>
      </c>
      <c r="B79" s="365"/>
      <c r="C79" s="98" t="s">
        <v>586</v>
      </c>
      <c r="D79" s="98" t="s">
        <v>450</v>
      </c>
      <c r="E79" s="142" t="s">
        <v>121</v>
      </c>
      <c r="F79" s="40"/>
      <c r="G79" s="40"/>
      <c r="H79" s="40"/>
      <c r="I79" s="40"/>
      <c r="J79" s="40"/>
      <c r="K79" s="40"/>
      <c r="L79" s="178" t="s">
        <v>741</v>
      </c>
      <c r="M79" s="326" t="s">
        <v>741</v>
      </c>
      <c r="N79" s="30">
        <v>5</v>
      </c>
      <c r="O79" s="30">
        <v>25</v>
      </c>
      <c r="P79" s="179">
        <f>(O79/100)*N79</f>
        <v>1.25</v>
      </c>
      <c r="Q79" s="235">
        <f t="shared" si="47"/>
        <v>3.75</v>
      </c>
      <c r="R79" s="235">
        <f t="shared" si="48"/>
        <v>6.25</v>
      </c>
      <c r="S79" s="30" t="s">
        <v>742</v>
      </c>
      <c r="T79" s="38">
        <v>3</v>
      </c>
      <c r="U79" s="38">
        <v>25</v>
      </c>
      <c r="V79" s="191">
        <f>(U79/100)*T79</f>
        <v>0.75</v>
      </c>
      <c r="W79" s="237">
        <f t="shared" si="50"/>
        <v>2.25</v>
      </c>
      <c r="X79" s="237">
        <f t="shared" si="51"/>
        <v>3.75</v>
      </c>
      <c r="Y79" s="38" t="s">
        <v>903</v>
      </c>
      <c r="Z79" s="11" t="s">
        <v>753</v>
      </c>
      <c r="AA79" s="11">
        <v>12</v>
      </c>
      <c r="AB79" s="32">
        <v>2</v>
      </c>
      <c r="AC79" s="32" t="s">
        <v>852</v>
      </c>
      <c r="AD79" s="198">
        <f>AA79*Q79*(W79*AB79)</f>
        <v>202.5</v>
      </c>
      <c r="AE79" s="199">
        <f>AA79*N79*(T79*AB79)</f>
        <v>360</v>
      </c>
      <c r="AF79" s="199">
        <f>AA79*R79*(X79*AB79)</f>
        <v>562.5</v>
      </c>
      <c r="AG79" s="200">
        <v>1.9375</v>
      </c>
      <c r="AH79" s="200">
        <v>2.5</v>
      </c>
      <c r="AI79" s="200">
        <v>3.0625</v>
      </c>
      <c r="AJ79" s="201">
        <f>AD79*AG79</f>
        <v>392.34375</v>
      </c>
      <c r="AK79" s="201">
        <f>AE79*AH79</f>
        <v>900</v>
      </c>
      <c r="AL79" s="201">
        <f>AF79*AI79</f>
        <v>1722.65625</v>
      </c>
      <c r="AM79" s="361">
        <f>_xlfn.PERCENTRANK.INC($AJ$4:$AL$79,AJ79,2)*10</f>
        <v>6.4</v>
      </c>
      <c r="AN79" s="361">
        <f t="shared" si="39"/>
        <v>8.5</v>
      </c>
      <c r="AO79" s="361">
        <f t="shared" si="40"/>
        <v>9.3999999999999986</v>
      </c>
      <c r="AP79" s="361">
        <f t="shared" si="41"/>
        <v>0.12</v>
      </c>
      <c r="AQ79" s="361">
        <f t="shared" si="42"/>
        <v>0.14000000000000001</v>
      </c>
      <c r="AR79" s="361">
        <f t="shared" si="43"/>
        <v>0.15</v>
      </c>
      <c r="AS79" s="362">
        <f t="shared" si="44"/>
        <v>1.92</v>
      </c>
      <c r="AT79" s="362">
        <f t="shared" si="45"/>
        <v>2.5499999999999998</v>
      </c>
      <c r="AU79" s="362">
        <f t="shared" si="46"/>
        <v>2.82</v>
      </c>
      <c r="AV79" s="3" t="s">
        <v>933</v>
      </c>
      <c r="AW79" s="88">
        <f t="shared" si="58"/>
        <v>2.4299999999999997</v>
      </c>
    </row>
    <row r="80" spans="1:49" x14ac:dyDescent="0.25">
      <c r="AK80" s="92"/>
      <c r="AL80" s="359"/>
      <c r="AM80" s="92"/>
      <c r="AN80" s="92"/>
      <c r="AO80" s="360"/>
      <c r="AP80" s="92"/>
      <c r="AQ80" s="92"/>
      <c r="AR80" s="360" t="e">
        <f t="shared" si="43"/>
        <v>#N/A</v>
      </c>
      <c r="AS80" s="92"/>
      <c r="AT80" s="92"/>
      <c r="AU80" s="360"/>
      <c r="AV80" s="92"/>
    </row>
    <row r="81" spans="37:48" x14ac:dyDescent="0.25">
      <c r="AK81" s="92"/>
      <c r="AL81" s="92"/>
      <c r="AM81" s="92"/>
      <c r="AN81" s="92"/>
      <c r="AO81" s="92"/>
      <c r="AP81" s="92"/>
      <c r="AQ81" s="92"/>
      <c r="AR81" s="92"/>
      <c r="AS81" s="92"/>
      <c r="AT81" s="92"/>
      <c r="AU81" s="92"/>
      <c r="AV81" s="92"/>
    </row>
    <row r="82" spans="37:48" x14ac:dyDescent="0.25">
      <c r="AK82" s="92"/>
      <c r="AL82" s="92"/>
      <c r="AM82" s="92"/>
      <c r="AN82" s="92"/>
      <c r="AO82" s="92"/>
      <c r="AP82" s="92"/>
      <c r="AQ82" s="92"/>
      <c r="AR82" s="92"/>
      <c r="AS82" s="92"/>
      <c r="AT82" s="92"/>
      <c r="AU82" s="92"/>
      <c r="AV82" s="92"/>
    </row>
    <row r="83" spans="37:48" x14ac:dyDescent="0.25">
      <c r="AK83" s="92"/>
      <c r="AL83" s="92"/>
      <c r="AM83" s="92"/>
      <c r="AN83" s="92"/>
      <c r="AO83" s="92"/>
      <c r="AP83" s="92"/>
      <c r="AQ83" s="92"/>
      <c r="AR83" s="92"/>
      <c r="AS83" s="92"/>
      <c r="AT83" s="92"/>
      <c r="AU83" s="92"/>
      <c r="AV83" s="92"/>
    </row>
    <row r="84" spans="37:48" x14ac:dyDescent="0.25">
      <c r="AK84" s="92"/>
      <c r="AL84" s="92"/>
      <c r="AM84" s="92"/>
      <c r="AN84" s="92"/>
      <c r="AO84" s="92"/>
      <c r="AP84" s="92"/>
      <c r="AQ84" s="92"/>
      <c r="AR84" s="92"/>
      <c r="AS84" s="92"/>
      <c r="AT84" s="92"/>
      <c r="AU84" s="92"/>
      <c r="AV84" s="92"/>
    </row>
    <row r="85" spans="37:48" x14ac:dyDescent="0.25">
      <c r="AK85" s="92"/>
      <c r="AL85" s="92"/>
      <c r="AM85" s="92"/>
      <c r="AN85" s="92"/>
      <c r="AO85" s="92"/>
      <c r="AP85" s="92"/>
      <c r="AQ85" s="92"/>
      <c r="AR85" s="92"/>
      <c r="AS85" s="92"/>
      <c r="AT85" s="92"/>
      <c r="AU85" s="92"/>
      <c r="AV85" s="92"/>
    </row>
  </sheetData>
  <mergeCells count="10">
    <mergeCell ref="B69:B79"/>
    <mergeCell ref="B4:B9"/>
    <mergeCell ref="B65:B68"/>
    <mergeCell ref="B10:B13"/>
    <mergeCell ref="B14:B18"/>
    <mergeCell ref="B38:B39"/>
    <mergeCell ref="B43:B44"/>
    <mergeCell ref="B40:B42"/>
    <mergeCell ref="B19:B37"/>
    <mergeCell ref="B45:B64"/>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7"/>
  <sheetViews>
    <sheetView zoomScale="90" zoomScaleNormal="90" workbookViewId="0">
      <pane xSplit="2" ySplit="1" topLeftCell="S2" activePane="bottomRight" state="frozen"/>
      <selection pane="topRight" activeCell="C1" sqref="C1"/>
      <selection pane="bottomLeft" activeCell="A2" sqref="A2"/>
      <selection pane="bottomRight" activeCell="S2" sqref="S2:S15"/>
    </sheetView>
  </sheetViews>
  <sheetFormatPr defaultRowHeight="15.75" x14ac:dyDescent="0.25"/>
  <cols>
    <col min="1" max="1" width="17.875" customWidth="1"/>
    <col min="2" max="2" width="23.25" customWidth="1"/>
    <col min="3" max="3" width="16.5" customWidth="1"/>
    <col min="4" max="4" width="16.5" style="88" hidden="1" customWidth="1"/>
    <col min="5" max="5" width="16.5" style="88" customWidth="1"/>
    <col min="6" max="6" width="16.5" style="88" hidden="1" customWidth="1"/>
    <col min="7" max="7" width="16.5" style="88" customWidth="1"/>
    <col min="8" max="9" width="15.625" customWidth="1"/>
    <col min="10" max="11" width="15.625" style="88" customWidth="1"/>
    <col min="12" max="12" width="15.625" style="88" hidden="1" customWidth="1"/>
    <col min="13" max="13" width="11.375" customWidth="1"/>
    <col min="14" max="14" width="11.375" style="88" customWidth="1"/>
    <col min="15" max="15" width="11.375" style="88" hidden="1" customWidth="1"/>
    <col min="16" max="16" width="11.375" style="88" customWidth="1"/>
    <col min="17" max="17" width="11.375" style="88" hidden="1" customWidth="1"/>
    <col min="18" max="18" width="9" style="88"/>
    <col min="19" max="19" width="15.625" customWidth="1"/>
    <col min="21" max="21" width="9" style="88"/>
    <col min="22" max="23" width="0" style="88" hidden="1" customWidth="1"/>
    <col min="24" max="24" width="13" customWidth="1"/>
    <col min="25" max="25" width="13" style="88" customWidth="1"/>
    <col min="26" max="27" width="0" hidden="1" customWidth="1"/>
    <col min="28" max="28" width="10.125" customWidth="1"/>
  </cols>
  <sheetData>
    <row r="1" spans="1:29" ht="84.75" customHeight="1" x14ac:dyDescent="0.25">
      <c r="A1" s="149" t="s">
        <v>146</v>
      </c>
      <c r="B1" s="327" t="s">
        <v>147</v>
      </c>
      <c r="C1" s="333" t="s">
        <v>973</v>
      </c>
      <c r="E1" s="328" t="s">
        <v>955</v>
      </c>
      <c r="G1" s="328" t="s">
        <v>957</v>
      </c>
      <c r="H1" s="333" t="s">
        <v>972</v>
      </c>
      <c r="I1" s="328" t="s">
        <v>214</v>
      </c>
      <c r="K1" s="328" t="s">
        <v>215</v>
      </c>
      <c r="M1" s="333" t="s">
        <v>168</v>
      </c>
      <c r="N1" s="339" t="s">
        <v>978</v>
      </c>
      <c r="O1" s="339"/>
      <c r="P1" s="339" t="s">
        <v>979</v>
      </c>
      <c r="Q1" s="334"/>
      <c r="S1" s="332" t="s">
        <v>942</v>
      </c>
      <c r="T1" s="332" t="s">
        <v>973</v>
      </c>
      <c r="U1" s="332" t="s">
        <v>961</v>
      </c>
      <c r="V1" s="331" t="s">
        <v>951</v>
      </c>
      <c r="W1" s="331" t="s">
        <v>952</v>
      </c>
      <c r="X1" s="332" t="s">
        <v>972</v>
      </c>
      <c r="Y1" s="332" t="s">
        <v>962</v>
      </c>
      <c r="Z1" s="331" t="s">
        <v>953</v>
      </c>
      <c r="AA1" s="331" t="s">
        <v>954</v>
      </c>
      <c r="AB1" s="332" t="s">
        <v>985</v>
      </c>
      <c r="AC1" s="332" t="s">
        <v>986</v>
      </c>
    </row>
    <row r="2" spans="1:29" x14ac:dyDescent="0.25">
      <c r="A2" s="336" t="s">
        <v>58</v>
      </c>
      <c r="B2" s="90" t="s">
        <v>59</v>
      </c>
      <c r="C2" s="3">
        <v>1.7999999999999998</v>
      </c>
      <c r="D2" s="3">
        <v>0.5</v>
      </c>
      <c r="E2" s="3">
        <f>C2-D2</f>
        <v>1.2999999999999998</v>
      </c>
      <c r="F2" s="3">
        <v>2.7</v>
      </c>
      <c r="G2" s="3">
        <f>F2-C2</f>
        <v>0.90000000000000036</v>
      </c>
      <c r="H2" s="3">
        <v>5.2</v>
      </c>
      <c r="I2" s="3">
        <f>H2-J2</f>
        <v>3.8</v>
      </c>
      <c r="J2" s="3">
        <v>1.4000000000000001</v>
      </c>
      <c r="K2" s="3">
        <f>L2-H2</f>
        <v>1.4000000000000004</v>
      </c>
      <c r="L2" s="3">
        <v>6.6000000000000005</v>
      </c>
      <c r="M2" s="330">
        <v>2.25</v>
      </c>
      <c r="N2" s="330">
        <f>M2-O2</f>
        <v>0.5625</v>
      </c>
      <c r="O2" s="330">
        <v>1.6875</v>
      </c>
      <c r="P2" s="330">
        <f>Q2-M2</f>
        <v>0.5625</v>
      </c>
      <c r="Q2" s="335">
        <v>2.8125</v>
      </c>
      <c r="S2" s="3" t="s">
        <v>935</v>
      </c>
      <c r="T2" s="329">
        <f>AVERAGE(C2:C7)</f>
        <v>3.2166666666666663</v>
      </c>
      <c r="U2" s="329">
        <f>STDEV(C2:C7)</f>
        <v>1.419037232304589</v>
      </c>
      <c r="V2" s="329" t="e">
        <f>AVERAGE(#REF!)</f>
        <v>#REF!</v>
      </c>
      <c r="W2" s="329">
        <f>AVERAGE(F2:F7)</f>
        <v>4.1499999999999995</v>
      </c>
      <c r="X2" s="329">
        <f>AVERAGE(H2:H7)</f>
        <v>4.8</v>
      </c>
      <c r="Y2" s="329">
        <f>STDEV(H2:H7)</f>
        <v>3.2619012860600187</v>
      </c>
      <c r="Z2" s="3"/>
      <c r="AA2" s="3"/>
      <c r="AB2" s="340">
        <f>AVERAGE(M2:M7)</f>
        <v>2.0416666666666665</v>
      </c>
    </row>
    <row r="3" spans="1:29" x14ac:dyDescent="0.25">
      <c r="A3" s="337"/>
      <c r="B3" s="90" t="s">
        <v>61</v>
      </c>
      <c r="C3" s="3">
        <v>4</v>
      </c>
      <c r="D3" s="3">
        <v>3.1</v>
      </c>
      <c r="E3" s="3">
        <f t="shared" ref="E3:E66" si="0">C3-D3</f>
        <v>0.89999999999999991</v>
      </c>
      <c r="F3" s="3">
        <v>5.3000000000000007</v>
      </c>
      <c r="G3" s="3">
        <f t="shared" ref="G3:G66" si="1">F3-C3</f>
        <v>1.3000000000000007</v>
      </c>
      <c r="H3" s="3">
        <v>7.7</v>
      </c>
      <c r="I3" s="3">
        <f t="shared" ref="I3:I66" si="2">H3-J3</f>
        <v>4.4000000000000004</v>
      </c>
      <c r="J3" s="3">
        <v>3.3000000000000003</v>
      </c>
      <c r="K3" s="3">
        <f t="shared" ref="K3:K66" si="3">L3-H3</f>
        <v>1.1000000000000005</v>
      </c>
      <c r="L3" s="3">
        <v>8.8000000000000007</v>
      </c>
      <c r="M3" s="330">
        <v>2.3125</v>
      </c>
      <c r="N3" s="330">
        <f t="shared" ref="N3:N66" si="4">M3-O3</f>
        <v>0.8125</v>
      </c>
      <c r="O3" s="330">
        <v>1.5</v>
      </c>
      <c r="P3" s="330">
        <f t="shared" ref="P3:P66" si="5">Q3-M3</f>
        <v>0.8125</v>
      </c>
      <c r="Q3" s="335">
        <v>3.125</v>
      </c>
      <c r="S3" s="3" t="s">
        <v>936</v>
      </c>
      <c r="T3" s="329">
        <f>AVERAGE(C8:C11)</f>
        <v>1.675</v>
      </c>
      <c r="U3" s="329">
        <f>STDEV(C8:C11)</f>
        <v>0.80570879768478831</v>
      </c>
      <c r="V3" s="329" t="e">
        <f>AVERAGE(#REF!)</f>
        <v>#REF!</v>
      </c>
      <c r="W3" s="329">
        <f>AVERAGE(F8:F11)</f>
        <v>2.2000000000000002</v>
      </c>
      <c r="X3" s="329">
        <f>AVERAGE(H8:H11)</f>
        <v>7.2999999999999989</v>
      </c>
      <c r="Y3" s="329">
        <f>STDEV(H8:H11)</f>
        <v>1.9510680835549259</v>
      </c>
      <c r="Z3" s="3"/>
      <c r="AA3" s="3"/>
      <c r="AB3" s="340">
        <f>AVERAGE(M8:M11)</f>
        <v>3.15625</v>
      </c>
    </row>
    <row r="4" spans="1:29" x14ac:dyDescent="0.25">
      <c r="A4" s="337"/>
      <c r="B4" s="90" t="s">
        <v>574</v>
      </c>
      <c r="C4" s="3">
        <v>3.5999999999999996</v>
      </c>
      <c r="D4" s="3">
        <v>2.8000000000000003</v>
      </c>
      <c r="E4" s="3">
        <f t="shared" si="0"/>
        <v>0.79999999999999938</v>
      </c>
      <c r="F4" s="3">
        <v>4.0999999999999996</v>
      </c>
      <c r="G4" s="3">
        <f t="shared" si="1"/>
        <v>0.5</v>
      </c>
      <c r="H4" s="3">
        <v>6.1</v>
      </c>
      <c r="I4" s="3">
        <f t="shared" si="2"/>
        <v>3.9999999999999996</v>
      </c>
      <c r="J4" s="3">
        <v>2.1</v>
      </c>
      <c r="K4" s="3">
        <f t="shared" si="3"/>
        <v>2.0000000000000018</v>
      </c>
      <c r="L4" s="3">
        <v>8.1000000000000014</v>
      </c>
      <c r="M4" s="330">
        <v>1.8125</v>
      </c>
      <c r="N4" s="330">
        <f t="shared" si="4"/>
        <v>0.625</v>
      </c>
      <c r="O4" s="330">
        <v>1.1875</v>
      </c>
      <c r="P4" s="330">
        <f t="shared" si="5"/>
        <v>0.625</v>
      </c>
      <c r="Q4" s="335">
        <v>2.4375</v>
      </c>
      <c r="S4" s="3" t="s">
        <v>937</v>
      </c>
      <c r="T4" s="329">
        <f>AVERAGE(C12:C16)</f>
        <v>5.6400000000000006</v>
      </c>
      <c r="U4" s="329">
        <f>STDEV(C12:C16)</f>
        <v>1.006479011206886</v>
      </c>
      <c r="V4" s="329" t="e">
        <f>AVERAGE(#REF!)</f>
        <v>#REF!</v>
      </c>
      <c r="W4" s="329">
        <f>AVERAGE(F12:F16)</f>
        <v>7.3400000000000007</v>
      </c>
      <c r="X4" s="329">
        <f>AVERAGE(H12:H16)</f>
        <v>7.08</v>
      </c>
      <c r="Y4" s="329">
        <f>STDEV(H12:H16)</f>
        <v>1.1798304963002113</v>
      </c>
      <c r="Z4" s="3"/>
      <c r="AA4" s="3"/>
      <c r="AB4" s="340">
        <f>AVERAGE(M12:M16)</f>
        <v>2.3624999999999998</v>
      </c>
    </row>
    <row r="5" spans="1:29" x14ac:dyDescent="0.25">
      <c r="A5" s="337"/>
      <c r="B5" s="90" t="s">
        <v>64</v>
      </c>
      <c r="C5" s="3">
        <v>4.5</v>
      </c>
      <c r="D5" s="3">
        <v>3.5999999999999996</v>
      </c>
      <c r="E5" s="3">
        <f t="shared" si="0"/>
        <v>0.90000000000000036</v>
      </c>
      <c r="F5" s="3">
        <v>6.1</v>
      </c>
      <c r="G5" s="3">
        <f t="shared" si="1"/>
        <v>1.5999999999999996</v>
      </c>
      <c r="H5" s="3">
        <v>8.1000000000000014</v>
      </c>
      <c r="I5" s="3">
        <f t="shared" si="2"/>
        <v>3.2000000000000011</v>
      </c>
      <c r="J5" s="3">
        <v>4.9000000000000004</v>
      </c>
      <c r="K5" s="3">
        <f t="shared" si="3"/>
        <v>0.89999999999999858</v>
      </c>
      <c r="L5" s="3">
        <v>9</v>
      </c>
      <c r="M5" s="330">
        <v>2.75</v>
      </c>
      <c r="N5" s="330">
        <f t="shared" si="4"/>
        <v>0.5</v>
      </c>
      <c r="O5" s="330">
        <v>2.25</v>
      </c>
      <c r="P5" s="330">
        <f t="shared" si="5"/>
        <v>0.5</v>
      </c>
      <c r="Q5" s="335">
        <v>3.25</v>
      </c>
      <c r="S5" s="3" t="s">
        <v>943</v>
      </c>
      <c r="T5" s="329">
        <f>AVERAGE(C17:C19)</f>
        <v>5.166666666666667</v>
      </c>
      <c r="U5" s="329">
        <f>STDEV(C17:C19)</f>
        <v>0.83864970836061237</v>
      </c>
      <c r="V5" s="329"/>
      <c r="W5" s="329"/>
      <c r="X5" s="329">
        <f>AVERAGE(H17:H19)</f>
        <v>4.7</v>
      </c>
      <c r="Y5" s="329">
        <f>STDEV(H17:H19)</f>
        <v>1.1357816691600544</v>
      </c>
      <c r="Z5" s="3"/>
      <c r="AA5" s="3"/>
      <c r="AB5" s="340">
        <f>AVERAGE(M17:M19)</f>
        <v>3.5833333333333335</v>
      </c>
    </row>
    <row r="6" spans="1:29" x14ac:dyDescent="0.25">
      <c r="A6" s="337"/>
      <c r="B6" s="90" t="s">
        <v>65</v>
      </c>
      <c r="C6" s="3">
        <v>1.1000000000000001</v>
      </c>
      <c r="D6" s="3">
        <v>0.2</v>
      </c>
      <c r="E6" s="3">
        <f t="shared" si="0"/>
        <v>0.90000000000000013</v>
      </c>
      <c r="F6" s="3">
        <v>1.3</v>
      </c>
      <c r="G6" s="3">
        <f t="shared" si="1"/>
        <v>0.19999999999999996</v>
      </c>
      <c r="H6" s="3">
        <v>0.2</v>
      </c>
      <c r="I6" s="3">
        <f t="shared" si="2"/>
        <v>0.2</v>
      </c>
      <c r="J6" s="3">
        <v>0</v>
      </c>
      <c r="K6" s="3">
        <f t="shared" si="3"/>
        <v>0.39999999999999997</v>
      </c>
      <c r="L6" s="3">
        <v>0.6</v>
      </c>
      <c r="M6" s="330">
        <v>1.3125</v>
      </c>
      <c r="N6" s="330">
        <f t="shared" si="4"/>
        <v>5.0000000000000044E-2</v>
      </c>
      <c r="O6" s="330">
        <v>1.2625</v>
      </c>
      <c r="P6" s="330">
        <f t="shared" si="5"/>
        <v>0.30000000000000004</v>
      </c>
      <c r="Q6" s="335">
        <v>1.6125</v>
      </c>
      <c r="S6" s="3" t="s">
        <v>944</v>
      </c>
      <c r="T6" s="329">
        <f>AVERAGE(C20:C26)</f>
        <v>3.1857142857142864</v>
      </c>
      <c r="U6" s="329">
        <f>STDEV(C20:C26)</f>
        <v>0.847405002401588</v>
      </c>
      <c r="V6" s="329"/>
      <c r="W6" s="329"/>
      <c r="X6" s="329">
        <f>AVERAGE(H20:H26)</f>
        <v>4.4571428571428573</v>
      </c>
      <c r="Y6" s="329">
        <f>STDEV(H20:H26)</f>
        <v>1.5349887544182457</v>
      </c>
      <c r="Z6" s="3"/>
      <c r="AA6" s="3"/>
      <c r="AB6" s="340">
        <f>AVERAGE(M20:M26)</f>
        <v>3.0178571428571428</v>
      </c>
    </row>
    <row r="7" spans="1:29" x14ac:dyDescent="0.25">
      <c r="A7" s="338"/>
      <c r="B7" s="90" t="s">
        <v>578</v>
      </c>
      <c r="C7" s="3">
        <v>4.3</v>
      </c>
      <c r="D7" s="3">
        <v>1.5</v>
      </c>
      <c r="E7" s="3">
        <f t="shared" si="0"/>
        <v>2.8</v>
      </c>
      <c r="F7" s="3">
        <v>5.4</v>
      </c>
      <c r="G7" s="3">
        <f t="shared" si="1"/>
        <v>1.1000000000000005</v>
      </c>
      <c r="H7" s="3">
        <v>1.5</v>
      </c>
      <c r="I7" s="3">
        <f t="shared" si="2"/>
        <v>1.1000000000000001</v>
      </c>
      <c r="J7" s="3">
        <v>0.4</v>
      </c>
      <c r="K7" s="3">
        <f t="shared" si="3"/>
        <v>2.4000000000000004</v>
      </c>
      <c r="L7" s="3">
        <v>3.9000000000000004</v>
      </c>
      <c r="M7" s="330">
        <v>1.8125</v>
      </c>
      <c r="N7" s="330">
        <f t="shared" si="4"/>
        <v>0.32499999999999996</v>
      </c>
      <c r="O7" s="330">
        <v>1.4875</v>
      </c>
      <c r="P7" s="330">
        <f t="shared" si="5"/>
        <v>0.38750000000000018</v>
      </c>
      <c r="Q7" s="335">
        <v>2.2000000000000002</v>
      </c>
      <c r="S7" s="3" t="s">
        <v>945</v>
      </c>
      <c r="T7" s="329">
        <f>AVERAGE(C27:C30)</f>
        <v>3.15</v>
      </c>
      <c r="U7" s="329">
        <f>STDEV(C27:C30)</f>
        <v>1.4821156050277142</v>
      </c>
      <c r="V7" s="329"/>
      <c r="W7" s="329"/>
      <c r="X7" s="329">
        <f>AVERAGE(H27:H30)</f>
        <v>4.125</v>
      </c>
      <c r="Y7" s="329">
        <f>STDEV(H27:H30)</f>
        <v>2.1313141485947136</v>
      </c>
      <c r="Z7" s="3"/>
      <c r="AA7" s="3"/>
      <c r="AB7" s="340">
        <f>AVERAGE(M27:M30)</f>
        <v>3.203125</v>
      </c>
    </row>
    <row r="8" spans="1:29" x14ac:dyDescent="0.25">
      <c r="A8" s="371" t="s">
        <v>8</v>
      </c>
      <c r="B8" s="90" t="s">
        <v>9</v>
      </c>
      <c r="C8" s="3">
        <v>2.2000000000000002</v>
      </c>
      <c r="D8" s="3">
        <v>1.6</v>
      </c>
      <c r="E8" s="3">
        <f t="shared" si="0"/>
        <v>0.60000000000000009</v>
      </c>
      <c r="F8" s="3">
        <v>2.9</v>
      </c>
      <c r="G8" s="3">
        <f t="shared" si="1"/>
        <v>0.69999999999999973</v>
      </c>
      <c r="H8" s="3">
        <v>8.5</v>
      </c>
      <c r="I8" s="3">
        <f t="shared" si="2"/>
        <v>0.79999999999999982</v>
      </c>
      <c r="J8" s="3">
        <v>7.7</v>
      </c>
      <c r="K8" s="3">
        <f t="shared" si="3"/>
        <v>0.59999999999999964</v>
      </c>
      <c r="L8" s="3">
        <v>9.1</v>
      </c>
      <c r="M8" s="330">
        <v>3.5</v>
      </c>
      <c r="N8" s="330">
        <f t="shared" si="4"/>
        <v>0.57500000000000018</v>
      </c>
      <c r="O8" s="330">
        <v>2.9249999999999998</v>
      </c>
      <c r="P8" s="330">
        <f t="shared" si="5"/>
        <v>0.26250000000000018</v>
      </c>
      <c r="Q8" s="335">
        <v>3.7625000000000002</v>
      </c>
      <c r="S8" s="3" t="s">
        <v>946</v>
      </c>
      <c r="T8" s="329">
        <f>AVERAGE(C31:C35)</f>
        <v>3.8</v>
      </c>
      <c r="U8" s="329">
        <f>STDEV(C31:C35)</f>
        <v>1.7776388834631167</v>
      </c>
      <c r="V8" s="329"/>
      <c r="W8" s="329"/>
      <c r="X8" s="329">
        <f>AVERAGE(H31:H35)</f>
        <v>4.8999999999999995</v>
      </c>
      <c r="Y8" s="329">
        <f>STDEV(H31:H35)</f>
        <v>2.3864199127563461</v>
      </c>
      <c r="Z8" s="3"/>
      <c r="AA8" s="3"/>
      <c r="AB8" s="340">
        <f>AVERAGE(M31:M35)</f>
        <v>2.7875000000000001</v>
      </c>
    </row>
    <row r="9" spans="1:29" x14ac:dyDescent="0.25">
      <c r="A9" s="372"/>
      <c r="B9" s="90" t="s">
        <v>14</v>
      </c>
      <c r="C9" s="3">
        <v>2.2000000000000002</v>
      </c>
      <c r="D9" s="3">
        <v>1.2</v>
      </c>
      <c r="E9" s="3">
        <f t="shared" si="0"/>
        <v>1.0000000000000002</v>
      </c>
      <c r="F9" s="3">
        <v>3.3000000000000003</v>
      </c>
      <c r="G9" s="3">
        <f t="shared" si="1"/>
        <v>1.1000000000000001</v>
      </c>
      <c r="H9" s="3">
        <v>7.9</v>
      </c>
      <c r="I9" s="3">
        <f t="shared" si="2"/>
        <v>2.8000000000000007</v>
      </c>
      <c r="J9" s="3">
        <v>5.0999999999999996</v>
      </c>
      <c r="K9" s="3">
        <f t="shared" si="3"/>
        <v>0.90000000000000036</v>
      </c>
      <c r="L9" s="3">
        <v>8.8000000000000007</v>
      </c>
      <c r="M9" s="330">
        <v>2.5625</v>
      </c>
      <c r="N9" s="330">
        <f t="shared" si="4"/>
        <v>0.5625</v>
      </c>
      <c r="O9" s="330">
        <v>2</v>
      </c>
      <c r="P9" s="330">
        <f t="shared" si="5"/>
        <v>0.5625</v>
      </c>
      <c r="Q9" s="335">
        <v>3.125</v>
      </c>
      <c r="S9" s="3" t="s">
        <v>938</v>
      </c>
      <c r="T9" s="329">
        <f>AVERAGE(C36:C37)</f>
        <v>9.5500000000000007</v>
      </c>
      <c r="U9" s="329">
        <v>0.45</v>
      </c>
      <c r="V9" s="329"/>
      <c r="W9" s="329"/>
      <c r="X9" s="329">
        <f>AVERAGE(H36:H37)</f>
        <v>5.25</v>
      </c>
      <c r="Y9" s="329">
        <f>STDEV(H36:H37)</f>
        <v>1.0606601717798212</v>
      </c>
      <c r="Z9" s="3"/>
      <c r="AA9" s="3"/>
      <c r="AB9" s="340">
        <f>AVERAGE(M36:M37)</f>
        <v>4</v>
      </c>
    </row>
    <row r="10" spans="1:29" x14ac:dyDescent="0.25">
      <c r="A10" s="372"/>
      <c r="B10" s="98" t="s">
        <v>572</v>
      </c>
      <c r="C10" s="3">
        <v>0.5</v>
      </c>
      <c r="D10" s="3">
        <v>0.5</v>
      </c>
      <c r="E10" s="3">
        <f t="shared" si="0"/>
        <v>0</v>
      </c>
      <c r="F10" s="3">
        <v>0.4</v>
      </c>
      <c r="G10" s="3">
        <f t="shared" si="1"/>
        <v>-9.9999999999999978E-2</v>
      </c>
      <c r="H10" s="3">
        <v>4.4000000000000004</v>
      </c>
      <c r="I10" s="3">
        <f t="shared" si="2"/>
        <v>1.6</v>
      </c>
      <c r="J10" s="3">
        <v>2.8000000000000003</v>
      </c>
      <c r="K10" s="3">
        <f t="shared" si="3"/>
        <v>0.90000000000000036</v>
      </c>
      <c r="L10" s="3">
        <v>5.3000000000000007</v>
      </c>
      <c r="M10" s="330">
        <v>2.8125</v>
      </c>
      <c r="N10" s="330">
        <f t="shared" si="4"/>
        <v>0.625</v>
      </c>
      <c r="O10" s="330">
        <v>2.1875</v>
      </c>
      <c r="P10" s="330">
        <f t="shared" si="5"/>
        <v>0.625</v>
      </c>
      <c r="Q10" s="335">
        <v>3.4375</v>
      </c>
      <c r="S10" s="3" t="s">
        <v>939</v>
      </c>
      <c r="T10" s="329">
        <f>AVERAGE(C38:C40)</f>
        <v>7.8000000000000007</v>
      </c>
      <c r="U10" s="329">
        <f>STDEV(C38:C40)</f>
        <v>0.10000000000000009</v>
      </c>
      <c r="V10" s="329"/>
      <c r="W10" s="329"/>
      <c r="X10" s="329">
        <f>AVERAGE(H38:H40)</f>
        <v>7</v>
      </c>
      <c r="Y10" s="329">
        <f>STDEV(H38:H40)</f>
        <v>0.69999999999999984</v>
      </c>
      <c r="Z10" s="3"/>
      <c r="AA10" s="3"/>
      <c r="AB10" s="340">
        <f>AVERAGE(M38:M40)</f>
        <v>3.0208333333333335</v>
      </c>
    </row>
    <row r="11" spans="1:29" x14ac:dyDescent="0.25">
      <c r="A11" s="373"/>
      <c r="B11" s="98" t="s">
        <v>331</v>
      </c>
      <c r="C11" s="3">
        <v>1.7999999999999998</v>
      </c>
      <c r="D11" s="3">
        <v>1.5</v>
      </c>
      <c r="E11" s="3">
        <f t="shared" si="0"/>
        <v>0.29999999999999982</v>
      </c>
      <c r="F11" s="3">
        <v>2.2000000000000002</v>
      </c>
      <c r="G11" s="3">
        <f t="shared" si="1"/>
        <v>0.40000000000000036</v>
      </c>
      <c r="H11" s="3">
        <v>8.4</v>
      </c>
      <c r="I11" s="3">
        <f t="shared" si="2"/>
        <v>2.5000000000000009</v>
      </c>
      <c r="J11" s="3">
        <v>5.8999999999999995</v>
      </c>
      <c r="K11" s="3">
        <f t="shared" si="3"/>
        <v>0.5</v>
      </c>
      <c r="L11" s="3">
        <v>8.9</v>
      </c>
      <c r="M11" s="330">
        <v>3.75</v>
      </c>
      <c r="N11" s="330">
        <f t="shared" si="4"/>
        <v>0.5625</v>
      </c>
      <c r="O11" s="330">
        <v>3.1875</v>
      </c>
      <c r="P11" s="330">
        <f t="shared" si="5"/>
        <v>0.125</v>
      </c>
      <c r="Q11" s="335">
        <v>3.875</v>
      </c>
      <c r="S11" s="3" t="s">
        <v>940</v>
      </c>
      <c r="T11" s="329">
        <f>AVERAGE(C41:C42)</f>
        <v>4.75</v>
      </c>
      <c r="U11" s="329">
        <f>STDEV(C41:C42)</f>
        <v>0.63639610306789296</v>
      </c>
      <c r="V11" s="329"/>
      <c r="W11" s="329"/>
      <c r="X11" s="329">
        <f>AVERAGE(H41:H42)</f>
        <v>3.5500000000000003</v>
      </c>
      <c r="Y11" s="329">
        <f>STDEV(H41:H42)</f>
        <v>0.4949747468305834</v>
      </c>
      <c r="Z11" s="3"/>
      <c r="AA11" s="3"/>
      <c r="AB11" s="340">
        <f>AVERAGE(M41:M42)</f>
        <v>1.9375</v>
      </c>
    </row>
    <row r="12" spans="1:29" x14ac:dyDescent="0.25">
      <c r="A12" s="371" t="s">
        <v>19</v>
      </c>
      <c r="B12" s="98" t="s">
        <v>565</v>
      </c>
      <c r="C12" s="3">
        <v>6.2</v>
      </c>
      <c r="D12" s="3">
        <v>5.0999999999999996</v>
      </c>
      <c r="E12" s="3">
        <f t="shared" si="0"/>
        <v>1.1000000000000005</v>
      </c>
      <c r="F12" s="3">
        <v>7.9</v>
      </c>
      <c r="G12" s="3">
        <f t="shared" si="1"/>
        <v>1.7000000000000002</v>
      </c>
      <c r="H12" s="3">
        <v>8.1999999999999993</v>
      </c>
      <c r="I12" s="3">
        <f t="shared" si="2"/>
        <v>4.1999999999999993</v>
      </c>
      <c r="J12" s="3">
        <v>4</v>
      </c>
      <c r="K12" s="3">
        <f t="shared" si="3"/>
        <v>1.3000000000000007</v>
      </c>
      <c r="L12" s="3">
        <v>9.5</v>
      </c>
      <c r="M12" s="330">
        <v>2.75</v>
      </c>
      <c r="N12" s="330">
        <f t="shared" si="4"/>
        <v>0.5</v>
      </c>
      <c r="O12" s="330">
        <v>2.25</v>
      </c>
      <c r="P12" s="330">
        <f t="shared" si="5"/>
        <v>0.5</v>
      </c>
      <c r="Q12" s="335">
        <v>3.25</v>
      </c>
      <c r="S12" s="3" t="s">
        <v>947</v>
      </c>
      <c r="T12" s="329">
        <f>AVERAGE(C43:C53)</f>
        <v>7.5454545454545467</v>
      </c>
      <c r="U12" s="329">
        <f>STDEV(C43:C53)</f>
        <v>1.1066739685775799</v>
      </c>
      <c r="V12" s="329"/>
      <c r="W12" s="329"/>
      <c r="X12" s="329">
        <f>AVERAGE(H43:H53)</f>
        <v>3.4272727272727268</v>
      </c>
      <c r="Y12" s="329">
        <f>STDEV(H43:H53)</f>
        <v>1.4149847413247321</v>
      </c>
      <c r="Z12" s="3"/>
      <c r="AA12" s="3"/>
      <c r="AB12" s="340">
        <f>AVERAGE(M43:M53)</f>
        <v>2.4375</v>
      </c>
    </row>
    <row r="13" spans="1:29" x14ac:dyDescent="0.25">
      <c r="A13" s="372"/>
      <c r="B13" s="90" t="s">
        <v>21</v>
      </c>
      <c r="C13" s="3">
        <v>6.8999999999999995</v>
      </c>
      <c r="D13" s="3">
        <v>5.6999999999999993</v>
      </c>
      <c r="E13" s="3">
        <f t="shared" si="0"/>
        <v>1.2000000000000002</v>
      </c>
      <c r="F13" s="3">
        <v>8.1999999999999993</v>
      </c>
      <c r="G13" s="3">
        <f t="shared" si="1"/>
        <v>1.2999999999999998</v>
      </c>
      <c r="H13" s="3">
        <v>8.1999999999999993</v>
      </c>
      <c r="I13" s="3">
        <f t="shared" si="2"/>
        <v>4.5999999999999996</v>
      </c>
      <c r="J13" s="3">
        <v>3.5999999999999996</v>
      </c>
      <c r="K13" s="3">
        <f t="shared" si="3"/>
        <v>1.1999999999999993</v>
      </c>
      <c r="L13" s="3">
        <v>9.3999999999999986</v>
      </c>
      <c r="M13" s="330">
        <v>2.75</v>
      </c>
      <c r="N13" s="330">
        <f t="shared" si="4"/>
        <v>0.60000000000000009</v>
      </c>
      <c r="O13" s="330">
        <v>2.15</v>
      </c>
      <c r="P13" s="330">
        <f t="shared" si="5"/>
        <v>0.47500000000000009</v>
      </c>
      <c r="Q13" s="335">
        <v>3.2250000000000001</v>
      </c>
      <c r="S13" s="3" t="s">
        <v>948</v>
      </c>
      <c r="T13" s="329">
        <f>AVERAGE(C54:C62)</f>
        <v>7.4222222222222234</v>
      </c>
      <c r="U13" s="329">
        <f>STDEV(C54:C62)</f>
        <v>1.5602706317957844</v>
      </c>
      <c r="V13" s="329"/>
      <c r="W13" s="329"/>
      <c r="X13" s="329">
        <f>AVERAGE(H54:H62)</f>
        <v>7.5888888888888886</v>
      </c>
      <c r="Y13" s="329">
        <f>STDEV(H54:H62)</f>
        <v>1.743161240709282</v>
      </c>
      <c r="Z13" s="3"/>
      <c r="AA13" s="3"/>
      <c r="AB13" s="340">
        <f>AVERAGE(M54:M62)</f>
        <v>3.0694444444444446</v>
      </c>
    </row>
    <row r="14" spans="1:29" x14ac:dyDescent="0.25">
      <c r="A14" s="372"/>
      <c r="B14" s="98" t="s">
        <v>22</v>
      </c>
      <c r="C14" s="3">
        <v>4.2</v>
      </c>
      <c r="D14" s="3">
        <v>1.9</v>
      </c>
      <c r="E14" s="3">
        <f t="shared" si="0"/>
        <v>2.3000000000000003</v>
      </c>
      <c r="F14" s="3">
        <v>6.1</v>
      </c>
      <c r="G14" s="3">
        <f t="shared" si="1"/>
        <v>1.8999999999999995</v>
      </c>
      <c r="H14" s="3">
        <v>5.4</v>
      </c>
      <c r="I14" s="3">
        <f t="shared" si="2"/>
        <v>4.1000000000000005</v>
      </c>
      <c r="J14" s="3">
        <v>1.3</v>
      </c>
      <c r="K14" s="3">
        <f t="shared" si="3"/>
        <v>1.6999999999999993</v>
      </c>
      <c r="L14" s="3">
        <v>7.1</v>
      </c>
      <c r="M14" s="330">
        <v>1.3125</v>
      </c>
      <c r="N14" s="330">
        <f t="shared" si="4"/>
        <v>0.125</v>
      </c>
      <c r="O14" s="330">
        <v>1.1875</v>
      </c>
      <c r="P14" s="330">
        <f t="shared" si="5"/>
        <v>0.27499999999999991</v>
      </c>
      <c r="Q14" s="335">
        <v>1.5874999999999999</v>
      </c>
      <c r="S14" s="3" t="s">
        <v>950</v>
      </c>
      <c r="T14" s="329">
        <f>AVERAGE(C63:C66)</f>
        <v>7.5249999999999995</v>
      </c>
      <c r="U14" s="329">
        <f>STDEV(C63:C66)</f>
        <v>1.5542951242712382</v>
      </c>
      <c r="V14" s="329"/>
      <c r="W14" s="329"/>
      <c r="X14" s="329">
        <f>AVERAGE(H63:H66)</f>
        <v>0.7</v>
      </c>
      <c r="Y14" s="329">
        <f>STDEV(H63:H66)</f>
        <v>0.50990195135927863</v>
      </c>
      <c r="Z14" s="3"/>
      <c r="AA14" s="3"/>
      <c r="AB14" s="340">
        <f>AVERAGE(M63:M66)</f>
        <v>2.25</v>
      </c>
    </row>
    <row r="15" spans="1:29" x14ac:dyDescent="0.25">
      <c r="A15" s="372"/>
      <c r="B15" s="98" t="s">
        <v>332</v>
      </c>
      <c r="C15" s="3">
        <v>5.5</v>
      </c>
      <c r="D15" s="3">
        <v>2.5</v>
      </c>
      <c r="E15" s="3">
        <f t="shared" si="0"/>
        <v>3</v>
      </c>
      <c r="F15" s="3">
        <v>7.4</v>
      </c>
      <c r="G15" s="3">
        <f t="shared" si="1"/>
        <v>1.9000000000000004</v>
      </c>
      <c r="H15" s="3">
        <v>7</v>
      </c>
      <c r="I15" s="3">
        <f t="shared" si="2"/>
        <v>3.3</v>
      </c>
      <c r="J15" s="3">
        <v>3.7</v>
      </c>
      <c r="K15" s="3">
        <f t="shared" si="3"/>
        <v>0.70000000000000018</v>
      </c>
      <c r="L15" s="3">
        <v>7.7</v>
      </c>
      <c r="M15" s="330">
        <v>2</v>
      </c>
      <c r="N15" s="330">
        <f t="shared" si="4"/>
        <v>0.375</v>
      </c>
      <c r="O15" s="330">
        <v>1.625</v>
      </c>
      <c r="P15" s="330">
        <f t="shared" si="5"/>
        <v>0.5625</v>
      </c>
      <c r="Q15" s="335">
        <v>2.5625</v>
      </c>
      <c r="S15" s="3" t="s">
        <v>941</v>
      </c>
      <c r="T15" s="329">
        <f>AVERAGE(C67:C77)</f>
        <v>2.0363636363636366</v>
      </c>
      <c r="U15" s="329">
        <f>STDEV(C67:C77)</f>
        <v>1.420755240900224</v>
      </c>
      <c r="V15" s="329"/>
      <c r="W15" s="329"/>
      <c r="X15" s="329">
        <f>AVERAGE(H67:H77)</f>
        <v>7.4</v>
      </c>
      <c r="Y15" s="329">
        <f>STDEV(H67:H77)</f>
        <v>2.5546036874630822</v>
      </c>
      <c r="Z15" s="3"/>
      <c r="AA15" s="3"/>
      <c r="AB15" s="340">
        <f>AVERAGE(M67:M77)</f>
        <v>2.9375</v>
      </c>
    </row>
    <row r="16" spans="1:29" x14ac:dyDescent="0.25">
      <c r="A16" s="373"/>
      <c r="B16" s="98" t="s">
        <v>333</v>
      </c>
      <c r="C16" s="3">
        <v>5.4</v>
      </c>
      <c r="D16" s="3">
        <v>3.1</v>
      </c>
      <c r="E16" s="3">
        <f t="shared" si="0"/>
        <v>2.3000000000000003</v>
      </c>
      <c r="F16" s="3">
        <v>7.1</v>
      </c>
      <c r="G16" s="3">
        <f t="shared" si="1"/>
        <v>1.6999999999999993</v>
      </c>
      <c r="H16" s="3">
        <v>6.6000000000000005</v>
      </c>
      <c r="I16" s="3">
        <f t="shared" si="2"/>
        <v>3.5000000000000004</v>
      </c>
      <c r="J16" s="3">
        <v>3.1</v>
      </c>
      <c r="K16" s="3">
        <f t="shared" si="3"/>
        <v>0.79999999999999982</v>
      </c>
      <c r="L16" s="3">
        <v>7.4</v>
      </c>
      <c r="M16" s="330">
        <v>3</v>
      </c>
      <c r="N16" s="330">
        <f t="shared" si="4"/>
        <v>0.60000000000000009</v>
      </c>
      <c r="O16" s="330">
        <v>2.4</v>
      </c>
      <c r="P16" s="330">
        <f t="shared" si="5"/>
        <v>0.60000000000000009</v>
      </c>
      <c r="Q16" s="335">
        <v>3.6</v>
      </c>
    </row>
    <row r="17" spans="1:17" x14ac:dyDescent="0.25">
      <c r="A17" s="374" t="s">
        <v>25</v>
      </c>
      <c r="B17" s="98" t="s">
        <v>566</v>
      </c>
      <c r="C17" s="3">
        <v>5.6000000000000005</v>
      </c>
      <c r="D17" s="3">
        <v>5.5</v>
      </c>
      <c r="E17" s="3">
        <f t="shared" si="0"/>
        <v>0.10000000000000053</v>
      </c>
      <c r="F17" s="3">
        <v>6.7</v>
      </c>
      <c r="G17" s="3">
        <f t="shared" si="1"/>
        <v>1.0999999999999996</v>
      </c>
      <c r="H17" s="3">
        <v>5.2</v>
      </c>
      <c r="I17" s="3">
        <f t="shared" si="2"/>
        <v>3.2</v>
      </c>
      <c r="J17" s="3">
        <v>2</v>
      </c>
      <c r="K17" s="3">
        <f t="shared" si="3"/>
        <v>1.6000000000000005</v>
      </c>
      <c r="L17" s="3">
        <v>6.8000000000000007</v>
      </c>
      <c r="M17" s="330">
        <v>3.75</v>
      </c>
      <c r="N17" s="330">
        <f t="shared" si="4"/>
        <v>1.1000000000000001</v>
      </c>
      <c r="O17" s="330">
        <v>2.65</v>
      </c>
      <c r="P17" s="330">
        <f t="shared" si="5"/>
        <v>0.47499999999999964</v>
      </c>
      <c r="Q17" s="335">
        <v>4.2249999999999996</v>
      </c>
    </row>
    <row r="18" spans="1:17" x14ac:dyDescent="0.25">
      <c r="A18" s="375"/>
      <c r="B18" s="98" t="s">
        <v>29</v>
      </c>
      <c r="C18" s="3">
        <v>4.2</v>
      </c>
      <c r="D18" s="3">
        <v>4.8</v>
      </c>
      <c r="E18" s="3">
        <v>0</v>
      </c>
      <c r="F18" s="3">
        <v>5.2</v>
      </c>
      <c r="G18" s="3">
        <f t="shared" si="1"/>
        <v>1</v>
      </c>
      <c r="H18" s="3">
        <v>3.4000000000000004</v>
      </c>
      <c r="I18" s="3">
        <f t="shared" si="2"/>
        <v>1.9000000000000004</v>
      </c>
      <c r="J18" s="3">
        <v>1.5</v>
      </c>
      <c r="K18" s="3">
        <f t="shared" si="3"/>
        <v>1.6999999999999993</v>
      </c>
      <c r="L18" s="3">
        <v>5.0999999999999996</v>
      </c>
      <c r="M18" s="330">
        <v>2.75</v>
      </c>
      <c r="N18" s="330">
        <f t="shared" si="4"/>
        <v>0.17499999999999982</v>
      </c>
      <c r="O18" s="330">
        <v>2.5750000000000002</v>
      </c>
      <c r="P18" s="330">
        <f t="shared" si="5"/>
        <v>7.5000000000000178E-2</v>
      </c>
      <c r="Q18" s="335">
        <v>2.8250000000000002</v>
      </c>
    </row>
    <row r="19" spans="1:17" x14ac:dyDescent="0.25">
      <c r="A19" s="375"/>
      <c r="B19" s="98" t="s">
        <v>799</v>
      </c>
      <c r="C19" s="3">
        <v>5.6999999999999993</v>
      </c>
      <c r="D19" s="3">
        <v>5.6000000000000005</v>
      </c>
      <c r="E19" s="3">
        <f t="shared" si="0"/>
        <v>9.9999999999998757E-2</v>
      </c>
      <c r="F19" s="3">
        <v>7</v>
      </c>
      <c r="G19" s="3">
        <f t="shared" si="1"/>
        <v>1.3000000000000007</v>
      </c>
      <c r="H19" s="3">
        <v>5.5</v>
      </c>
      <c r="I19" s="3">
        <f t="shared" si="2"/>
        <v>2.9</v>
      </c>
      <c r="J19" s="3">
        <v>2.6</v>
      </c>
      <c r="K19" s="3">
        <f t="shared" si="3"/>
        <v>1.3999999999999995</v>
      </c>
      <c r="L19" s="3">
        <v>6.8999999999999995</v>
      </c>
      <c r="M19" s="330">
        <v>4.25</v>
      </c>
      <c r="N19" s="330">
        <f t="shared" si="4"/>
        <v>0.875</v>
      </c>
      <c r="O19" s="330">
        <v>3.375</v>
      </c>
      <c r="P19" s="330">
        <f t="shared" si="5"/>
        <v>0.125</v>
      </c>
      <c r="Q19" s="335">
        <v>4.375</v>
      </c>
    </row>
    <row r="20" spans="1:17" x14ac:dyDescent="0.25">
      <c r="A20" s="375"/>
      <c r="B20" s="98" t="s">
        <v>567</v>
      </c>
      <c r="C20" s="3">
        <v>2.8000000000000003</v>
      </c>
      <c r="D20" s="3">
        <v>1.1000000000000001</v>
      </c>
      <c r="E20" s="3">
        <f t="shared" si="0"/>
        <v>1.7000000000000002</v>
      </c>
      <c r="F20" s="3">
        <v>5</v>
      </c>
      <c r="G20" s="3">
        <f t="shared" si="1"/>
        <v>2.1999999999999997</v>
      </c>
      <c r="H20" s="3">
        <v>3.3000000000000003</v>
      </c>
      <c r="I20" s="3">
        <f t="shared" si="2"/>
        <v>2.2000000000000002</v>
      </c>
      <c r="J20" s="3">
        <v>1.1000000000000001</v>
      </c>
      <c r="K20" s="3">
        <f t="shared" si="3"/>
        <v>1.7999999999999994</v>
      </c>
      <c r="L20" s="3">
        <v>5.0999999999999996</v>
      </c>
      <c r="M20" s="330">
        <v>3</v>
      </c>
      <c r="N20" s="330">
        <f t="shared" si="4"/>
        <v>0.92499999999999982</v>
      </c>
      <c r="O20" s="330">
        <v>2.0750000000000002</v>
      </c>
      <c r="P20" s="330">
        <f t="shared" si="5"/>
        <v>0.29999999999999982</v>
      </c>
      <c r="Q20" s="335">
        <v>3.3</v>
      </c>
    </row>
    <row r="21" spans="1:17" x14ac:dyDescent="0.25">
      <c r="A21" s="375"/>
      <c r="B21" s="98" t="s">
        <v>34</v>
      </c>
      <c r="C21" s="3">
        <v>3</v>
      </c>
      <c r="D21" s="3">
        <v>3.3000000000000003</v>
      </c>
      <c r="E21" s="3">
        <v>0</v>
      </c>
      <c r="F21" s="3">
        <v>4.0999999999999996</v>
      </c>
      <c r="G21" s="3">
        <f t="shared" si="1"/>
        <v>1.0999999999999996</v>
      </c>
      <c r="H21" s="3">
        <v>4.0999999999999996</v>
      </c>
      <c r="I21" s="3">
        <f t="shared" si="2"/>
        <v>1.4999999999999996</v>
      </c>
      <c r="J21" s="3">
        <v>2.6</v>
      </c>
      <c r="K21" s="3">
        <f t="shared" si="3"/>
        <v>0.59999999999999964</v>
      </c>
      <c r="L21" s="3">
        <v>4.6999999999999993</v>
      </c>
      <c r="M21" s="330">
        <v>2.5625</v>
      </c>
      <c r="N21" s="330">
        <f t="shared" si="4"/>
        <v>0.3125</v>
      </c>
      <c r="O21" s="330">
        <v>2.25</v>
      </c>
      <c r="P21" s="330">
        <f t="shared" si="5"/>
        <v>0.1875</v>
      </c>
      <c r="Q21" s="335">
        <v>2.75</v>
      </c>
    </row>
    <row r="22" spans="1:17" x14ac:dyDescent="0.25">
      <c r="A22" s="375"/>
      <c r="B22" s="98" t="s">
        <v>568</v>
      </c>
      <c r="C22" s="3">
        <v>4.0999999999999996</v>
      </c>
      <c r="D22" s="3">
        <v>2.9</v>
      </c>
      <c r="E22" s="3">
        <f t="shared" si="0"/>
        <v>1.1999999999999997</v>
      </c>
      <c r="F22" s="3">
        <v>6.5</v>
      </c>
      <c r="G22" s="3">
        <f t="shared" si="1"/>
        <v>2.4000000000000004</v>
      </c>
      <c r="H22" s="3">
        <v>5.4</v>
      </c>
      <c r="I22" s="3">
        <f t="shared" si="2"/>
        <v>2.9000000000000004</v>
      </c>
      <c r="J22" s="3">
        <v>2.5</v>
      </c>
      <c r="K22" s="3">
        <f t="shared" si="3"/>
        <v>1.2999999999999998</v>
      </c>
      <c r="L22" s="3">
        <v>6.7</v>
      </c>
      <c r="M22" s="330">
        <v>4</v>
      </c>
      <c r="N22" s="330">
        <f t="shared" si="4"/>
        <v>0.875</v>
      </c>
      <c r="O22" s="330">
        <v>3.125</v>
      </c>
      <c r="P22" s="330">
        <f t="shared" si="5"/>
        <v>0.125</v>
      </c>
      <c r="Q22" s="335">
        <v>4.125</v>
      </c>
    </row>
    <row r="23" spans="1:17" x14ac:dyDescent="0.25">
      <c r="A23" s="375"/>
      <c r="B23" s="98" t="s">
        <v>569</v>
      </c>
      <c r="C23" s="3">
        <v>3.7</v>
      </c>
      <c r="D23" s="3">
        <v>2.3000000000000003</v>
      </c>
      <c r="E23" s="3">
        <f t="shared" si="0"/>
        <v>1.4</v>
      </c>
      <c r="F23" s="3">
        <v>6</v>
      </c>
      <c r="G23" s="3">
        <f t="shared" si="1"/>
        <v>2.2999999999999998</v>
      </c>
      <c r="H23" s="3">
        <v>4.5</v>
      </c>
      <c r="I23" s="3">
        <f t="shared" si="2"/>
        <v>2.9</v>
      </c>
      <c r="J23" s="3">
        <v>1.6</v>
      </c>
      <c r="K23" s="3">
        <f t="shared" si="3"/>
        <v>1.3999999999999995</v>
      </c>
      <c r="L23" s="3">
        <v>5.8999999999999995</v>
      </c>
      <c r="M23" s="330">
        <v>3</v>
      </c>
      <c r="N23" s="330">
        <f t="shared" si="4"/>
        <v>0.70000000000000018</v>
      </c>
      <c r="O23" s="330">
        <v>2.2999999999999998</v>
      </c>
      <c r="P23" s="330">
        <f t="shared" si="5"/>
        <v>0.20000000000000018</v>
      </c>
      <c r="Q23" s="335">
        <v>3.2</v>
      </c>
    </row>
    <row r="24" spans="1:17" x14ac:dyDescent="0.25">
      <c r="A24" s="375"/>
      <c r="B24" s="98" t="s">
        <v>570</v>
      </c>
      <c r="C24" s="3">
        <v>1.6</v>
      </c>
      <c r="D24" s="3">
        <v>0.6</v>
      </c>
      <c r="E24" s="3">
        <f t="shared" si="0"/>
        <v>1</v>
      </c>
      <c r="F24" s="3">
        <v>3.5</v>
      </c>
      <c r="G24" s="3">
        <f t="shared" si="1"/>
        <v>1.9</v>
      </c>
      <c r="H24" s="3">
        <v>2.4</v>
      </c>
      <c r="I24" s="3">
        <f t="shared" si="2"/>
        <v>1.7999999999999998</v>
      </c>
      <c r="J24" s="3">
        <v>0.6</v>
      </c>
      <c r="K24" s="3">
        <f t="shared" si="3"/>
        <v>1.1999999999999997</v>
      </c>
      <c r="L24" s="3">
        <v>3.5999999999999996</v>
      </c>
      <c r="M24" s="330">
        <v>2.0625</v>
      </c>
      <c r="N24" s="330">
        <f t="shared" si="4"/>
        <v>0.625</v>
      </c>
      <c r="O24" s="330">
        <v>1.4375</v>
      </c>
      <c r="P24" s="330">
        <f t="shared" si="5"/>
        <v>8.7499999999999911E-2</v>
      </c>
      <c r="Q24" s="335">
        <v>2.15</v>
      </c>
    </row>
    <row r="25" spans="1:17" x14ac:dyDescent="0.25">
      <c r="A25" s="375"/>
      <c r="B25" s="98" t="s">
        <v>36</v>
      </c>
      <c r="C25" s="3">
        <v>3.2</v>
      </c>
      <c r="D25" s="3">
        <v>1.2</v>
      </c>
      <c r="E25" s="3">
        <f t="shared" si="0"/>
        <v>2</v>
      </c>
      <c r="F25" s="3">
        <v>4.5</v>
      </c>
      <c r="G25" s="3">
        <f t="shared" si="1"/>
        <v>1.2999999999999998</v>
      </c>
      <c r="H25" s="3">
        <v>4.3</v>
      </c>
      <c r="I25" s="3">
        <f t="shared" si="2"/>
        <v>1.9999999999999996</v>
      </c>
      <c r="J25" s="3">
        <v>2.3000000000000003</v>
      </c>
      <c r="K25" s="3">
        <f t="shared" si="3"/>
        <v>0.5</v>
      </c>
      <c r="L25" s="3">
        <v>4.8</v>
      </c>
      <c r="M25" s="330">
        <v>2.75</v>
      </c>
      <c r="N25" s="330">
        <f t="shared" si="4"/>
        <v>0.8125</v>
      </c>
      <c r="O25" s="330">
        <v>1.9375</v>
      </c>
      <c r="P25" s="330">
        <f t="shared" si="5"/>
        <v>0.21249999999999991</v>
      </c>
      <c r="Q25" s="335">
        <v>2.9624999999999999</v>
      </c>
    </row>
    <row r="26" spans="1:17" x14ac:dyDescent="0.25">
      <c r="A26" s="375"/>
      <c r="B26" s="98" t="s">
        <v>293</v>
      </c>
      <c r="C26" s="3">
        <v>3.9000000000000004</v>
      </c>
      <c r="D26" s="3">
        <v>2.6</v>
      </c>
      <c r="E26" s="3">
        <f t="shared" si="0"/>
        <v>1.3000000000000003</v>
      </c>
      <c r="F26" s="3">
        <v>6.4</v>
      </c>
      <c r="G26" s="3">
        <f t="shared" si="1"/>
        <v>2.5</v>
      </c>
      <c r="H26" s="3">
        <v>7.1999999999999993</v>
      </c>
      <c r="I26" s="3">
        <f t="shared" si="2"/>
        <v>4.8999999999999986</v>
      </c>
      <c r="J26" s="3">
        <v>2.3000000000000003</v>
      </c>
      <c r="K26" s="3">
        <f t="shared" si="3"/>
        <v>1</v>
      </c>
      <c r="L26" s="3">
        <v>8.1999999999999993</v>
      </c>
      <c r="M26" s="330">
        <v>3.75</v>
      </c>
      <c r="N26" s="330">
        <f t="shared" si="4"/>
        <v>0.85000000000000009</v>
      </c>
      <c r="O26" s="330">
        <v>2.9</v>
      </c>
      <c r="P26" s="330">
        <f t="shared" si="5"/>
        <v>0.22500000000000009</v>
      </c>
      <c r="Q26" s="335">
        <v>3.9750000000000001</v>
      </c>
    </row>
    <row r="27" spans="1:17" x14ac:dyDescent="0.25">
      <c r="A27" s="375"/>
      <c r="B27" s="98" t="s">
        <v>37</v>
      </c>
      <c r="C27" s="3">
        <v>2.9</v>
      </c>
      <c r="D27" s="3">
        <v>1.4000000000000001</v>
      </c>
      <c r="E27" s="3">
        <f t="shared" si="0"/>
        <v>1.4999999999999998</v>
      </c>
      <c r="F27" s="3">
        <v>3.8</v>
      </c>
      <c r="G27" s="3">
        <f t="shared" si="1"/>
        <v>0.89999999999999991</v>
      </c>
      <c r="H27" s="3">
        <v>3.4000000000000004</v>
      </c>
      <c r="I27" s="3">
        <f t="shared" si="2"/>
        <v>1.0000000000000004</v>
      </c>
      <c r="J27" s="3">
        <v>2.4</v>
      </c>
      <c r="K27" s="3">
        <f t="shared" si="3"/>
        <v>0.79999999999999982</v>
      </c>
      <c r="L27" s="3">
        <v>4.2</v>
      </c>
      <c r="M27" s="330">
        <v>2.3125</v>
      </c>
      <c r="N27" s="330">
        <f t="shared" si="4"/>
        <v>0.25</v>
      </c>
      <c r="O27" s="330">
        <v>2.0625</v>
      </c>
      <c r="P27" s="330">
        <f t="shared" si="5"/>
        <v>0.14999999999999991</v>
      </c>
      <c r="Q27" s="335">
        <v>2.4624999999999999</v>
      </c>
    </row>
    <row r="28" spans="1:17" x14ac:dyDescent="0.25">
      <c r="A28" s="375"/>
      <c r="B28" s="98" t="s">
        <v>291</v>
      </c>
      <c r="C28" s="3">
        <v>3.1</v>
      </c>
      <c r="D28" s="3">
        <v>1.7000000000000002</v>
      </c>
      <c r="E28" s="3">
        <f t="shared" si="0"/>
        <v>1.4</v>
      </c>
      <c r="F28" s="3">
        <v>4.6000000000000005</v>
      </c>
      <c r="G28" s="3">
        <f t="shared" si="1"/>
        <v>1.5000000000000004</v>
      </c>
      <c r="H28" s="3">
        <v>6.6000000000000005</v>
      </c>
      <c r="I28" s="3">
        <f t="shared" si="2"/>
        <v>4.8000000000000007</v>
      </c>
      <c r="J28" s="3">
        <v>1.7999999999999998</v>
      </c>
      <c r="K28" s="3">
        <f t="shared" si="3"/>
        <v>0.99999999999999911</v>
      </c>
      <c r="L28" s="3">
        <v>7.6</v>
      </c>
      <c r="M28" s="330">
        <v>4</v>
      </c>
      <c r="N28" s="330">
        <f t="shared" si="4"/>
        <v>0.75</v>
      </c>
      <c r="O28" s="330">
        <v>3.25</v>
      </c>
      <c r="P28" s="330">
        <f t="shared" si="5"/>
        <v>6.25E-2</v>
      </c>
      <c r="Q28" s="335">
        <v>4.0625</v>
      </c>
    </row>
    <row r="29" spans="1:17" x14ac:dyDescent="0.25">
      <c r="A29" s="375"/>
      <c r="B29" s="98" t="s">
        <v>287</v>
      </c>
      <c r="C29" s="3">
        <v>5.0999999999999996</v>
      </c>
      <c r="D29" s="3">
        <v>3.7</v>
      </c>
      <c r="E29" s="3">
        <f t="shared" si="0"/>
        <v>1.3999999999999995</v>
      </c>
      <c r="F29" s="3">
        <v>6.5</v>
      </c>
      <c r="G29" s="3">
        <f t="shared" si="1"/>
        <v>1.4000000000000004</v>
      </c>
      <c r="H29" s="3">
        <v>4.9000000000000004</v>
      </c>
      <c r="I29" s="3">
        <f t="shared" si="2"/>
        <v>3.0000000000000004</v>
      </c>
      <c r="J29" s="3">
        <v>1.9</v>
      </c>
      <c r="K29" s="3">
        <f t="shared" si="3"/>
        <v>1.5</v>
      </c>
      <c r="L29" s="3">
        <v>6.4</v>
      </c>
      <c r="M29" s="330">
        <v>3.75</v>
      </c>
      <c r="N29" s="330">
        <f t="shared" si="4"/>
        <v>1</v>
      </c>
      <c r="O29" s="330">
        <v>2.75</v>
      </c>
      <c r="P29" s="330">
        <f t="shared" si="5"/>
        <v>0.375</v>
      </c>
      <c r="Q29" s="335">
        <v>4.125</v>
      </c>
    </row>
    <row r="30" spans="1:17" x14ac:dyDescent="0.25">
      <c r="A30" s="375"/>
      <c r="B30" s="98" t="s">
        <v>261</v>
      </c>
      <c r="C30" s="3">
        <v>1.5</v>
      </c>
      <c r="D30" s="3">
        <v>0.70000000000000007</v>
      </c>
      <c r="E30" s="3">
        <f t="shared" si="0"/>
        <v>0.79999999999999993</v>
      </c>
      <c r="F30" s="3">
        <v>2.6</v>
      </c>
      <c r="G30" s="3">
        <f t="shared" si="1"/>
        <v>1.1000000000000001</v>
      </c>
      <c r="H30" s="3">
        <v>1.6</v>
      </c>
      <c r="I30" s="3">
        <f t="shared" si="2"/>
        <v>1.3</v>
      </c>
      <c r="J30" s="3">
        <v>0.3</v>
      </c>
      <c r="K30" s="3">
        <f t="shared" si="3"/>
        <v>1.2999999999999998</v>
      </c>
      <c r="L30" s="3">
        <v>2.9</v>
      </c>
      <c r="M30" s="330">
        <v>2.75</v>
      </c>
      <c r="N30" s="330">
        <f t="shared" si="4"/>
        <v>0.8</v>
      </c>
      <c r="O30" s="330">
        <v>1.95</v>
      </c>
      <c r="P30" s="330">
        <f t="shared" si="5"/>
        <v>0.17499999999999982</v>
      </c>
      <c r="Q30" s="335">
        <v>2.9249999999999998</v>
      </c>
    </row>
    <row r="31" spans="1:17" x14ac:dyDescent="0.25">
      <c r="A31" s="375"/>
      <c r="B31" s="98" t="s">
        <v>40</v>
      </c>
      <c r="C31" s="3">
        <v>4.6999999999999993</v>
      </c>
      <c r="D31" s="3">
        <v>3.7</v>
      </c>
      <c r="E31" s="3">
        <f t="shared" si="0"/>
        <v>0.99999999999999911</v>
      </c>
      <c r="F31" s="3">
        <v>6.8000000000000007</v>
      </c>
      <c r="G31" s="3">
        <f t="shared" si="1"/>
        <v>2.1000000000000014</v>
      </c>
      <c r="H31" s="3">
        <v>7.4</v>
      </c>
      <c r="I31" s="3">
        <f t="shared" si="2"/>
        <v>4.9000000000000004</v>
      </c>
      <c r="J31" s="3">
        <v>2.5</v>
      </c>
      <c r="K31" s="3">
        <f t="shared" si="3"/>
        <v>1.0999999999999996</v>
      </c>
      <c r="L31" s="3">
        <v>8.5</v>
      </c>
      <c r="M31" s="330">
        <v>4.5</v>
      </c>
      <c r="N31" s="330">
        <f t="shared" si="4"/>
        <v>0.9375</v>
      </c>
      <c r="O31" s="330">
        <v>3.5625</v>
      </c>
      <c r="P31" s="330">
        <f t="shared" si="5"/>
        <v>0.25</v>
      </c>
      <c r="Q31" s="335">
        <v>4.75</v>
      </c>
    </row>
    <row r="32" spans="1:17" x14ac:dyDescent="0.25">
      <c r="A32" s="375"/>
      <c r="B32" s="98" t="s">
        <v>44</v>
      </c>
      <c r="C32" s="3">
        <v>4.8</v>
      </c>
      <c r="D32" s="3">
        <v>4</v>
      </c>
      <c r="E32" s="3">
        <f t="shared" si="0"/>
        <v>0.79999999999999982</v>
      </c>
      <c r="F32" s="3">
        <v>7.1999999999999993</v>
      </c>
      <c r="G32" s="3">
        <f t="shared" si="1"/>
        <v>2.3999999999999995</v>
      </c>
      <c r="H32" s="3">
        <v>5.6999999999999993</v>
      </c>
      <c r="I32" s="3">
        <f t="shared" si="2"/>
        <v>2.899999999999999</v>
      </c>
      <c r="J32" s="3">
        <v>2.8000000000000003</v>
      </c>
      <c r="K32" s="3">
        <f t="shared" si="3"/>
        <v>1.6000000000000005</v>
      </c>
      <c r="L32" s="3">
        <v>7.3</v>
      </c>
      <c r="M32" s="330">
        <v>3.25</v>
      </c>
      <c r="N32" s="330">
        <f t="shared" si="4"/>
        <v>0.6875</v>
      </c>
      <c r="O32" s="330">
        <v>2.5625</v>
      </c>
      <c r="P32" s="330">
        <f t="shared" si="5"/>
        <v>0.46249999999999991</v>
      </c>
      <c r="Q32" s="335">
        <v>3.7124999999999999</v>
      </c>
    </row>
    <row r="33" spans="1:17" x14ac:dyDescent="0.25">
      <c r="A33" s="375"/>
      <c r="B33" s="98" t="s">
        <v>571</v>
      </c>
      <c r="C33" s="3">
        <v>3.9000000000000004</v>
      </c>
      <c r="D33" s="3">
        <v>2.5</v>
      </c>
      <c r="E33" s="3">
        <f t="shared" si="0"/>
        <v>1.4000000000000004</v>
      </c>
      <c r="F33" s="3">
        <v>6.3</v>
      </c>
      <c r="G33" s="3">
        <f t="shared" si="1"/>
        <v>2.3999999999999995</v>
      </c>
      <c r="H33" s="3">
        <v>4.6999999999999993</v>
      </c>
      <c r="I33" s="3">
        <f t="shared" si="2"/>
        <v>2.8999999999999995</v>
      </c>
      <c r="J33" s="3">
        <v>1.7999999999999998</v>
      </c>
      <c r="K33" s="3">
        <f t="shared" si="3"/>
        <v>1.5000000000000009</v>
      </c>
      <c r="L33" s="3">
        <v>6.2</v>
      </c>
      <c r="M33" s="330">
        <v>2.125</v>
      </c>
      <c r="N33" s="330">
        <f t="shared" si="4"/>
        <v>0.5</v>
      </c>
      <c r="O33" s="330">
        <v>1.625</v>
      </c>
      <c r="P33" s="330">
        <f t="shared" si="5"/>
        <v>0.33749999999999991</v>
      </c>
      <c r="Q33" s="335">
        <v>2.4624999999999999</v>
      </c>
    </row>
    <row r="34" spans="1:17" x14ac:dyDescent="0.25">
      <c r="A34" s="375"/>
      <c r="B34" s="98" t="s">
        <v>573</v>
      </c>
      <c r="C34" s="3">
        <v>4.9000000000000004</v>
      </c>
      <c r="D34" s="3">
        <v>3</v>
      </c>
      <c r="E34" s="3">
        <f t="shared" si="0"/>
        <v>1.9000000000000004</v>
      </c>
      <c r="F34" s="3">
        <v>6.6000000000000005</v>
      </c>
      <c r="G34" s="3">
        <f t="shared" si="1"/>
        <v>1.7000000000000002</v>
      </c>
      <c r="H34" s="3">
        <v>5.6999999999999993</v>
      </c>
      <c r="I34" s="3">
        <f t="shared" si="2"/>
        <v>1.9999999999999991</v>
      </c>
      <c r="J34" s="3">
        <v>3.7</v>
      </c>
      <c r="K34" s="3">
        <f t="shared" si="3"/>
        <v>0.80000000000000071</v>
      </c>
      <c r="L34" s="3">
        <v>6.5</v>
      </c>
      <c r="M34" s="330">
        <v>2.25</v>
      </c>
      <c r="N34" s="330">
        <f t="shared" si="4"/>
        <v>0.625</v>
      </c>
      <c r="O34" s="330">
        <v>1.625</v>
      </c>
      <c r="P34" s="330">
        <f t="shared" si="5"/>
        <v>0.39999999999999991</v>
      </c>
      <c r="Q34" s="335">
        <v>2.65</v>
      </c>
    </row>
    <row r="35" spans="1:17" x14ac:dyDescent="0.25">
      <c r="A35" s="376"/>
      <c r="B35" s="98" t="s">
        <v>577</v>
      </c>
      <c r="C35" s="3">
        <v>0.70000000000000007</v>
      </c>
      <c r="D35" s="3">
        <v>0.8</v>
      </c>
      <c r="E35" s="3">
        <v>0</v>
      </c>
      <c r="F35" s="3">
        <v>1.3</v>
      </c>
      <c r="G35" s="3">
        <f t="shared" si="1"/>
        <v>0.6</v>
      </c>
      <c r="H35" s="3">
        <v>1</v>
      </c>
      <c r="I35" s="3">
        <f t="shared" si="2"/>
        <v>0.5</v>
      </c>
      <c r="J35" s="3">
        <v>0.5</v>
      </c>
      <c r="K35" s="3">
        <f t="shared" si="3"/>
        <v>1.2000000000000002</v>
      </c>
      <c r="L35" s="3">
        <v>2.2000000000000002</v>
      </c>
      <c r="M35" s="330">
        <v>1.8125</v>
      </c>
      <c r="N35" s="330">
        <f t="shared" si="4"/>
        <v>0.25</v>
      </c>
      <c r="O35" s="330">
        <v>1.5625</v>
      </c>
      <c r="P35" s="330">
        <f t="shared" si="5"/>
        <v>0.39999999999999991</v>
      </c>
      <c r="Q35" s="335">
        <v>2.2124999999999999</v>
      </c>
    </row>
    <row r="36" spans="1:17" x14ac:dyDescent="0.25">
      <c r="A36" s="378" t="s">
        <v>46</v>
      </c>
      <c r="B36" s="98" t="s">
        <v>47</v>
      </c>
      <c r="C36" s="3">
        <v>9.9</v>
      </c>
      <c r="D36" s="3">
        <v>9</v>
      </c>
      <c r="E36" s="3">
        <f t="shared" si="0"/>
        <v>0.90000000000000036</v>
      </c>
      <c r="F36" s="3">
        <v>9.9</v>
      </c>
      <c r="G36" s="3">
        <f t="shared" si="1"/>
        <v>0</v>
      </c>
      <c r="H36" s="3">
        <v>6</v>
      </c>
      <c r="I36" s="3">
        <f t="shared" si="2"/>
        <v>3.1</v>
      </c>
      <c r="J36" s="3">
        <v>2.9</v>
      </c>
      <c r="K36" s="3">
        <f t="shared" si="3"/>
        <v>2</v>
      </c>
      <c r="L36" s="3">
        <v>8</v>
      </c>
      <c r="M36" s="330">
        <v>4.25</v>
      </c>
      <c r="N36" s="330">
        <f t="shared" si="4"/>
        <v>0.75</v>
      </c>
      <c r="O36" s="330">
        <v>3.5</v>
      </c>
      <c r="P36" s="330">
        <f t="shared" si="5"/>
        <v>0.4375</v>
      </c>
      <c r="Q36" s="335">
        <v>4.6875</v>
      </c>
    </row>
    <row r="37" spans="1:17" x14ac:dyDescent="0.25">
      <c r="A37" s="377"/>
      <c r="B37" s="90" t="s">
        <v>334</v>
      </c>
      <c r="C37" s="3">
        <v>9.2000000000000011</v>
      </c>
      <c r="D37" s="3">
        <v>7.6</v>
      </c>
      <c r="E37" s="3">
        <f t="shared" si="0"/>
        <v>1.6000000000000014</v>
      </c>
      <c r="F37" s="3">
        <v>9.8000000000000007</v>
      </c>
      <c r="G37" s="3">
        <f t="shared" si="1"/>
        <v>0.59999999999999964</v>
      </c>
      <c r="H37" s="3">
        <v>4.5</v>
      </c>
      <c r="I37" s="3">
        <f t="shared" si="2"/>
        <v>2.8</v>
      </c>
      <c r="J37" s="3">
        <v>1.7000000000000002</v>
      </c>
      <c r="K37" s="3">
        <f t="shared" si="3"/>
        <v>2.5999999999999996</v>
      </c>
      <c r="L37" s="3">
        <v>7.1</v>
      </c>
      <c r="M37" s="330">
        <v>3.75</v>
      </c>
      <c r="N37" s="330">
        <f t="shared" si="4"/>
        <v>0.85000000000000009</v>
      </c>
      <c r="O37" s="330">
        <v>2.9</v>
      </c>
      <c r="P37" s="330">
        <f t="shared" si="5"/>
        <v>0.84999999999999964</v>
      </c>
      <c r="Q37" s="335">
        <v>4.5999999999999996</v>
      </c>
    </row>
    <row r="38" spans="1:17" x14ac:dyDescent="0.25">
      <c r="A38" s="374" t="s">
        <v>51</v>
      </c>
      <c r="B38" s="90" t="s">
        <v>576</v>
      </c>
      <c r="C38" s="3">
        <v>7.9</v>
      </c>
      <c r="D38" s="3">
        <v>6.4</v>
      </c>
      <c r="E38" s="3">
        <f t="shared" si="0"/>
        <v>1.5</v>
      </c>
      <c r="F38" s="3">
        <v>9.3000000000000007</v>
      </c>
      <c r="G38" s="3">
        <f t="shared" si="1"/>
        <v>1.4000000000000004</v>
      </c>
      <c r="H38" s="3">
        <v>7.5</v>
      </c>
      <c r="I38" s="3">
        <f t="shared" si="2"/>
        <v>2.5</v>
      </c>
      <c r="J38" s="3">
        <v>5</v>
      </c>
      <c r="K38" s="3">
        <f t="shared" si="3"/>
        <v>1.0999999999999996</v>
      </c>
      <c r="L38" s="3">
        <v>8.6</v>
      </c>
      <c r="M38" s="330">
        <v>3.5</v>
      </c>
      <c r="N38" s="330">
        <f t="shared" si="4"/>
        <v>0.27500000000000036</v>
      </c>
      <c r="O38" s="330">
        <v>3.2249999999999996</v>
      </c>
      <c r="P38" s="330">
        <f t="shared" si="5"/>
        <v>0.27500000000000036</v>
      </c>
      <c r="Q38" s="335">
        <v>3.7750000000000004</v>
      </c>
    </row>
    <row r="39" spans="1:17" x14ac:dyDescent="0.25">
      <c r="A39" s="375"/>
      <c r="B39" s="74" t="s">
        <v>575</v>
      </c>
      <c r="C39" s="3">
        <v>7.8000000000000007</v>
      </c>
      <c r="D39" s="3">
        <v>7.8000000000000007</v>
      </c>
      <c r="E39" s="3">
        <f t="shared" si="0"/>
        <v>0</v>
      </c>
      <c r="F39" s="3">
        <v>8.5</v>
      </c>
      <c r="G39" s="3">
        <f t="shared" si="1"/>
        <v>0.69999999999999929</v>
      </c>
      <c r="H39" s="3">
        <v>6.2</v>
      </c>
      <c r="I39" s="3">
        <f t="shared" si="2"/>
        <v>3.2</v>
      </c>
      <c r="J39" s="3">
        <v>3</v>
      </c>
      <c r="K39" s="3">
        <f t="shared" si="3"/>
        <v>1.7999999999999998</v>
      </c>
      <c r="L39" s="3">
        <v>8</v>
      </c>
      <c r="M39" s="330">
        <v>2.3125</v>
      </c>
      <c r="N39" s="330">
        <f t="shared" si="4"/>
        <v>0.35000000000000009</v>
      </c>
      <c r="O39" s="330">
        <v>1.9624999999999999</v>
      </c>
      <c r="P39" s="330">
        <f t="shared" si="5"/>
        <v>0.35000000000000009</v>
      </c>
      <c r="Q39" s="335">
        <v>2.6625000000000001</v>
      </c>
    </row>
    <row r="40" spans="1:17" x14ac:dyDescent="0.25">
      <c r="A40" s="376"/>
      <c r="B40" s="90" t="s">
        <v>56</v>
      </c>
      <c r="C40" s="3">
        <v>7.7</v>
      </c>
      <c r="D40" s="3">
        <v>5.8999999999999995</v>
      </c>
      <c r="E40" s="3">
        <f t="shared" si="0"/>
        <v>1.8000000000000007</v>
      </c>
      <c r="F40" s="3">
        <v>9.3000000000000007</v>
      </c>
      <c r="G40" s="3">
        <f t="shared" si="1"/>
        <v>1.6000000000000005</v>
      </c>
      <c r="H40" s="3">
        <v>7.3</v>
      </c>
      <c r="I40" s="3">
        <f t="shared" si="2"/>
        <v>2.8</v>
      </c>
      <c r="J40" s="3">
        <v>4.5</v>
      </c>
      <c r="K40" s="3">
        <f t="shared" si="3"/>
        <v>1.2999999999999998</v>
      </c>
      <c r="L40" s="3">
        <v>8.6</v>
      </c>
      <c r="M40" s="330">
        <v>3.25</v>
      </c>
      <c r="N40" s="330">
        <f t="shared" si="4"/>
        <v>0.52499999999999991</v>
      </c>
      <c r="O40" s="330">
        <v>2.7250000000000001</v>
      </c>
      <c r="P40" s="330">
        <f t="shared" si="5"/>
        <v>0.52500000000000036</v>
      </c>
      <c r="Q40" s="335">
        <v>3.7750000000000004</v>
      </c>
    </row>
    <row r="41" spans="1:17" x14ac:dyDescent="0.25">
      <c r="A41" s="377" t="s">
        <v>135</v>
      </c>
      <c r="B41" s="90" t="s">
        <v>136</v>
      </c>
      <c r="C41" s="3">
        <v>5.2</v>
      </c>
      <c r="D41" s="3">
        <v>2.2000000000000002</v>
      </c>
      <c r="E41" s="3">
        <f t="shared" si="0"/>
        <v>3</v>
      </c>
      <c r="F41" s="3">
        <v>7.7</v>
      </c>
      <c r="G41" s="3">
        <f t="shared" si="1"/>
        <v>2.5</v>
      </c>
      <c r="H41" s="3">
        <v>3.9000000000000004</v>
      </c>
      <c r="I41" s="3">
        <f t="shared" si="2"/>
        <v>2.8000000000000003</v>
      </c>
      <c r="J41" s="3">
        <v>1.1000000000000001</v>
      </c>
      <c r="K41" s="3">
        <f t="shared" si="3"/>
        <v>2.2999999999999998</v>
      </c>
      <c r="L41" s="3">
        <v>6.2</v>
      </c>
      <c r="M41" s="330">
        <v>2.0625</v>
      </c>
      <c r="N41" s="330">
        <f t="shared" si="4"/>
        <v>0.30000000000000004</v>
      </c>
      <c r="O41" s="330">
        <v>1.7625</v>
      </c>
      <c r="P41" s="330">
        <f t="shared" si="5"/>
        <v>0.42499999999999982</v>
      </c>
      <c r="Q41" s="335">
        <v>2.4874999999999998</v>
      </c>
    </row>
    <row r="42" spans="1:17" x14ac:dyDescent="0.25">
      <c r="A42" s="377"/>
      <c r="B42" s="90" t="s">
        <v>589</v>
      </c>
      <c r="C42" s="3">
        <v>4.3</v>
      </c>
      <c r="D42" s="3">
        <v>1.6</v>
      </c>
      <c r="E42" s="3">
        <f t="shared" si="0"/>
        <v>2.6999999999999997</v>
      </c>
      <c r="F42" s="3">
        <v>7.1999999999999993</v>
      </c>
      <c r="G42" s="3">
        <f t="shared" si="1"/>
        <v>2.8999999999999995</v>
      </c>
      <c r="H42" s="3">
        <v>3.2</v>
      </c>
      <c r="I42" s="3">
        <f t="shared" si="2"/>
        <v>2.4000000000000004</v>
      </c>
      <c r="J42" s="3">
        <v>0.8</v>
      </c>
      <c r="K42" s="3">
        <f t="shared" si="3"/>
        <v>2.8</v>
      </c>
      <c r="L42" s="3">
        <v>6</v>
      </c>
      <c r="M42" s="330">
        <v>1.8125</v>
      </c>
      <c r="N42" s="330">
        <f t="shared" si="4"/>
        <v>0.25</v>
      </c>
      <c r="O42" s="330">
        <v>1.5625</v>
      </c>
      <c r="P42" s="330">
        <f t="shared" si="5"/>
        <v>0.39999999999999991</v>
      </c>
      <c r="Q42" s="335">
        <v>2.2124999999999999</v>
      </c>
    </row>
    <row r="43" spans="1:17" x14ac:dyDescent="0.25">
      <c r="A43" s="374" t="s">
        <v>69</v>
      </c>
      <c r="B43" s="90" t="s">
        <v>263</v>
      </c>
      <c r="C43" s="3">
        <v>6.8999999999999995</v>
      </c>
      <c r="D43" s="3">
        <v>3.7</v>
      </c>
      <c r="E43" s="3">
        <f t="shared" si="0"/>
        <v>3.1999999999999993</v>
      </c>
      <c r="F43" s="3">
        <v>8.1999999999999993</v>
      </c>
      <c r="G43" s="3">
        <f t="shared" si="1"/>
        <v>1.2999999999999998</v>
      </c>
      <c r="H43" s="3">
        <v>3.3000000000000003</v>
      </c>
      <c r="I43" s="3">
        <f t="shared" si="2"/>
        <v>2.3000000000000003</v>
      </c>
      <c r="J43" s="3">
        <v>1</v>
      </c>
      <c r="K43" s="3">
        <f t="shared" si="3"/>
        <v>1.6999999999999997</v>
      </c>
      <c r="L43" s="3">
        <v>5</v>
      </c>
      <c r="M43" s="330">
        <v>2.0625</v>
      </c>
      <c r="N43" s="330">
        <f t="shared" si="4"/>
        <v>0.55000000000000004</v>
      </c>
      <c r="O43" s="330">
        <v>1.5125</v>
      </c>
      <c r="P43" s="330">
        <f t="shared" si="5"/>
        <v>0.32500000000000018</v>
      </c>
      <c r="Q43" s="335">
        <v>2.3875000000000002</v>
      </c>
    </row>
    <row r="44" spans="1:17" x14ac:dyDescent="0.25">
      <c r="A44" s="375"/>
      <c r="B44" s="90" t="s">
        <v>579</v>
      </c>
      <c r="C44" s="3">
        <v>8.1000000000000014</v>
      </c>
      <c r="D44" s="3">
        <v>4</v>
      </c>
      <c r="E44" s="3">
        <f t="shared" si="0"/>
        <v>4.1000000000000014</v>
      </c>
      <c r="F44" s="3">
        <v>9.6</v>
      </c>
      <c r="G44" s="3">
        <f t="shared" si="1"/>
        <v>1.4999999999999982</v>
      </c>
      <c r="H44" s="3">
        <v>5.8999999999999995</v>
      </c>
      <c r="I44" s="3">
        <f t="shared" si="2"/>
        <v>4.1999999999999993</v>
      </c>
      <c r="J44" s="3">
        <v>1.7000000000000002</v>
      </c>
      <c r="K44" s="3">
        <f t="shared" si="3"/>
        <v>1.9000000000000012</v>
      </c>
      <c r="L44" s="3">
        <v>7.8000000000000007</v>
      </c>
      <c r="M44" s="330">
        <v>3.0625</v>
      </c>
      <c r="N44" s="330">
        <f t="shared" si="4"/>
        <v>1.125</v>
      </c>
      <c r="O44" s="330">
        <v>1.9375</v>
      </c>
      <c r="P44" s="330">
        <f t="shared" si="5"/>
        <v>0.875</v>
      </c>
      <c r="Q44" s="335">
        <v>3.9375</v>
      </c>
    </row>
    <row r="45" spans="1:17" x14ac:dyDescent="0.25">
      <c r="A45" s="375"/>
      <c r="B45" s="90" t="s">
        <v>580</v>
      </c>
      <c r="C45" s="3">
        <v>6.4</v>
      </c>
      <c r="D45" s="3">
        <v>1.7999999999999998</v>
      </c>
      <c r="E45" s="3">
        <f t="shared" si="0"/>
        <v>4.6000000000000005</v>
      </c>
      <c r="F45" s="3">
        <v>8.2999999999999989</v>
      </c>
      <c r="G45" s="3">
        <f t="shared" si="1"/>
        <v>1.8999999999999986</v>
      </c>
      <c r="H45" s="3">
        <v>3.1</v>
      </c>
      <c r="I45" s="3">
        <f t="shared" si="2"/>
        <v>2.2999999999999998</v>
      </c>
      <c r="J45" s="3">
        <v>0.8</v>
      </c>
      <c r="K45" s="3">
        <f t="shared" si="3"/>
        <v>2.4</v>
      </c>
      <c r="L45" s="3">
        <v>5.5</v>
      </c>
      <c r="M45" s="330">
        <v>2.3125</v>
      </c>
      <c r="N45" s="330">
        <f t="shared" si="4"/>
        <v>0.5</v>
      </c>
      <c r="O45" s="330">
        <v>1.8125</v>
      </c>
      <c r="P45" s="330">
        <f t="shared" si="5"/>
        <v>0.5</v>
      </c>
      <c r="Q45" s="335">
        <v>2.8125</v>
      </c>
    </row>
    <row r="46" spans="1:17" x14ac:dyDescent="0.25">
      <c r="A46" s="375"/>
      <c r="B46" s="90" t="s">
        <v>76</v>
      </c>
      <c r="C46" s="3">
        <v>8.6999999999999993</v>
      </c>
      <c r="D46" s="3">
        <v>5.6000000000000005</v>
      </c>
      <c r="E46" s="3">
        <f t="shared" si="0"/>
        <v>3.0999999999999988</v>
      </c>
      <c r="F46" s="3">
        <v>9.6999999999999993</v>
      </c>
      <c r="G46" s="3">
        <f t="shared" si="1"/>
        <v>1</v>
      </c>
      <c r="H46" s="3">
        <v>4.8</v>
      </c>
      <c r="I46" s="3">
        <f t="shared" si="2"/>
        <v>2.9</v>
      </c>
      <c r="J46" s="3">
        <v>1.9</v>
      </c>
      <c r="K46" s="3">
        <f t="shared" si="3"/>
        <v>2.3999999999999995</v>
      </c>
      <c r="L46" s="3">
        <v>7.1999999999999993</v>
      </c>
      <c r="M46" s="330">
        <v>2.75</v>
      </c>
      <c r="N46" s="330">
        <f t="shared" si="4"/>
        <v>0.63750000000000018</v>
      </c>
      <c r="O46" s="330">
        <v>2.1124999999999998</v>
      </c>
      <c r="P46" s="330">
        <f t="shared" si="5"/>
        <v>0.63750000000000018</v>
      </c>
      <c r="Q46" s="335">
        <v>3.3875000000000002</v>
      </c>
    </row>
    <row r="47" spans="1:17" x14ac:dyDescent="0.25">
      <c r="A47" s="375"/>
      <c r="B47" s="90" t="s">
        <v>581</v>
      </c>
      <c r="C47" s="3">
        <v>8.1000000000000014</v>
      </c>
      <c r="D47" s="3">
        <v>4.3</v>
      </c>
      <c r="E47" s="3">
        <f t="shared" si="0"/>
        <v>3.8000000000000016</v>
      </c>
      <c r="F47" s="3">
        <v>9.6</v>
      </c>
      <c r="G47" s="3">
        <f t="shared" si="1"/>
        <v>1.4999999999999982</v>
      </c>
      <c r="H47" s="3">
        <v>3.5</v>
      </c>
      <c r="I47" s="3">
        <f t="shared" si="2"/>
        <v>2.2000000000000002</v>
      </c>
      <c r="J47" s="3">
        <v>1.3</v>
      </c>
      <c r="K47" s="3">
        <f t="shared" si="3"/>
        <v>2.9000000000000004</v>
      </c>
      <c r="L47" s="3">
        <v>6.4</v>
      </c>
      <c r="M47" s="330">
        <v>3</v>
      </c>
      <c r="N47" s="330">
        <f t="shared" si="4"/>
        <v>0.82500000000000018</v>
      </c>
      <c r="O47" s="330">
        <v>2.1749999999999998</v>
      </c>
      <c r="P47" s="330">
        <f t="shared" si="5"/>
        <v>0.82500000000000018</v>
      </c>
      <c r="Q47" s="335">
        <v>3.8250000000000002</v>
      </c>
    </row>
    <row r="48" spans="1:17" x14ac:dyDescent="0.25">
      <c r="A48" s="375"/>
      <c r="B48" s="90" t="s">
        <v>79</v>
      </c>
      <c r="C48" s="3">
        <v>5.3000000000000007</v>
      </c>
      <c r="D48" s="3">
        <v>0.8</v>
      </c>
      <c r="E48" s="3">
        <f t="shared" si="0"/>
        <v>4.5000000000000009</v>
      </c>
      <c r="F48" s="3">
        <v>7.7</v>
      </c>
      <c r="G48" s="3">
        <f t="shared" si="1"/>
        <v>2.3999999999999995</v>
      </c>
      <c r="H48" s="3">
        <v>0.70000000000000007</v>
      </c>
      <c r="I48" s="3">
        <f t="shared" si="2"/>
        <v>0.60000000000000009</v>
      </c>
      <c r="J48" s="3">
        <v>0.1</v>
      </c>
      <c r="K48" s="3">
        <f t="shared" si="3"/>
        <v>1.7999999999999998</v>
      </c>
      <c r="L48" s="3">
        <v>2.5</v>
      </c>
      <c r="M48" s="330">
        <v>1.5625</v>
      </c>
      <c r="N48" s="330">
        <f t="shared" si="4"/>
        <v>0.5</v>
      </c>
      <c r="O48" s="330">
        <v>1.0625</v>
      </c>
      <c r="P48" s="330">
        <f t="shared" si="5"/>
        <v>0.5625</v>
      </c>
      <c r="Q48" s="335">
        <v>2.125</v>
      </c>
    </row>
    <row r="49" spans="1:17" x14ac:dyDescent="0.25">
      <c r="A49" s="375"/>
      <c r="B49" s="90" t="s">
        <v>582</v>
      </c>
      <c r="C49" s="3">
        <v>8.6</v>
      </c>
      <c r="D49" s="3">
        <v>5.5</v>
      </c>
      <c r="E49" s="3">
        <f t="shared" si="0"/>
        <v>3.0999999999999996</v>
      </c>
      <c r="F49" s="3">
        <v>9.6999999999999993</v>
      </c>
      <c r="G49" s="3">
        <f t="shared" si="1"/>
        <v>1.0999999999999996</v>
      </c>
      <c r="H49" s="3">
        <v>3.9000000000000004</v>
      </c>
      <c r="I49" s="3">
        <f t="shared" si="2"/>
        <v>2.5</v>
      </c>
      <c r="J49" s="3">
        <v>1.4000000000000001</v>
      </c>
      <c r="K49" s="3">
        <f t="shared" si="3"/>
        <v>2.1999999999999993</v>
      </c>
      <c r="L49" s="3">
        <v>6.1</v>
      </c>
      <c r="M49" s="330">
        <v>2.0625</v>
      </c>
      <c r="N49" s="330">
        <f t="shared" si="4"/>
        <v>0.36250000000000004</v>
      </c>
      <c r="O49" s="330">
        <v>1.7</v>
      </c>
      <c r="P49" s="330">
        <f t="shared" si="5"/>
        <v>0.36249999999999982</v>
      </c>
      <c r="Q49" s="335">
        <v>2.4249999999999998</v>
      </c>
    </row>
    <row r="50" spans="1:17" x14ac:dyDescent="0.25">
      <c r="A50" s="375"/>
      <c r="B50" s="98" t="s">
        <v>83</v>
      </c>
      <c r="C50" s="3">
        <v>6.7</v>
      </c>
      <c r="D50" s="3">
        <v>2.7</v>
      </c>
      <c r="E50" s="3">
        <f t="shared" si="0"/>
        <v>4</v>
      </c>
      <c r="F50" s="3">
        <v>8.6</v>
      </c>
      <c r="G50" s="3">
        <f t="shared" si="1"/>
        <v>1.8999999999999995</v>
      </c>
      <c r="H50" s="3">
        <v>1.7999999999999998</v>
      </c>
      <c r="I50" s="3">
        <f t="shared" si="2"/>
        <v>1.4999999999999998</v>
      </c>
      <c r="J50" s="3">
        <v>0.3</v>
      </c>
      <c r="K50" s="3">
        <f t="shared" si="3"/>
        <v>1.4000000000000004</v>
      </c>
      <c r="L50" s="3">
        <v>3.2</v>
      </c>
      <c r="M50" s="330">
        <v>1.8125</v>
      </c>
      <c r="N50" s="330">
        <f t="shared" si="4"/>
        <v>0.5</v>
      </c>
      <c r="O50" s="330">
        <v>1.3125</v>
      </c>
      <c r="P50" s="330">
        <f t="shared" si="5"/>
        <v>0.5625</v>
      </c>
      <c r="Q50" s="335">
        <v>2.375</v>
      </c>
    </row>
    <row r="51" spans="1:17" x14ac:dyDescent="0.25">
      <c r="A51" s="375"/>
      <c r="B51" s="90" t="s">
        <v>583</v>
      </c>
      <c r="C51" s="3">
        <v>7.3</v>
      </c>
      <c r="D51" s="3">
        <v>3.1</v>
      </c>
      <c r="E51" s="3">
        <f t="shared" si="0"/>
        <v>4.1999999999999993</v>
      </c>
      <c r="F51" s="3">
        <v>9.2000000000000011</v>
      </c>
      <c r="G51" s="3">
        <f t="shared" si="1"/>
        <v>1.9000000000000012</v>
      </c>
      <c r="H51" s="3">
        <v>2.6</v>
      </c>
      <c r="I51" s="3">
        <f t="shared" si="2"/>
        <v>1.9</v>
      </c>
      <c r="J51" s="3">
        <v>0.70000000000000007</v>
      </c>
      <c r="K51" s="3">
        <f t="shared" si="3"/>
        <v>2.7000000000000006</v>
      </c>
      <c r="L51" s="3">
        <v>5.3000000000000007</v>
      </c>
      <c r="M51" s="330">
        <v>2.8125</v>
      </c>
      <c r="N51" s="330">
        <f t="shared" si="4"/>
        <v>0.75</v>
      </c>
      <c r="O51" s="330">
        <v>2.0625</v>
      </c>
      <c r="P51" s="330">
        <f t="shared" si="5"/>
        <v>0.625</v>
      </c>
      <c r="Q51" s="335">
        <v>3.4375</v>
      </c>
    </row>
    <row r="52" spans="1:17" x14ac:dyDescent="0.25">
      <c r="A52" s="375"/>
      <c r="B52" s="90" t="s">
        <v>584</v>
      </c>
      <c r="C52" s="3">
        <v>8.4</v>
      </c>
      <c r="D52" s="3">
        <v>5.3000000000000007</v>
      </c>
      <c r="E52" s="3">
        <f t="shared" si="0"/>
        <v>3.0999999999999996</v>
      </c>
      <c r="F52" s="3">
        <v>9.9</v>
      </c>
      <c r="G52" s="3">
        <f t="shared" si="1"/>
        <v>1.5</v>
      </c>
      <c r="H52" s="3">
        <v>4.3</v>
      </c>
      <c r="I52" s="3">
        <f t="shared" si="2"/>
        <v>2.8999999999999995</v>
      </c>
      <c r="J52" s="3">
        <v>1.4000000000000001</v>
      </c>
      <c r="K52" s="3">
        <f t="shared" si="3"/>
        <v>2</v>
      </c>
      <c r="L52" s="3">
        <v>6.3</v>
      </c>
      <c r="M52" s="330">
        <v>2.3125</v>
      </c>
      <c r="N52" s="330">
        <f t="shared" si="4"/>
        <v>0.7</v>
      </c>
      <c r="O52" s="330">
        <v>1.6125</v>
      </c>
      <c r="P52" s="330">
        <f t="shared" si="5"/>
        <v>0.70000000000000018</v>
      </c>
      <c r="Q52" s="335">
        <v>3.0125000000000002</v>
      </c>
    </row>
    <row r="53" spans="1:17" x14ac:dyDescent="0.25">
      <c r="A53" s="375"/>
      <c r="B53" s="90" t="s">
        <v>87</v>
      </c>
      <c r="C53" s="3">
        <v>8.5</v>
      </c>
      <c r="D53" s="3">
        <v>4.9000000000000004</v>
      </c>
      <c r="E53" s="3">
        <f t="shared" si="0"/>
        <v>3.5999999999999996</v>
      </c>
      <c r="F53" s="3">
        <v>9.8000000000000007</v>
      </c>
      <c r="G53" s="3">
        <f t="shared" si="1"/>
        <v>1.3000000000000007</v>
      </c>
      <c r="H53" s="3">
        <v>3.8</v>
      </c>
      <c r="I53" s="3">
        <f t="shared" si="2"/>
        <v>2.5999999999999996</v>
      </c>
      <c r="J53" s="3">
        <v>1.2</v>
      </c>
      <c r="K53" s="3">
        <f t="shared" si="3"/>
        <v>1.7000000000000002</v>
      </c>
      <c r="L53" s="3">
        <v>5.5</v>
      </c>
      <c r="M53" s="330">
        <v>3.0625</v>
      </c>
      <c r="N53" s="330">
        <f t="shared" si="4"/>
        <v>0.97500000000000009</v>
      </c>
      <c r="O53" s="330">
        <v>2.0874999999999999</v>
      </c>
      <c r="P53" s="330">
        <f t="shared" si="5"/>
        <v>0.72500000000000009</v>
      </c>
      <c r="Q53" s="335">
        <v>3.7875000000000001</v>
      </c>
    </row>
    <row r="54" spans="1:17" x14ac:dyDescent="0.25">
      <c r="A54" s="375"/>
      <c r="B54" s="90" t="s">
        <v>89</v>
      </c>
      <c r="C54" s="3">
        <v>8.9</v>
      </c>
      <c r="D54" s="3">
        <v>8.6</v>
      </c>
      <c r="E54" s="3">
        <f t="shared" si="0"/>
        <v>0.30000000000000071</v>
      </c>
      <c r="F54" s="3">
        <v>9.3999999999999986</v>
      </c>
      <c r="G54" s="3">
        <f t="shared" si="1"/>
        <v>0.49999999999999822</v>
      </c>
      <c r="H54" s="3">
        <v>8.5</v>
      </c>
      <c r="I54" s="3">
        <f t="shared" si="2"/>
        <v>4.0999999999999996</v>
      </c>
      <c r="J54" s="3">
        <v>4.4000000000000004</v>
      </c>
      <c r="K54" s="3">
        <f t="shared" si="3"/>
        <v>1.1999999999999993</v>
      </c>
      <c r="L54" s="3">
        <v>9.6999999999999993</v>
      </c>
      <c r="M54" s="330">
        <v>3.25</v>
      </c>
      <c r="N54" s="330">
        <f t="shared" si="4"/>
        <v>0.72500000000000009</v>
      </c>
      <c r="O54" s="330">
        <v>2.5249999999999999</v>
      </c>
      <c r="P54" s="330">
        <f t="shared" si="5"/>
        <v>0.47500000000000009</v>
      </c>
      <c r="Q54" s="335">
        <v>3.7250000000000001</v>
      </c>
    </row>
    <row r="55" spans="1:17" x14ac:dyDescent="0.25">
      <c r="A55" s="375"/>
      <c r="B55" s="90" t="s">
        <v>92</v>
      </c>
      <c r="C55" s="3">
        <v>5.6999999999999993</v>
      </c>
      <c r="D55" s="3">
        <v>4</v>
      </c>
      <c r="E55" s="3">
        <f t="shared" si="0"/>
        <v>1.6999999999999993</v>
      </c>
      <c r="F55" s="3">
        <v>7</v>
      </c>
      <c r="G55" s="3">
        <f t="shared" si="1"/>
        <v>1.3000000000000007</v>
      </c>
      <c r="H55" s="3">
        <v>5.6000000000000005</v>
      </c>
      <c r="I55" s="3">
        <f t="shared" si="2"/>
        <v>3.4000000000000004</v>
      </c>
      <c r="J55" s="3">
        <v>2.2000000000000002</v>
      </c>
      <c r="K55" s="3">
        <f t="shared" si="3"/>
        <v>0.69999999999999929</v>
      </c>
      <c r="L55" s="3">
        <v>6.3</v>
      </c>
      <c r="M55" s="330">
        <v>2.5</v>
      </c>
      <c r="N55" s="330">
        <f t="shared" si="4"/>
        <v>0.67500000000000004</v>
      </c>
      <c r="O55" s="330">
        <v>1.825</v>
      </c>
      <c r="P55" s="330">
        <f t="shared" si="5"/>
        <v>0.42499999999999982</v>
      </c>
      <c r="Q55" s="335">
        <v>2.9249999999999998</v>
      </c>
    </row>
    <row r="56" spans="1:17" x14ac:dyDescent="0.25">
      <c r="A56" s="375"/>
      <c r="B56" s="90" t="s">
        <v>94</v>
      </c>
      <c r="C56" s="3">
        <v>4.5</v>
      </c>
      <c r="D56" s="3">
        <v>5.8999999999999995</v>
      </c>
      <c r="E56" s="3">
        <v>0</v>
      </c>
      <c r="F56" s="3">
        <v>7.9</v>
      </c>
      <c r="G56" s="3">
        <f t="shared" si="1"/>
        <v>3.4000000000000004</v>
      </c>
      <c r="H56" s="3">
        <v>6.7</v>
      </c>
      <c r="I56" s="3">
        <f t="shared" si="2"/>
        <v>3.2</v>
      </c>
      <c r="J56" s="3">
        <v>3.5</v>
      </c>
      <c r="K56" s="3">
        <f t="shared" si="3"/>
        <v>0.70000000000000018</v>
      </c>
      <c r="L56" s="3">
        <v>7.4</v>
      </c>
      <c r="M56" s="330">
        <v>2.25</v>
      </c>
      <c r="N56" s="330">
        <f t="shared" si="4"/>
        <v>0.375</v>
      </c>
      <c r="O56" s="330">
        <v>1.875</v>
      </c>
      <c r="P56" s="330">
        <f t="shared" si="5"/>
        <v>0.4375</v>
      </c>
      <c r="Q56" s="335">
        <v>2.6875</v>
      </c>
    </row>
    <row r="57" spans="1:17" x14ac:dyDescent="0.25">
      <c r="A57" s="375"/>
      <c r="B57" s="90" t="s">
        <v>96</v>
      </c>
      <c r="C57" s="3">
        <v>7.9</v>
      </c>
      <c r="D57" s="3">
        <v>6.2</v>
      </c>
      <c r="E57" s="3">
        <f t="shared" si="0"/>
        <v>1.7000000000000002</v>
      </c>
      <c r="F57" s="3">
        <v>8.6999999999999993</v>
      </c>
      <c r="G57" s="3">
        <f t="shared" si="1"/>
        <v>0.79999999999999893</v>
      </c>
      <c r="H57" s="3">
        <v>8.8000000000000007</v>
      </c>
      <c r="I57" s="3">
        <f t="shared" si="2"/>
        <v>4.3000000000000007</v>
      </c>
      <c r="J57" s="3">
        <v>4.5</v>
      </c>
      <c r="K57" s="3">
        <f t="shared" si="3"/>
        <v>0.79999999999999893</v>
      </c>
      <c r="L57" s="3">
        <v>9.6</v>
      </c>
      <c r="M57" s="330">
        <v>4</v>
      </c>
      <c r="N57" s="330">
        <f t="shared" si="4"/>
        <v>1</v>
      </c>
      <c r="O57" s="330">
        <v>3</v>
      </c>
      <c r="P57" s="330">
        <f t="shared" si="5"/>
        <v>0.625</v>
      </c>
      <c r="Q57" s="335">
        <v>4.625</v>
      </c>
    </row>
    <row r="58" spans="1:17" x14ac:dyDescent="0.25">
      <c r="A58" s="375"/>
      <c r="B58" s="90" t="s">
        <v>99</v>
      </c>
      <c r="C58" s="3">
        <v>8.4</v>
      </c>
      <c r="D58" s="3">
        <v>7.7</v>
      </c>
      <c r="E58" s="3">
        <f t="shared" si="0"/>
        <v>0.70000000000000018</v>
      </c>
      <c r="F58" s="3">
        <v>9.1</v>
      </c>
      <c r="G58" s="3">
        <f t="shared" si="1"/>
        <v>0.69999999999999929</v>
      </c>
      <c r="H58" s="3">
        <v>8.1999999999999993</v>
      </c>
      <c r="I58" s="3">
        <f t="shared" si="2"/>
        <v>4.5999999999999996</v>
      </c>
      <c r="J58" s="3">
        <v>3.5999999999999996</v>
      </c>
      <c r="K58" s="3">
        <f t="shared" si="3"/>
        <v>1.1000000000000014</v>
      </c>
      <c r="L58" s="3">
        <v>9.3000000000000007</v>
      </c>
      <c r="M58" s="330">
        <v>2.75</v>
      </c>
      <c r="N58" s="330">
        <f t="shared" si="4"/>
        <v>0.60000000000000009</v>
      </c>
      <c r="O58" s="330">
        <v>2.15</v>
      </c>
      <c r="P58" s="330">
        <f t="shared" si="5"/>
        <v>0.41250000000000009</v>
      </c>
      <c r="Q58" s="335">
        <v>3.1625000000000001</v>
      </c>
    </row>
    <row r="59" spans="1:17" x14ac:dyDescent="0.25">
      <c r="A59" s="375"/>
      <c r="B59" s="90" t="s">
        <v>148</v>
      </c>
      <c r="C59" s="3">
        <v>8.8000000000000007</v>
      </c>
      <c r="D59" s="3">
        <v>8</v>
      </c>
      <c r="E59" s="3">
        <f t="shared" si="0"/>
        <v>0.80000000000000071</v>
      </c>
      <c r="F59" s="3">
        <v>9.1</v>
      </c>
      <c r="G59" s="3">
        <f t="shared" si="1"/>
        <v>0.29999999999999893</v>
      </c>
      <c r="H59" s="3">
        <v>8.4</v>
      </c>
      <c r="I59" s="3">
        <f t="shared" si="2"/>
        <v>4.7</v>
      </c>
      <c r="J59" s="3">
        <v>3.7</v>
      </c>
      <c r="K59" s="3">
        <f t="shared" si="3"/>
        <v>0.99999999999999822</v>
      </c>
      <c r="L59" s="3">
        <v>9.3999999999999986</v>
      </c>
      <c r="M59" s="330">
        <v>2.8125</v>
      </c>
      <c r="N59" s="330">
        <f t="shared" si="4"/>
        <v>0.64999999999999991</v>
      </c>
      <c r="O59" s="330">
        <v>2.1625000000000001</v>
      </c>
      <c r="P59" s="330">
        <f t="shared" si="5"/>
        <v>0.40000000000000036</v>
      </c>
      <c r="Q59" s="335">
        <v>3.2125000000000004</v>
      </c>
    </row>
    <row r="60" spans="1:17" x14ac:dyDescent="0.25">
      <c r="A60" s="375"/>
      <c r="B60" s="90" t="s">
        <v>102</v>
      </c>
      <c r="C60" s="3">
        <v>8.1999999999999993</v>
      </c>
      <c r="D60" s="3">
        <v>7.3</v>
      </c>
      <c r="E60" s="3">
        <f t="shared" si="0"/>
        <v>0.89999999999999947</v>
      </c>
      <c r="F60" s="3">
        <v>9</v>
      </c>
      <c r="G60" s="3">
        <f t="shared" si="1"/>
        <v>0.80000000000000071</v>
      </c>
      <c r="H60" s="3">
        <v>8.8000000000000007</v>
      </c>
      <c r="I60" s="3">
        <f t="shared" si="2"/>
        <v>4.0000000000000009</v>
      </c>
      <c r="J60" s="3">
        <v>4.8</v>
      </c>
      <c r="K60" s="3">
        <f t="shared" si="3"/>
        <v>1</v>
      </c>
      <c r="L60" s="3">
        <v>9.8000000000000007</v>
      </c>
      <c r="M60" s="330">
        <v>4</v>
      </c>
      <c r="N60" s="330">
        <f t="shared" si="4"/>
        <v>0.75</v>
      </c>
      <c r="O60" s="330">
        <v>3.25</v>
      </c>
      <c r="P60" s="330">
        <f t="shared" si="5"/>
        <v>0.375</v>
      </c>
      <c r="Q60" s="335">
        <v>4.375</v>
      </c>
    </row>
    <row r="61" spans="1:17" x14ac:dyDescent="0.25">
      <c r="A61" s="375"/>
      <c r="B61" s="98" t="s">
        <v>325</v>
      </c>
      <c r="C61" s="3">
        <v>6.2</v>
      </c>
      <c r="D61" s="3">
        <v>5.8</v>
      </c>
      <c r="E61" s="3">
        <f t="shared" si="0"/>
        <v>0.40000000000000036</v>
      </c>
      <c r="F61" s="3">
        <v>7.4</v>
      </c>
      <c r="G61" s="3">
        <f t="shared" si="1"/>
        <v>1.2000000000000002</v>
      </c>
      <c r="H61" s="3">
        <v>4.0999999999999996</v>
      </c>
      <c r="I61" s="3">
        <f t="shared" si="2"/>
        <v>3.6999999999999997</v>
      </c>
      <c r="J61" s="3">
        <v>0.4</v>
      </c>
      <c r="K61" s="3">
        <f t="shared" si="3"/>
        <v>1.7000000000000002</v>
      </c>
      <c r="L61" s="3">
        <v>5.8</v>
      </c>
      <c r="M61" s="330">
        <v>2.5625</v>
      </c>
      <c r="N61" s="330">
        <f t="shared" si="4"/>
        <v>0.75</v>
      </c>
      <c r="O61" s="330">
        <v>1.8125</v>
      </c>
      <c r="P61" s="330">
        <f t="shared" si="5"/>
        <v>0.5625</v>
      </c>
      <c r="Q61" s="335">
        <v>3.125</v>
      </c>
    </row>
    <row r="62" spans="1:17" x14ac:dyDescent="0.25">
      <c r="A62" s="376"/>
      <c r="B62" s="98" t="s">
        <v>294</v>
      </c>
      <c r="C62" s="3">
        <v>8.1999999999999993</v>
      </c>
      <c r="D62" s="3">
        <v>6.8999999999999995</v>
      </c>
      <c r="E62" s="3">
        <f t="shared" si="0"/>
        <v>1.2999999999999998</v>
      </c>
      <c r="F62" s="3">
        <v>9.2000000000000011</v>
      </c>
      <c r="G62" s="3">
        <f t="shared" si="1"/>
        <v>1.0000000000000018</v>
      </c>
      <c r="H62" s="3">
        <v>9.2000000000000011</v>
      </c>
      <c r="I62" s="3">
        <f t="shared" si="2"/>
        <v>3.6000000000000005</v>
      </c>
      <c r="J62" s="3">
        <v>5.6000000000000005</v>
      </c>
      <c r="K62" s="3">
        <f t="shared" si="3"/>
        <v>0.69999999999999929</v>
      </c>
      <c r="L62" s="3">
        <v>9.9</v>
      </c>
      <c r="M62" s="330">
        <v>3.5</v>
      </c>
      <c r="N62" s="330">
        <f t="shared" si="4"/>
        <v>0.64999999999999991</v>
      </c>
      <c r="O62" s="330">
        <v>2.85</v>
      </c>
      <c r="P62" s="330">
        <f t="shared" si="5"/>
        <v>0.40000000000000036</v>
      </c>
      <c r="Q62" s="335">
        <v>3.9000000000000004</v>
      </c>
    </row>
    <row r="63" spans="1:17" x14ac:dyDescent="0.25">
      <c r="A63" s="371" t="s">
        <v>105</v>
      </c>
      <c r="B63" s="90" t="s">
        <v>585</v>
      </c>
      <c r="C63" s="3">
        <v>6.5</v>
      </c>
      <c r="D63" s="3">
        <v>4.6999999999999993</v>
      </c>
      <c r="E63" s="3">
        <f t="shared" si="0"/>
        <v>1.8000000000000007</v>
      </c>
      <c r="F63" s="3">
        <v>7.1</v>
      </c>
      <c r="G63" s="3">
        <f t="shared" si="1"/>
        <v>0.59999999999999964</v>
      </c>
      <c r="H63" s="3">
        <v>0</v>
      </c>
      <c r="I63" s="3">
        <f t="shared" si="2"/>
        <v>0</v>
      </c>
      <c r="J63" s="3">
        <v>0</v>
      </c>
      <c r="K63" s="3">
        <f t="shared" si="3"/>
        <v>0.3</v>
      </c>
      <c r="L63" s="3">
        <v>0.3</v>
      </c>
      <c r="M63" s="330">
        <v>1.8125</v>
      </c>
      <c r="N63" s="330">
        <f t="shared" si="4"/>
        <v>0.5</v>
      </c>
      <c r="O63" s="330">
        <v>1.3125</v>
      </c>
      <c r="P63" s="330">
        <f t="shared" si="5"/>
        <v>0.5</v>
      </c>
      <c r="Q63" s="335">
        <v>2.3125</v>
      </c>
    </row>
    <row r="64" spans="1:17" x14ac:dyDescent="0.25">
      <c r="A64" s="372"/>
      <c r="B64" s="90" t="s">
        <v>108</v>
      </c>
      <c r="C64" s="3">
        <v>9</v>
      </c>
      <c r="D64" s="3">
        <v>7.6</v>
      </c>
      <c r="E64" s="3">
        <f t="shared" si="0"/>
        <v>1.4000000000000004</v>
      </c>
      <c r="F64" s="3">
        <v>9.5</v>
      </c>
      <c r="G64" s="3">
        <f t="shared" si="1"/>
        <v>0.5</v>
      </c>
      <c r="H64" s="3">
        <v>0.89999999999999991</v>
      </c>
      <c r="I64" s="3">
        <f t="shared" si="2"/>
        <v>0.39999999999999991</v>
      </c>
      <c r="J64" s="3">
        <v>0.5</v>
      </c>
      <c r="K64" s="3">
        <f t="shared" si="3"/>
        <v>1.1000000000000001</v>
      </c>
      <c r="L64" s="3">
        <v>2</v>
      </c>
      <c r="M64" s="330">
        <v>1.8125</v>
      </c>
      <c r="N64" s="330">
        <f t="shared" si="4"/>
        <v>0.5</v>
      </c>
      <c r="O64" s="330">
        <v>1.3125</v>
      </c>
      <c r="P64" s="330">
        <f t="shared" si="5"/>
        <v>0.5</v>
      </c>
      <c r="Q64" s="335">
        <v>2.3125</v>
      </c>
    </row>
    <row r="65" spans="1:17" x14ac:dyDescent="0.25">
      <c r="A65" s="372"/>
      <c r="B65" s="90" t="s">
        <v>111</v>
      </c>
      <c r="C65" s="3">
        <v>8.6999999999999993</v>
      </c>
      <c r="D65" s="3">
        <v>6.6000000000000005</v>
      </c>
      <c r="E65" s="3">
        <f t="shared" si="0"/>
        <v>2.0999999999999988</v>
      </c>
      <c r="F65" s="3">
        <v>9.5</v>
      </c>
      <c r="G65" s="3">
        <f t="shared" si="1"/>
        <v>0.80000000000000071</v>
      </c>
      <c r="H65" s="3">
        <v>1.2</v>
      </c>
      <c r="I65" s="3">
        <f t="shared" si="2"/>
        <v>1</v>
      </c>
      <c r="J65" s="3">
        <v>0.2</v>
      </c>
      <c r="K65" s="3">
        <f t="shared" si="3"/>
        <v>1.8</v>
      </c>
      <c r="L65" s="3">
        <v>3</v>
      </c>
      <c r="M65" s="330">
        <v>2.0625</v>
      </c>
      <c r="N65" s="330">
        <f t="shared" si="4"/>
        <v>0.75</v>
      </c>
      <c r="O65" s="330">
        <v>1.3125</v>
      </c>
      <c r="P65" s="330">
        <f t="shared" si="5"/>
        <v>0.75</v>
      </c>
      <c r="Q65" s="335">
        <v>2.8125</v>
      </c>
    </row>
    <row r="66" spans="1:17" x14ac:dyDescent="0.25">
      <c r="A66" s="373"/>
      <c r="B66" s="90" t="s">
        <v>114</v>
      </c>
      <c r="C66" s="3">
        <v>5.8999999999999995</v>
      </c>
      <c r="D66" s="3">
        <v>4.6999999999999993</v>
      </c>
      <c r="E66" s="3">
        <f t="shared" si="0"/>
        <v>1.2000000000000002</v>
      </c>
      <c r="F66" s="3">
        <v>6.3</v>
      </c>
      <c r="G66" s="3">
        <f t="shared" si="1"/>
        <v>0.40000000000000036</v>
      </c>
      <c r="H66" s="3">
        <v>0.70000000000000007</v>
      </c>
      <c r="I66" s="3">
        <f t="shared" si="2"/>
        <v>0.60000000000000009</v>
      </c>
      <c r="J66" s="3">
        <v>0.1</v>
      </c>
      <c r="K66" s="3">
        <f t="shared" si="3"/>
        <v>1.4</v>
      </c>
      <c r="L66" s="3">
        <v>2.1</v>
      </c>
      <c r="M66" s="330">
        <v>3.3125</v>
      </c>
      <c r="N66" s="330">
        <f t="shared" si="4"/>
        <v>0.5</v>
      </c>
      <c r="O66" s="330">
        <v>2.8125</v>
      </c>
      <c r="P66" s="330">
        <f t="shared" si="5"/>
        <v>0.25</v>
      </c>
      <c r="Q66" s="335">
        <v>3.5625</v>
      </c>
    </row>
    <row r="67" spans="1:17" x14ac:dyDescent="0.25">
      <c r="A67" s="374" t="s">
        <v>117</v>
      </c>
      <c r="B67" s="90" t="s">
        <v>118</v>
      </c>
      <c r="C67" s="3">
        <v>2.9</v>
      </c>
      <c r="D67" s="3">
        <v>2.1</v>
      </c>
      <c r="E67" s="3">
        <f t="shared" ref="E67:E76" si="6">C67-D67</f>
        <v>0.79999999999999982</v>
      </c>
      <c r="F67" s="3">
        <v>5.0999999999999996</v>
      </c>
      <c r="G67" s="3">
        <f t="shared" ref="G67:G76" si="7">F67-C67</f>
        <v>2.1999999999999997</v>
      </c>
      <c r="H67" s="3">
        <v>8.6999999999999993</v>
      </c>
      <c r="I67" s="3">
        <f t="shared" ref="I67:I76" si="8">H67-J67</f>
        <v>1.7999999999999998</v>
      </c>
      <c r="J67" s="3">
        <v>6.8999999999999995</v>
      </c>
      <c r="K67" s="3">
        <f t="shared" ref="K67:K76" si="9">L67-H67</f>
        <v>0.90000000000000036</v>
      </c>
      <c r="L67" s="3">
        <v>9.6</v>
      </c>
      <c r="M67" s="330">
        <v>2.5</v>
      </c>
      <c r="N67" s="330">
        <f t="shared" ref="N67:N76" si="10">M67-O67</f>
        <v>0.55000000000000004</v>
      </c>
      <c r="O67" s="330">
        <v>1.95</v>
      </c>
      <c r="P67" s="330">
        <f t="shared" ref="P67:P76" si="11">Q67-M67</f>
        <v>0.54999999999999982</v>
      </c>
      <c r="Q67" s="335">
        <v>3.05</v>
      </c>
    </row>
    <row r="68" spans="1:17" x14ac:dyDescent="0.25">
      <c r="A68" s="375"/>
      <c r="B68" s="90" t="s">
        <v>123</v>
      </c>
      <c r="C68" s="3">
        <v>3.7</v>
      </c>
      <c r="D68" s="3">
        <v>3.9000000000000004</v>
      </c>
      <c r="E68" s="3">
        <v>0</v>
      </c>
      <c r="F68" s="3">
        <v>6</v>
      </c>
      <c r="G68" s="3">
        <f t="shared" si="7"/>
        <v>2.2999999999999998</v>
      </c>
      <c r="H68" s="3">
        <v>9.2000000000000011</v>
      </c>
      <c r="I68" s="3">
        <f t="shared" si="8"/>
        <v>1.4000000000000004</v>
      </c>
      <c r="J68" s="3">
        <v>7.8000000000000007</v>
      </c>
      <c r="K68" s="3">
        <f t="shared" si="9"/>
        <v>0.79999999999999893</v>
      </c>
      <c r="L68" s="3">
        <v>10</v>
      </c>
      <c r="M68" s="330">
        <v>3.5</v>
      </c>
      <c r="N68" s="330">
        <f t="shared" si="10"/>
        <v>0.5625</v>
      </c>
      <c r="O68" s="330">
        <v>2.9375</v>
      </c>
      <c r="P68" s="330">
        <f t="shared" si="11"/>
        <v>0.5625</v>
      </c>
      <c r="Q68" s="335">
        <v>4.0625</v>
      </c>
    </row>
    <row r="69" spans="1:17" x14ac:dyDescent="0.25">
      <c r="A69" s="375"/>
      <c r="B69" s="90" t="s">
        <v>587</v>
      </c>
      <c r="C69" s="3">
        <v>3.3000000000000003</v>
      </c>
      <c r="D69" s="3">
        <v>2.9</v>
      </c>
      <c r="E69" s="3">
        <f t="shared" si="6"/>
        <v>0.40000000000000036</v>
      </c>
      <c r="F69" s="3">
        <v>5.0999999999999996</v>
      </c>
      <c r="G69" s="3">
        <f t="shared" si="7"/>
        <v>1.7999999999999994</v>
      </c>
      <c r="H69" s="3">
        <v>9.5</v>
      </c>
      <c r="I69" s="3">
        <f t="shared" si="8"/>
        <v>1.5999999999999996</v>
      </c>
      <c r="J69" s="3">
        <v>7.9</v>
      </c>
      <c r="K69" s="3">
        <f t="shared" si="9"/>
        <v>0.40000000000000036</v>
      </c>
      <c r="L69" s="3">
        <v>9.9</v>
      </c>
      <c r="M69" s="330">
        <v>3.75</v>
      </c>
      <c r="N69" s="330">
        <f t="shared" si="10"/>
        <v>0.67499999999999982</v>
      </c>
      <c r="O69" s="330">
        <v>3.0750000000000002</v>
      </c>
      <c r="P69" s="330">
        <f t="shared" si="11"/>
        <v>0.29999999999999982</v>
      </c>
      <c r="Q69" s="335">
        <v>4.05</v>
      </c>
    </row>
    <row r="70" spans="1:17" x14ac:dyDescent="0.25">
      <c r="A70" s="375"/>
      <c r="B70" s="98" t="s">
        <v>703</v>
      </c>
      <c r="C70" s="3">
        <v>0.5</v>
      </c>
      <c r="D70" s="3">
        <v>0.3</v>
      </c>
      <c r="E70" s="3">
        <f t="shared" si="6"/>
        <v>0.2</v>
      </c>
      <c r="F70" s="3">
        <v>0.89999999999999991</v>
      </c>
      <c r="G70" s="3">
        <f t="shared" si="7"/>
        <v>0.39999999999999991</v>
      </c>
      <c r="H70" s="3">
        <v>5.8</v>
      </c>
      <c r="I70" s="3">
        <f t="shared" si="8"/>
        <v>3.5999999999999996</v>
      </c>
      <c r="J70" s="3">
        <v>2.2000000000000002</v>
      </c>
      <c r="K70" s="3">
        <f t="shared" si="9"/>
        <v>1.2000000000000002</v>
      </c>
      <c r="L70" s="3">
        <v>7</v>
      </c>
      <c r="M70" s="330">
        <v>3.5</v>
      </c>
      <c r="N70" s="330">
        <f t="shared" si="10"/>
        <v>0.75</v>
      </c>
      <c r="O70" s="330">
        <v>2.75</v>
      </c>
      <c r="P70" s="330">
        <f t="shared" si="11"/>
        <v>0.625</v>
      </c>
      <c r="Q70" s="335">
        <v>4.125</v>
      </c>
    </row>
    <row r="71" spans="1:17" x14ac:dyDescent="0.25">
      <c r="A71" s="375"/>
      <c r="B71" s="90" t="s">
        <v>127</v>
      </c>
      <c r="C71" s="3">
        <v>3.2</v>
      </c>
      <c r="D71" s="3">
        <v>3</v>
      </c>
      <c r="E71" s="3">
        <f t="shared" si="6"/>
        <v>0.20000000000000018</v>
      </c>
      <c r="F71" s="3">
        <v>4.5</v>
      </c>
      <c r="G71" s="3">
        <f t="shared" si="7"/>
        <v>1.2999999999999998</v>
      </c>
      <c r="H71" s="3">
        <v>9</v>
      </c>
      <c r="I71" s="3">
        <f t="shared" si="8"/>
        <v>0.89999999999999858</v>
      </c>
      <c r="J71" s="3">
        <v>8.1000000000000014</v>
      </c>
      <c r="K71" s="3">
        <f t="shared" si="9"/>
        <v>0.20000000000000107</v>
      </c>
      <c r="L71" s="3">
        <v>9.2000000000000011</v>
      </c>
      <c r="M71" s="330">
        <v>2.75</v>
      </c>
      <c r="N71" s="330">
        <f t="shared" si="10"/>
        <v>0.36249999999999982</v>
      </c>
      <c r="O71" s="330">
        <v>2.3875000000000002</v>
      </c>
      <c r="P71" s="330">
        <f t="shared" si="11"/>
        <v>7.5000000000000178E-2</v>
      </c>
      <c r="Q71" s="335">
        <v>2.8250000000000002</v>
      </c>
    </row>
    <row r="72" spans="1:17" x14ac:dyDescent="0.25">
      <c r="A72" s="375"/>
      <c r="B72" s="90" t="s">
        <v>131</v>
      </c>
      <c r="C72" s="3">
        <v>0.6</v>
      </c>
      <c r="D72" s="3">
        <v>0.70000000000000007</v>
      </c>
      <c r="E72" s="3">
        <v>0</v>
      </c>
      <c r="F72" s="3">
        <v>0.89999999999999991</v>
      </c>
      <c r="G72" s="3">
        <f>F72-C72</f>
        <v>0.29999999999999993</v>
      </c>
      <c r="H72" s="3">
        <v>6.6000000000000005</v>
      </c>
      <c r="I72" s="3">
        <f>H72-J72</f>
        <v>2.2000000000000002</v>
      </c>
      <c r="J72" s="3">
        <v>4.4000000000000004</v>
      </c>
      <c r="K72" s="3">
        <f>L72-H72</f>
        <v>0.99999999999999911</v>
      </c>
      <c r="L72" s="3">
        <v>7.6</v>
      </c>
      <c r="M72" s="330">
        <v>3</v>
      </c>
      <c r="N72" s="330">
        <f>M72-O72</f>
        <v>0.52499999999999991</v>
      </c>
      <c r="O72" s="330">
        <v>2.4750000000000001</v>
      </c>
      <c r="P72" s="330">
        <f>Q72-M72</f>
        <v>0.52500000000000036</v>
      </c>
      <c r="Q72" s="335">
        <v>3.5250000000000004</v>
      </c>
    </row>
    <row r="73" spans="1:17" x14ac:dyDescent="0.25">
      <c r="A73" s="375"/>
      <c r="B73" s="90" t="s">
        <v>588</v>
      </c>
      <c r="C73" s="3">
        <v>2.7</v>
      </c>
      <c r="D73" s="3">
        <v>3.2</v>
      </c>
      <c r="E73" s="3">
        <v>0</v>
      </c>
      <c r="F73" s="3">
        <v>4.0999999999999996</v>
      </c>
      <c r="G73" s="3">
        <f t="shared" si="7"/>
        <v>1.3999999999999995</v>
      </c>
      <c r="H73" s="3">
        <v>9.2000000000000011</v>
      </c>
      <c r="I73" s="3">
        <f t="shared" si="8"/>
        <v>1.7000000000000011</v>
      </c>
      <c r="J73" s="3">
        <v>7.5</v>
      </c>
      <c r="K73" s="3">
        <f t="shared" si="9"/>
        <v>0.59999999999999964</v>
      </c>
      <c r="L73" s="3">
        <v>9.8000000000000007</v>
      </c>
      <c r="M73" s="330">
        <v>3.25</v>
      </c>
      <c r="N73" s="330">
        <f t="shared" si="10"/>
        <v>0.75</v>
      </c>
      <c r="O73" s="330">
        <v>2.5</v>
      </c>
      <c r="P73" s="330">
        <f t="shared" si="11"/>
        <v>0.1875</v>
      </c>
      <c r="Q73" s="335">
        <v>3.4375</v>
      </c>
    </row>
    <row r="74" spans="1:17" x14ac:dyDescent="0.25">
      <c r="A74" s="375"/>
      <c r="B74" s="90" t="s">
        <v>129</v>
      </c>
      <c r="C74" s="3">
        <v>0</v>
      </c>
      <c r="D74" s="3">
        <v>0</v>
      </c>
      <c r="E74" s="3">
        <f t="shared" si="6"/>
        <v>0</v>
      </c>
      <c r="F74" s="3">
        <v>0.1</v>
      </c>
      <c r="G74" s="3">
        <f t="shared" si="7"/>
        <v>0.1</v>
      </c>
      <c r="H74" s="3">
        <v>2.9</v>
      </c>
      <c r="I74" s="3">
        <f t="shared" si="8"/>
        <v>1.7999999999999998</v>
      </c>
      <c r="J74" s="3">
        <v>1.1000000000000001</v>
      </c>
      <c r="K74" s="3">
        <f t="shared" si="9"/>
        <v>1.1000000000000001</v>
      </c>
      <c r="L74" s="3">
        <v>4</v>
      </c>
      <c r="M74" s="330">
        <v>2.5</v>
      </c>
      <c r="N74" s="330">
        <f t="shared" si="10"/>
        <v>0.67500000000000004</v>
      </c>
      <c r="O74" s="330">
        <v>1.825</v>
      </c>
      <c r="P74" s="330">
        <f t="shared" si="11"/>
        <v>0.17499999999999982</v>
      </c>
      <c r="Q74" s="335">
        <v>2.6749999999999998</v>
      </c>
    </row>
    <row r="75" spans="1:17" x14ac:dyDescent="0.25">
      <c r="A75" s="375"/>
      <c r="B75" s="90" t="s">
        <v>133</v>
      </c>
      <c r="C75" s="3">
        <v>2.5</v>
      </c>
      <c r="D75" s="3">
        <v>3.3000000000000003</v>
      </c>
      <c r="E75" s="3">
        <v>0</v>
      </c>
      <c r="F75" s="3">
        <v>4.8</v>
      </c>
      <c r="G75" s="3">
        <f>F75-C75</f>
        <v>2.2999999999999998</v>
      </c>
      <c r="H75" s="3">
        <v>9.1</v>
      </c>
      <c r="I75" s="3">
        <f>H75-J75</f>
        <v>2.5999999999999996</v>
      </c>
      <c r="J75" s="3">
        <v>6.5</v>
      </c>
      <c r="K75" s="3">
        <f>L75-H75</f>
        <v>0.59999999999999964</v>
      </c>
      <c r="L75" s="3">
        <v>9.6999999999999993</v>
      </c>
      <c r="M75" s="330">
        <v>3</v>
      </c>
      <c r="N75" s="330">
        <f>M75-O75</f>
        <v>0.42499999999999982</v>
      </c>
      <c r="O75" s="330">
        <v>2.5750000000000002</v>
      </c>
      <c r="P75" s="330">
        <f>Q75-M75</f>
        <v>0.42499999999999982</v>
      </c>
      <c r="Q75" s="335">
        <v>3.4249999999999998</v>
      </c>
    </row>
    <row r="76" spans="1:17" x14ac:dyDescent="0.25">
      <c r="A76" s="375"/>
      <c r="B76" s="98" t="s">
        <v>288</v>
      </c>
      <c r="C76" s="3">
        <v>0.1</v>
      </c>
      <c r="D76" s="3">
        <v>0.1</v>
      </c>
      <c r="E76" s="3">
        <f t="shared" si="6"/>
        <v>0</v>
      </c>
      <c r="F76" s="3">
        <v>0.3</v>
      </c>
      <c r="G76" s="3">
        <f t="shared" si="7"/>
        <v>0.19999999999999998</v>
      </c>
      <c r="H76" s="3">
        <v>2.7</v>
      </c>
      <c r="I76" s="3">
        <f t="shared" si="8"/>
        <v>1.8000000000000003</v>
      </c>
      <c r="J76" s="3">
        <v>0.89999999999999991</v>
      </c>
      <c r="K76" s="3">
        <f t="shared" si="9"/>
        <v>1.5</v>
      </c>
      <c r="L76" s="3">
        <v>4.2</v>
      </c>
      <c r="M76" s="330">
        <v>2.0625</v>
      </c>
      <c r="N76" s="330">
        <f t="shared" si="10"/>
        <v>0.55000000000000004</v>
      </c>
      <c r="O76" s="330">
        <v>1.5125</v>
      </c>
      <c r="P76" s="330">
        <f t="shared" si="11"/>
        <v>0.42499999999999982</v>
      </c>
      <c r="Q76" s="335">
        <v>2.4874999999999998</v>
      </c>
    </row>
    <row r="77" spans="1:17" x14ac:dyDescent="0.25">
      <c r="A77" s="376"/>
      <c r="B77" s="90" t="s">
        <v>586</v>
      </c>
      <c r="C77" s="3">
        <v>2.9</v>
      </c>
      <c r="D77" s="3">
        <v>2.2000000000000002</v>
      </c>
      <c r="E77" s="3">
        <f>C77-D77</f>
        <v>0.69999999999999973</v>
      </c>
      <c r="F77" s="3">
        <v>5.2</v>
      </c>
      <c r="G77" s="3">
        <f>F77-C77</f>
        <v>2.3000000000000003</v>
      </c>
      <c r="H77" s="3">
        <v>8.6999999999999993</v>
      </c>
      <c r="I77" s="3">
        <f>H77-J77</f>
        <v>1.6999999999999993</v>
      </c>
      <c r="J77" s="3">
        <v>7</v>
      </c>
      <c r="K77" s="3">
        <f>L77-H77</f>
        <v>0.90000000000000036</v>
      </c>
      <c r="L77" s="3">
        <v>9.6</v>
      </c>
      <c r="M77" s="330">
        <v>2.5</v>
      </c>
      <c r="N77" s="330">
        <f>M77-O77</f>
        <v>0.5</v>
      </c>
      <c r="O77" s="330">
        <v>2</v>
      </c>
      <c r="P77" s="330">
        <f>Q77-M77</f>
        <v>0.5625</v>
      </c>
      <c r="Q77" s="335">
        <v>3.0625</v>
      </c>
    </row>
  </sheetData>
  <mergeCells count="9">
    <mergeCell ref="A8:A11"/>
    <mergeCell ref="A12:A16"/>
    <mergeCell ref="A17:A35"/>
    <mergeCell ref="A43:A62"/>
    <mergeCell ref="A67:A77"/>
    <mergeCell ref="A41:A42"/>
    <mergeCell ref="A63:A66"/>
    <mergeCell ref="A36:A37"/>
    <mergeCell ref="A38:A40"/>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7"/>
  <sheetViews>
    <sheetView topLeftCell="D76" workbookViewId="0">
      <selection activeCell="G14" sqref="G14"/>
    </sheetView>
  </sheetViews>
  <sheetFormatPr defaultRowHeight="15.75" x14ac:dyDescent="0.25"/>
  <cols>
    <col min="1" max="1" width="10.75" customWidth="1"/>
    <col min="2" max="2" width="23" customWidth="1"/>
    <col min="4" max="5" width="9" style="88"/>
    <col min="7" max="8" width="9" style="88"/>
    <col min="9" max="9" width="10.75" customWidth="1"/>
    <col min="10" max="11" width="10.75" style="88" customWidth="1"/>
    <col min="13" max="14" width="9" style="88"/>
    <col min="16" max="17" width="9" style="88"/>
  </cols>
  <sheetData>
    <row r="1" spans="1:17" ht="30" x14ac:dyDescent="0.25">
      <c r="A1" s="149" t="s">
        <v>146</v>
      </c>
      <c r="B1" s="327" t="s">
        <v>147</v>
      </c>
      <c r="C1" s="6" t="s">
        <v>238</v>
      </c>
      <c r="D1" s="6" t="s">
        <v>963</v>
      </c>
      <c r="E1" s="6" t="s">
        <v>964</v>
      </c>
      <c r="F1" s="94" t="s">
        <v>163</v>
      </c>
      <c r="G1" s="94" t="s">
        <v>965</v>
      </c>
      <c r="H1" s="94" t="s">
        <v>965</v>
      </c>
      <c r="I1" s="23" t="s">
        <v>239</v>
      </c>
      <c r="J1" s="23" t="s">
        <v>966</v>
      </c>
      <c r="K1" s="23" t="s">
        <v>967</v>
      </c>
      <c r="L1" s="29" t="s">
        <v>949</v>
      </c>
      <c r="M1" s="29" t="s">
        <v>968</v>
      </c>
      <c r="N1" s="29" t="s">
        <v>969</v>
      </c>
      <c r="O1" s="44" t="s">
        <v>250</v>
      </c>
      <c r="P1" s="44" t="s">
        <v>970</v>
      </c>
      <c r="Q1" s="44" t="s">
        <v>971</v>
      </c>
    </row>
    <row r="2" spans="1:17" x14ac:dyDescent="0.25">
      <c r="A2" s="377" t="s">
        <v>58</v>
      </c>
      <c r="B2" s="90" t="s">
        <v>59</v>
      </c>
      <c r="C2" s="265">
        <v>3</v>
      </c>
      <c r="D2" s="265">
        <v>1.5</v>
      </c>
      <c r="E2" s="265">
        <v>4.5</v>
      </c>
      <c r="F2" s="267">
        <v>3</v>
      </c>
      <c r="G2" s="267">
        <v>1.5</v>
      </c>
      <c r="H2" s="267">
        <v>4.5</v>
      </c>
      <c r="I2" s="269">
        <v>3</v>
      </c>
      <c r="J2" s="269">
        <v>2.25</v>
      </c>
      <c r="K2" s="269">
        <v>3.75</v>
      </c>
      <c r="L2" s="234">
        <v>5</v>
      </c>
      <c r="M2" s="234">
        <v>3.75</v>
      </c>
      <c r="N2" s="234">
        <v>5</v>
      </c>
      <c r="O2" s="236">
        <v>4</v>
      </c>
      <c r="P2" s="38">
        <v>2</v>
      </c>
      <c r="Q2" s="38">
        <v>5</v>
      </c>
    </row>
    <row r="3" spans="1:17" x14ac:dyDescent="0.25">
      <c r="A3" s="377"/>
      <c r="B3" s="90" t="s">
        <v>61</v>
      </c>
      <c r="C3" s="48">
        <v>4</v>
      </c>
      <c r="D3" s="48">
        <v>3</v>
      </c>
      <c r="E3" s="48">
        <v>5</v>
      </c>
      <c r="F3" s="93">
        <v>2</v>
      </c>
      <c r="G3" s="93">
        <v>1</v>
      </c>
      <c r="H3" s="93">
        <v>3</v>
      </c>
      <c r="I3" s="26">
        <v>3</v>
      </c>
      <c r="J3" s="26">
        <v>1.5</v>
      </c>
      <c r="K3" s="26">
        <v>4.5</v>
      </c>
      <c r="L3" s="30">
        <v>5</v>
      </c>
      <c r="M3" s="30">
        <v>3.75</v>
      </c>
      <c r="N3" s="30">
        <v>5</v>
      </c>
      <c r="O3" s="38">
        <v>4</v>
      </c>
      <c r="P3" s="38">
        <v>2</v>
      </c>
      <c r="Q3" s="38">
        <v>5</v>
      </c>
    </row>
    <row r="4" spans="1:17" x14ac:dyDescent="0.25">
      <c r="A4" s="377"/>
      <c r="B4" s="90" t="s">
        <v>574</v>
      </c>
      <c r="C4" s="48">
        <v>3</v>
      </c>
      <c r="D4" s="48">
        <v>2.25</v>
      </c>
      <c r="E4" s="48">
        <v>3.75</v>
      </c>
      <c r="F4" s="93">
        <v>3</v>
      </c>
      <c r="G4" s="93">
        <v>2.25</v>
      </c>
      <c r="H4" s="93">
        <v>3.75</v>
      </c>
      <c r="I4" s="26">
        <v>3</v>
      </c>
      <c r="J4" s="26">
        <v>1.5</v>
      </c>
      <c r="K4" s="26">
        <v>4.5</v>
      </c>
      <c r="L4" s="30">
        <v>5</v>
      </c>
      <c r="M4" s="30">
        <v>3.75</v>
      </c>
      <c r="N4" s="30">
        <v>5</v>
      </c>
      <c r="O4" s="38">
        <v>3</v>
      </c>
      <c r="P4" s="38">
        <v>1.5</v>
      </c>
      <c r="Q4" s="38">
        <v>4.5</v>
      </c>
    </row>
    <row r="5" spans="1:17" x14ac:dyDescent="0.25">
      <c r="A5" s="377"/>
      <c r="B5" s="90" t="s">
        <v>64</v>
      </c>
      <c r="C5" s="48">
        <v>1</v>
      </c>
      <c r="D5" s="48">
        <v>1</v>
      </c>
      <c r="E5" s="48">
        <v>1.5</v>
      </c>
      <c r="F5" s="93">
        <v>1</v>
      </c>
      <c r="G5" s="93">
        <v>1</v>
      </c>
      <c r="H5" s="93">
        <v>1.5</v>
      </c>
      <c r="I5" s="26">
        <v>1</v>
      </c>
      <c r="J5" s="26">
        <v>1</v>
      </c>
      <c r="K5" s="26">
        <v>1.25</v>
      </c>
      <c r="L5" s="30">
        <v>5</v>
      </c>
      <c r="M5" s="30">
        <v>3.75</v>
      </c>
      <c r="N5" s="30">
        <v>5</v>
      </c>
      <c r="O5" s="38">
        <v>1</v>
      </c>
      <c r="P5" s="38">
        <v>1</v>
      </c>
      <c r="Q5" s="38">
        <v>1</v>
      </c>
    </row>
    <row r="6" spans="1:17" x14ac:dyDescent="0.25">
      <c r="A6" s="377"/>
      <c r="B6" s="90" t="s">
        <v>65</v>
      </c>
      <c r="C6" s="48">
        <v>1</v>
      </c>
      <c r="D6" s="48">
        <v>1</v>
      </c>
      <c r="E6" s="48">
        <v>1.25</v>
      </c>
      <c r="F6" s="93">
        <v>1</v>
      </c>
      <c r="G6" s="93">
        <v>1</v>
      </c>
      <c r="H6" s="93">
        <v>1.25</v>
      </c>
      <c r="I6" s="26">
        <v>1</v>
      </c>
      <c r="J6" s="26">
        <v>1</v>
      </c>
      <c r="K6" s="26">
        <v>1.5</v>
      </c>
      <c r="L6" s="30">
        <v>4</v>
      </c>
      <c r="M6" s="30">
        <v>2</v>
      </c>
      <c r="N6" s="30">
        <v>5</v>
      </c>
      <c r="O6" s="38">
        <v>1</v>
      </c>
      <c r="P6" s="38">
        <v>1</v>
      </c>
      <c r="Q6" s="38">
        <v>1.25</v>
      </c>
    </row>
    <row r="7" spans="1:17" x14ac:dyDescent="0.25">
      <c r="A7" s="379"/>
      <c r="B7" s="90" t="s">
        <v>578</v>
      </c>
      <c r="C7" s="48">
        <v>1</v>
      </c>
      <c r="D7" s="48">
        <v>1</v>
      </c>
      <c r="E7" s="48">
        <v>1.1000000000000001</v>
      </c>
      <c r="F7" s="93">
        <v>1</v>
      </c>
      <c r="G7" s="93">
        <v>1</v>
      </c>
      <c r="H7" s="93">
        <v>1.1000000000000001</v>
      </c>
      <c r="I7" s="26">
        <v>1</v>
      </c>
      <c r="J7" s="26">
        <v>1</v>
      </c>
      <c r="K7" s="26">
        <v>1.5</v>
      </c>
      <c r="L7" s="30">
        <v>4</v>
      </c>
      <c r="M7" s="30">
        <v>2</v>
      </c>
      <c r="N7" s="30">
        <v>5</v>
      </c>
      <c r="O7" s="38">
        <v>1</v>
      </c>
      <c r="P7" s="38">
        <v>1</v>
      </c>
      <c r="Q7" s="38">
        <v>1.5</v>
      </c>
    </row>
    <row r="8" spans="1:17" x14ac:dyDescent="0.25">
      <c r="A8" s="381" t="s">
        <v>8</v>
      </c>
      <c r="B8" s="90" t="s">
        <v>9</v>
      </c>
      <c r="C8" s="48">
        <v>1</v>
      </c>
      <c r="D8" s="48">
        <v>1</v>
      </c>
      <c r="E8" s="48">
        <v>1.5</v>
      </c>
      <c r="F8" s="93">
        <v>2</v>
      </c>
      <c r="G8" s="93">
        <v>1</v>
      </c>
      <c r="H8" s="93">
        <v>3</v>
      </c>
      <c r="I8" s="26">
        <v>5</v>
      </c>
      <c r="J8" s="26">
        <v>2.5</v>
      </c>
      <c r="K8" s="26">
        <v>5</v>
      </c>
      <c r="L8" s="30">
        <v>5</v>
      </c>
      <c r="M8" s="30">
        <v>4.5</v>
      </c>
      <c r="N8" s="30">
        <v>5</v>
      </c>
      <c r="O8" s="38">
        <v>4</v>
      </c>
      <c r="P8" s="38">
        <v>3.6</v>
      </c>
      <c r="Q8" s="38">
        <v>4.4000000000000004</v>
      </c>
    </row>
    <row r="9" spans="1:17" x14ac:dyDescent="0.25">
      <c r="A9" s="382"/>
      <c r="B9" s="90" t="s">
        <v>14</v>
      </c>
      <c r="C9" s="48">
        <v>1</v>
      </c>
      <c r="D9" s="48">
        <v>1</v>
      </c>
      <c r="E9" s="48">
        <v>1.5</v>
      </c>
      <c r="F9" s="93">
        <v>3</v>
      </c>
      <c r="G9" s="93">
        <v>1.5</v>
      </c>
      <c r="H9" s="93">
        <v>4.5</v>
      </c>
      <c r="I9" s="26">
        <v>5</v>
      </c>
      <c r="J9" s="26">
        <v>2.5</v>
      </c>
      <c r="K9" s="26">
        <v>5</v>
      </c>
      <c r="L9" s="30">
        <v>5</v>
      </c>
      <c r="M9" s="30">
        <v>4.5</v>
      </c>
      <c r="N9" s="30">
        <v>5</v>
      </c>
      <c r="O9" s="38">
        <v>4</v>
      </c>
      <c r="P9" s="38">
        <v>2</v>
      </c>
      <c r="Q9" s="38">
        <v>5</v>
      </c>
    </row>
    <row r="10" spans="1:17" x14ac:dyDescent="0.25">
      <c r="A10" s="382"/>
      <c r="B10" s="98" t="s">
        <v>572</v>
      </c>
      <c r="C10" s="48">
        <v>1</v>
      </c>
      <c r="D10" s="48">
        <v>1</v>
      </c>
      <c r="E10" s="48">
        <v>1.25</v>
      </c>
      <c r="F10" s="93">
        <v>2</v>
      </c>
      <c r="G10" s="93">
        <v>1.5</v>
      </c>
      <c r="H10" s="93">
        <v>2.5</v>
      </c>
      <c r="I10" s="26">
        <v>3</v>
      </c>
      <c r="J10" s="26">
        <v>1.5</v>
      </c>
      <c r="K10" s="26">
        <v>4.5</v>
      </c>
      <c r="L10" s="30">
        <v>5</v>
      </c>
      <c r="M10" s="30">
        <v>4.5</v>
      </c>
      <c r="N10" s="30">
        <v>5</v>
      </c>
      <c r="O10" s="38">
        <v>4</v>
      </c>
      <c r="P10" s="38">
        <v>3.6</v>
      </c>
      <c r="Q10" s="38">
        <v>4.4000000000000004</v>
      </c>
    </row>
    <row r="11" spans="1:17" x14ac:dyDescent="0.25">
      <c r="A11" s="193"/>
      <c r="B11" s="98" t="s">
        <v>331</v>
      </c>
      <c r="C11" s="48">
        <v>1</v>
      </c>
      <c r="D11" s="48">
        <v>1</v>
      </c>
      <c r="E11" s="48">
        <v>1.5</v>
      </c>
      <c r="F11" s="93">
        <v>2</v>
      </c>
      <c r="G11" s="93">
        <v>1</v>
      </c>
      <c r="H11" s="93">
        <v>3</v>
      </c>
      <c r="I11" s="26">
        <v>5</v>
      </c>
      <c r="J11" s="26">
        <v>2.5</v>
      </c>
      <c r="K11" s="26">
        <v>5</v>
      </c>
      <c r="L11" s="30">
        <v>5</v>
      </c>
      <c r="M11" s="30">
        <v>4.5</v>
      </c>
      <c r="N11" s="30">
        <v>5</v>
      </c>
      <c r="O11" s="38">
        <v>4</v>
      </c>
      <c r="P11" s="38">
        <v>2</v>
      </c>
      <c r="Q11" s="38">
        <v>5</v>
      </c>
    </row>
    <row r="12" spans="1:17" x14ac:dyDescent="0.25">
      <c r="A12" s="380" t="s">
        <v>19</v>
      </c>
      <c r="B12" s="98" t="s">
        <v>565</v>
      </c>
      <c r="C12" s="48">
        <v>2</v>
      </c>
      <c r="D12" s="48">
        <v>1</v>
      </c>
      <c r="E12" s="48">
        <v>3</v>
      </c>
      <c r="F12" s="93">
        <v>1</v>
      </c>
      <c r="G12" s="93">
        <v>1</v>
      </c>
      <c r="H12" s="93">
        <v>1.5</v>
      </c>
      <c r="I12" s="26">
        <v>1</v>
      </c>
      <c r="J12" s="26">
        <v>1</v>
      </c>
      <c r="K12" s="26">
        <v>1.5</v>
      </c>
      <c r="L12" s="30">
        <v>5</v>
      </c>
      <c r="M12" s="30">
        <v>2.5</v>
      </c>
      <c r="N12" s="30">
        <v>5</v>
      </c>
      <c r="O12" s="38">
        <v>3</v>
      </c>
      <c r="P12" s="38">
        <v>1.5</v>
      </c>
      <c r="Q12" s="38">
        <v>4.5</v>
      </c>
    </row>
    <row r="13" spans="1:17" x14ac:dyDescent="0.25">
      <c r="A13" s="380"/>
      <c r="B13" s="90" t="s">
        <v>21</v>
      </c>
      <c r="C13" s="48">
        <v>3</v>
      </c>
      <c r="D13" s="48">
        <v>1.5</v>
      </c>
      <c r="E13" s="48">
        <v>4.5</v>
      </c>
      <c r="F13" s="93">
        <v>1</v>
      </c>
      <c r="G13" s="93">
        <v>1</v>
      </c>
      <c r="H13" s="93">
        <v>1.5</v>
      </c>
      <c r="I13" s="26">
        <v>1</v>
      </c>
      <c r="J13" s="26">
        <v>1</v>
      </c>
      <c r="K13" s="26">
        <v>1.5</v>
      </c>
      <c r="L13" s="30">
        <v>5</v>
      </c>
      <c r="M13" s="30">
        <v>2.5</v>
      </c>
      <c r="N13" s="30">
        <v>5</v>
      </c>
      <c r="O13" s="38">
        <v>3</v>
      </c>
      <c r="P13" s="38">
        <v>1.5</v>
      </c>
      <c r="Q13" s="38">
        <v>4.5</v>
      </c>
    </row>
    <row r="14" spans="1:17" x14ac:dyDescent="0.25">
      <c r="A14" s="380"/>
      <c r="B14" s="98" t="s">
        <v>22</v>
      </c>
      <c r="C14" s="48">
        <v>3</v>
      </c>
      <c r="D14" s="48">
        <v>1.5</v>
      </c>
      <c r="E14" s="48">
        <v>4.5</v>
      </c>
      <c r="F14" s="93">
        <v>1</v>
      </c>
      <c r="G14" s="93">
        <v>1</v>
      </c>
      <c r="H14" s="93">
        <v>1.5</v>
      </c>
      <c r="I14" s="26">
        <v>1</v>
      </c>
      <c r="J14" s="26">
        <v>1</v>
      </c>
      <c r="K14" s="26">
        <v>1.5</v>
      </c>
      <c r="L14" s="30">
        <v>5</v>
      </c>
      <c r="M14" s="30">
        <v>2.5</v>
      </c>
      <c r="N14" s="30">
        <v>5</v>
      </c>
      <c r="O14" s="38">
        <v>3</v>
      </c>
      <c r="P14" s="38">
        <v>1.5</v>
      </c>
      <c r="Q14" s="38">
        <v>4.5</v>
      </c>
    </row>
    <row r="15" spans="1:17" x14ac:dyDescent="0.25">
      <c r="A15" s="192"/>
      <c r="B15" s="98" t="s">
        <v>332</v>
      </c>
      <c r="C15" s="48">
        <v>3</v>
      </c>
      <c r="D15" s="48">
        <v>1.5</v>
      </c>
      <c r="E15" s="48">
        <v>4.5</v>
      </c>
      <c r="F15" s="93">
        <v>2</v>
      </c>
      <c r="G15" s="93">
        <v>1</v>
      </c>
      <c r="H15" s="93">
        <v>3</v>
      </c>
      <c r="I15" s="26">
        <v>1</v>
      </c>
      <c r="J15" s="26">
        <v>1</v>
      </c>
      <c r="K15" s="26">
        <v>1.5</v>
      </c>
      <c r="L15" s="30">
        <v>5</v>
      </c>
      <c r="M15" s="30">
        <v>2.5</v>
      </c>
      <c r="N15" s="30">
        <v>5</v>
      </c>
      <c r="O15" s="38">
        <v>4</v>
      </c>
      <c r="P15" s="38">
        <v>3.6</v>
      </c>
      <c r="Q15" s="38">
        <v>4.4000000000000004</v>
      </c>
    </row>
    <row r="16" spans="1:17" x14ac:dyDescent="0.25">
      <c r="A16" s="193"/>
      <c r="B16" s="98" t="s">
        <v>333</v>
      </c>
      <c r="C16" s="48">
        <v>3</v>
      </c>
      <c r="D16" s="48">
        <v>1.5</v>
      </c>
      <c r="E16" s="48">
        <v>4.5</v>
      </c>
      <c r="F16" s="93">
        <v>1</v>
      </c>
      <c r="G16" s="93">
        <v>1</v>
      </c>
      <c r="H16" s="93">
        <v>1.5</v>
      </c>
      <c r="I16" s="26">
        <v>1</v>
      </c>
      <c r="J16" s="26">
        <v>1</v>
      </c>
      <c r="K16" s="26">
        <v>1.5</v>
      </c>
      <c r="L16" s="30">
        <v>5</v>
      </c>
      <c r="M16" s="30">
        <v>2.5</v>
      </c>
      <c r="N16" s="30">
        <v>5</v>
      </c>
      <c r="O16" s="38">
        <v>3</v>
      </c>
      <c r="P16" s="38">
        <v>2.7</v>
      </c>
      <c r="Q16" s="38">
        <v>3.3</v>
      </c>
    </row>
    <row r="17" spans="1:17" x14ac:dyDescent="0.25">
      <c r="A17" s="377" t="s">
        <v>25</v>
      </c>
      <c r="B17" s="98" t="s">
        <v>566</v>
      </c>
      <c r="C17" s="48">
        <v>3</v>
      </c>
      <c r="D17" s="48">
        <v>2.25</v>
      </c>
      <c r="E17" s="48">
        <v>3.75</v>
      </c>
      <c r="F17" s="93">
        <v>4</v>
      </c>
      <c r="G17" s="93">
        <v>2</v>
      </c>
      <c r="H17" s="93">
        <v>5</v>
      </c>
      <c r="I17" s="26">
        <v>3</v>
      </c>
      <c r="J17" s="26">
        <v>1.5</v>
      </c>
      <c r="K17" s="26">
        <v>4.5</v>
      </c>
      <c r="L17" s="30">
        <v>5</v>
      </c>
      <c r="M17" s="30">
        <v>2.5</v>
      </c>
      <c r="N17" s="30">
        <v>5</v>
      </c>
      <c r="O17" s="38">
        <v>1</v>
      </c>
      <c r="P17" s="38">
        <v>1</v>
      </c>
      <c r="Q17" s="38">
        <v>1.5</v>
      </c>
    </row>
    <row r="18" spans="1:17" x14ac:dyDescent="0.25">
      <c r="A18" s="377"/>
      <c r="B18" s="98" t="s">
        <v>29</v>
      </c>
      <c r="C18" s="48">
        <v>3</v>
      </c>
      <c r="D18" s="48">
        <v>2.25</v>
      </c>
      <c r="E18" s="48">
        <v>3.75</v>
      </c>
      <c r="F18" s="93">
        <v>4</v>
      </c>
      <c r="G18" s="93">
        <v>2</v>
      </c>
      <c r="H18" s="93">
        <v>5</v>
      </c>
      <c r="I18" s="26">
        <v>3</v>
      </c>
      <c r="J18" s="26">
        <v>1.5</v>
      </c>
      <c r="K18" s="26">
        <v>4.5</v>
      </c>
      <c r="L18" s="30">
        <v>5</v>
      </c>
      <c r="M18" s="30">
        <v>2.5</v>
      </c>
      <c r="N18" s="30">
        <v>5</v>
      </c>
      <c r="O18" s="38">
        <v>1</v>
      </c>
      <c r="P18" s="38">
        <v>1</v>
      </c>
      <c r="Q18" s="38">
        <v>1.5</v>
      </c>
    </row>
    <row r="19" spans="1:17" x14ac:dyDescent="0.25">
      <c r="A19" s="377"/>
      <c r="B19" s="98" t="s">
        <v>799</v>
      </c>
      <c r="C19" s="48">
        <v>3</v>
      </c>
      <c r="D19" s="48">
        <v>1.5</v>
      </c>
      <c r="E19" s="48">
        <v>4.5</v>
      </c>
      <c r="F19" s="93">
        <v>4</v>
      </c>
      <c r="G19" s="93">
        <v>2</v>
      </c>
      <c r="H19" s="93">
        <v>5</v>
      </c>
      <c r="I19" s="26">
        <v>3</v>
      </c>
      <c r="J19" s="26">
        <v>1.5</v>
      </c>
      <c r="K19" s="26">
        <v>4.5</v>
      </c>
      <c r="L19" s="30">
        <v>5</v>
      </c>
      <c r="M19" s="30">
        <v>2.5</v>
      </c>
      <c r="N19" s="30">
        <v>5</v>
      </c>
      <c r="O19" s="38">
        <v>1</v>
      </c>
      <c r="P19" s="38">
        <v>1</v>
      </c>
      <c r="Q19" s="38">
        <v>1.5</v>
      </c>
    </row>
    <row r="20" spans="1:17" x14ac:dyDescent="0.25">
      <c r="A20" s="377"/>
      <c r="B20" s="98" t="s">
        <v>567</v>
      </c>
      <c r="C20" s="48">
        <v>3</v>
      </c>
      <c r="D20" s="48">
        <v>1.5</v>
      </c>
      <c r="E20" s="48">
        <v>4.5</v>
      </c>
      <c r="F20" s="93">
        <v>3</v>
      </c>
      <c r="G20" s="93">
        <v>1.5</v>
      </c>
      <c r="H20" s="93">
        <v>4.5</v>
      </c>
      <c r="I20" s="26">
        <v>5</v>
      </c>
      <c r="J20" s="26">
        <v>2.5</v>
      </c>
      <c r="K20" s="26">
        <v>5</v>
      </c>
      <c r="L20" s="30">
        <v>5</v>
      </c>
      <c r="M20" s="30">
        <v>2.5</v>
      </c>
      <c r="N20" s="30">
        <v>5</v>
      </c>
      <c r="O20" s="38">
        <v>1</v>
      </c>
      <c r="P20" s="38">
        <v>1</v>
      </c>
      <c r="Q20" s="38">
        <v>1.5</v>
      </c>
    </row>
    <row r="21" spans="1:17" x14ac:dyDescent="0.25">
      <c r="A21" s="377"/>
      <c r="B21" s="98" t="s">
        <v>34</v>
      </c>
      <c r="C21" s="48">
        <v>3</v>
      </c>
      <c r="D21" s="48">
        <v>2.25</v>
      </c>
      <c r="E21" s="48">
        <v>3.75</v>
      </c>
      <c r="F21" s="93">
        <v>3</v>
      </c>
      <c r="G21" s="93">
        <v>2.25</v>
      </c>
      <c r="H21" s="93">
        <v>3.75</v>
      </c>
      <c r="I21" s="26">
        <v>5</v>
      </c>
      <c r="J21" s="26">
        <v>2.5</v>
      </c>
      <c r="K21" s="26">
        <v>5</v>
      </c>
      <c r="L21" s="30">
        <v>5</v>
      </c>
      <c r="M21" s="30">
        <v>3.75</v>
      </c>
      <c r="N21" s="30">
        <v>5</v>
      </c>
      <c r="O21" s="38">
        <v>1</v>
      </c>
      <c r="P21" s="38">
        <v>1</v>
      </c>
      <c r="Q21" s="38">
        <v>1.1000000000000001</v>
      </c>
    </row>
    <row r="22" spans="1:17" x14ac:dyDescent="0.25">
      <c r="A22" s="377"/>
      <c r="B22" s="98" t="s">
        <v>568</v>
      </c>
      <c r="C22" s="48">
        <v>3</v>
      </c>
      <c r="D22" s="48">
        <v>1.5</v>
      </c>
      <c r="E22" s="48">
        <v>4.5</v>
      </c>
      <c r="F22" s="93">
        <v>3</v>
      </c>
      <c r="G22" s="93">
        <v>1.5</v>
      </c>
      <c r="H22" s="93">
        <v>4.5</v>
      </c>
      <c r="I22" s="26">
        <v>5</v>
      </c>
      <c r="J22" s="26">
        <v>2.5</v>
      </c>
      <c r="K22" s="26">
        <v>5</v>
      </c>
      <c r="L22" s="30">
        <v>5</v>
      </c>
      <c r="M22" s="30">
        <v>2.5</v>
      </c>
      <c r="N22" s="30">
        <v>5</v>
      </c>
      <c r="O22" s="38">
        <v>1</v>
      </c>
      <c r="P22" s="38">
        <v>1</v>
      </c>
      <c r="Q22" s="38">
        <v>1.5</v>
      </c>
    </row>
    <row r="23" spans="1:17" x14ac:dyDescent="0.25">
      <c r="A23" s="377"/>
      <c r="B23" s="98" t="s">
        <v>569</v>
      </c>
      <c r="C23" s="48">
        <v>3</v>
      </c>
      <c r="D23" s="48">
        <v>1.5</v>
      </c>
      <c r="E23" s="48">
        <v>4.5</v>
      </c>
      <c r="F23" s="93">
        <v>4</v>
      </c>
      <c r="G23" s="93">
        <v>2</v>
      </c>
      <c r="H23" s="93">
        <v>5</v>
      </c>
      <c r="I23" s="26">
        <v>5</v>
      </c>
      <c r="J23" s="26">
        <v>2.5</v>
      </c>
      <c r="K23" s="26">
        <v>5</v>
      </c>
      <c r="L23" s="30">
        <v>5</v>
      </c>
      <c r="M23" s="30">
        <v>2.5</v>
      </c>
      <c r="N23" s="30">
        <v>5</v>
      </c>
      <c r="O23" s="38">
        <v>1</v>
      </c>
      <c r="P23" s="38">
        <v>1</v>
      </c>
      <c r="Q23" s="38">
        <v>1.5</v>
      </c>
    </row>
    <row r="24" spans="1:17" x14ac:dyDescent="0.25">
      <c r="A24" s="377"/>
      <c r="B24" s="98" t="s">
        <v>570</v>
      </c>
      <c r="C24" s="48">
        <v>3</v>
      </c>
      <c r="D24" s="48">
        <v>1.5</v>
      </c>
      <c r="E24" s="48">
        <v>4.5</v>
      </c>
      <c r="F24" s="93">
        <v>3</v>
      </c>
      <c r="G24" s="93">
        <v>1.5</v>
      </c>
      <c r="H24" s="93">
        <v>4.5</v>
      </c>
      <c r="I24" s="26">
        <v>5</v>
      </c>
      <c r="J24" s="26">
        <v>2.5</v>
      </c>
      <c r="K24" s="26">
        <v>5</v>
      </c>
      <c r="L24" s="30">
        <v>5</v>
      </c>
      <c r="M24" s="30">
        <v>2.5</v>
      </c>
      <c r="N24" s="30">
        <v>5</v>
      </c>
      <c r="O24" s="38">
        <v>1</v>
      </c>
      <c r="P24" s="38">
        <v>1</v>
      </c>
      <c r="Q24" s="38">
        <v>1.5</v>
      </c>
    </row>
    <row r="25" spans="1:17" x14ac:dyDescent="0.25">
      <c r="A25" s="377"/>
      <c r="B25" s="98" t="s">
        <v>36</v>
      </c>
      <c r="C25" s="48">
        <v>3</v>
      </c>
      <c r="D25" s="48">
        <v>2.25</v>
      </c>
      <c r="E25" s="48">
        <v>3.75</v>
      </c>
      <c r="F25" s="93">
        <v>3</v>
      </c>
      <c r="G25" s="93">
        <v>2.25</v>
      </c>
      <c r="H25" s="93">
        <v>3.75</v>
      </c>
      <c r="I25" s="26">
        <v>5</v>
      </c>
      <c r="J25" s="26">
        <v>4.5</v>
      </c>
      <c r="K25" s="26">
        <v>5</v>
      </c>
      <c r="L25" s="30">
        <v>5</v>
      </c>
      <c r="M25" s="30">
        <v>3.75</v>
      </c>
      <c r="N25" s="30">
        <v>5</v>
      </c>
      <c r="O25" s="38">
        <v>1</v>
      </c>
      <c r="P25" s="38">
        <v>1</v>
      </c>
      <c r="Q25" s="38">
        <v>1.1000000000000001</v>
      </c>
    </row>
    <row r="26" spans="1:17" x14ac:dyDescent="0.25">
      <c r="A26" s="377"/>
      <c r="B26" s="98" t="s">
        <v>293</v>
      </c>
      <c r="C26" s="48">
        <v>3</v>
      </c>
      <c r="D26" s="48">
        <v>1.5</v>
      </c>
      <c r="E26" s="48">
        <v>4.5</v>
      </c>
      <c r="F26" s="93">
        <v>3</v>
      </c>
      <c r="G26" s="93">
        <v>1.5</v>
      </c>
      <c r="H26" s="93">
        <v>4.5</v>
      </c>
      <c r="I26" s="26">
        <v>5</v>
      </c>
      <c r="J26" s="26">
        <v>2.5</v>
      </c>
      <c r="K26" s="26">
        <v>5</v>
      </c>
      <c r="L26" s="30">
        <v>5</v>
      </c>
      <c r="M26" s="30">
        <v>2.5</v>
      </c>
      <c r="N26" s="30">
        <v>5</v>
      </c>
      <c r="O26" s="38">
        <v>2</v>
      </c>
      <c r="P26" s="38">
        <v>1</v>
      </c>
      <c r="Q26" s="38">
        <v>3</v>
      </c>
    </row>
    <row r="27" spans="1:17" x14ac:dyDescent="0.25">
      <c r="A27" s="377"/>
      <c r="B27" s="98" t="s">
        <v>37</v>
      </c>
      <c r="C27" s="48">
        <v>4</v>
      </c>
      <c r="D27" s="48">
        <v>3</v>
      </c>
      <c r="E27" s="48">
        <v>5</v>
      </c>
      <c r="F27" s="93">
        <v>2</v>
      </c>
      <c r="G27" s="93">
        <v>1.5</v>
      </c>
      <c r="H27" s="93">
        <v>2.5</v>
      </c>
      <c r="I27" s="26">
        <v>5</v>
      </c>
      <c r="J27" s="26">
        <v>4.5</v>
      </c>
      <c r="K27" s="26">
        <v>5</v>
      </c>
      <c r="L27" s="30">
        <v>5</v>
      </c>
      <c r="M27" s="30">
        <v>3.75</v>
      </c>
      <c r="N27" s="30">
        <v>5</v>
      </c>
      <c r="O27" s="38">
        <v>1</v>
      </c>
      <c r="P27" s="38">
        <v>1</v>
      </c>
      <c r="Q27" s="38">
        <v>1.1000000000000001</v>
      </c>
    </row>
    <row r="28" spans="1:17" x14ac:dyDescent="0.25">
      <c r="A28" s="377"/>
      <c r="B28" s="98" t="s">
        <v>291</v>
      </c>
      <c r="C28" s="48">
        <v>3</v>
      </c>
      <c r="D28" s="48">
        <v>1.5</v>
      </c>
      <c r="E28" s="48">
        <v>4.5</v>
      </c>
      <c r="F28" s="93">
        <v>5</v>
      </c>
      <c r="G28" s="93">
        <v>2.5</v>
      </c>
      <c r="H28" s="93">
        <v>5</v>
      </c>
      <c r="I28" s="26">
        <v>5</v>
      </c>
      <c r="J28" s="26">
        <v>2.5</v>
      </c>
      <c r="K28" s="26">
        <v>5</v>
      </c>
      <c r="L28" s="30">
        <v>5</v>
      </c>
      <c r="M28" s="30">
        <v>2.5</v>
      </c>
      <c r="N28" s="30">
        <v>5</v>
      </c>
      <c r="O28" s="38">
        <v>3</v>
      </c>
      <c r="P28" s="38">
        <v>1.5</v>
      </c>
      <c r="Q28" s="38">
        <v>4.5</v>
      </c>
    </row>
    <row r="29" spans="1:17" x14ac:dyDescent="0.25">
      <c r="A29" s="377"/>
      <c r="B29" s="98" t="s">
        <v>287</v>
      </c>
      <c r="C29" s="48">
        <v>5</v>
      </c>
      <c r="D29" s="48">
        <v>2</v>
      </c>
      <c r="E29" s="48">
        <v>5</v>
      </c>
      <c r="F29" s="93">
        <v>5</v>
      </c>
      <c r="G29" s="93">
        <v>2.5</v>
      </c>
      <c r="H29" s="93">
        <v>5</v>
      </c>
      <c r="I29" s="26">
        <v>5</v>
      </c>
      <c r="J29" s="26">
        <v>2.5</v>
      </c>
      <c r="K29" s="26">
        <v>5</v>
      </c>
      <c r="L29" s="30">
        <v>5</v>
      </c>
      <c r="M29" s="30">
        <v>2.5</v>
      </c>
      <c r="N29" s="30">
        <v>5</v>
      </c>
      <c r="O29" s="38">
        <v>1</v>
      </c>
      <c r="P29" s="38">
        <v>1</v>
      </c>
      <c r="Q29" s="38">
        <v>1.5</v>
      </c>
    </row>
    <row r="30" spans="1:17" x14ac:dyDescent="0.25">
      <c r="A30" s="377"/>
      <c r="B30" s="98" t="s">
        <v>261</v>
      </c>
      <c r="C30" s="48">
        <v>4</v>
      </c>
      <c r="D30" s="48">
        <v>1.5</v>
      </c>
      <c r="E30" s="48">
        <v>4.5</v>
      </c>
      <c r="F30" s="93">
        <v>5</v>
      </c>
      <c r="G30" s="93">
        <v>2.5</v>
      </c>
      <c r="H30" s="93">
        <v>5</v>
      </c>
      <c r="I30" s="26">
        <v>5</v>
      </c>
      <c r="J30" s="26">
        <v>2.5</v>
      </c>
      <c r="K30" s="26">
        <v>5</v>
      </c>
      <c r="L30" s="30">
        <v>5</v>
      </c>
      <c r="M30" s="30">
        <v>2.5</v>
      </c>
      <c r="N30" s="30">
        <v>5</v>
      </c>
      <c r="O30" s="38">
        <v>1</v>
      </c>
      <c r="P30" s="38">
        <v>1</v>
      </c>
      <c r="Q30" s="38">
        <v>1.5</v>
      </c>
    </row>
    <row r="31" spans="1:17" x14ac:dyDescent="0.25">
      <c r="A31" s="377"/>
      <c r="B31" s="98" t="s">
        <v>40</v>
      </c>
      <c r="C31" s="48">
        <v>4</v>
      </c>
      <c r="D31" s="48">
        <v>2</v>
      </c>
      <c r="E31" s="48">
        <v>5</v>
      </c>
      <c r="F31" s="93">
        <v>3</v>
      </c>
      <c r="G31" s="93">
        <v>1.5</v>
      </c>
      <c r="H31" s="93">
        <v>4.5</v>
      </c>
      <c r="I31" s="26">
        <v>5</v>
      </c>
      <c r="J31" s="26">
        <v>2.5</v>
      </c>
      <c r="K31" s="26">
        <v>5</v>
      </c>
      <c r="L31" s="30">
        <v>5</v>
      </c>
      <c r="M31" s="30">
        <v>2.5</v>
      </c>
      <c r="N31" s="30">
        <v>5</v>
      </c>
      <c r="O31" s="38">
        <v>2</v>
      </c>
      <c r="P31" s="38">
        <v>1</v>
      </c>
      <c r="Q31" s="38">
        <v>3</v>
      </c>
    </row>
    <row r="32" spans="1:17" x14ac:dyDescent="0.25">
      <c r="A32" s="377"/>
      <c r="B32" s="98" t="s">
        <v>44</v>
      </c>
      <c r="C32" s="48">
        <v>4</v>
      </c>
      <c r="D32" s="48">
        <v>2</v>
      </c>
      <c r="E32" s="48">
        <v>5</v>
      </c>
      <c r="F32" s="93">
        <v>3</v>
      </c>
      <c r="G32" s="93">
        <v>1.5</v>
      </c>
      <c r="H32" s="93">
        <v>4.5</v>
      </c>
      <c r="I32" s="26">
        <v>5</v>
      </c>
      <c r="J32" s="26">
        <v>2.5</v>
      </c>
      <c r="K32" s="26">
        <v>5</v>
      </c>
      <c r="L32" s="30">
        <v>5</v>
      </c>
      <c r="M32" s="30">
        <v>2.5</v>
      </c>
      <c r="N32" s="30">
        <v>5</v>
      </c>
      <c r="O32" s="38">
        <v>1</v>
      </c>
      <c r="P32" s="38">
        <v>1</v>
      </c>
      <c r="Q32" s="38">
        <v>1.5</v>
      </c>
    </row>
    <row r="33" spans="1:17" x14ac:dyDescent="0.25">
      <c r="A33" s="377"/>
      <c r="B33" s="98" t="s">
        <v>571</v>
      </c>
      <c r="C33" s="48">
        <v>4</v>
      </c>
      <c r="D33" s="48">
        <v>2</v>
      </c>
      <c r="E33" s="48">
        <v>5</v>
      </c>
      <c r="F33" s="93">
        <v>3</v>
      </c>
      <c r="G33" s="93">
        <v>1.5</v>
      </c>
      <c r="H33" s="93">
        <v>4.5</v>
      </c>
      <c r="I33" s="26">
        <v>5</v>
      </c>
      <c r="J33" s="26">
        <v>2.5</v>
      </c>
      <c r="K33" s="26">
        <v>5</v>
      </c>
      <c r="L33" s="30">
        <v>5</v>
      </c>
      <c r="M33" s="30">
        <v>2.5</v>
      </c>
      <c r="N33" s="30">
        <v>5</v>
      </c>
      <c r="O33" s="38">
        <v>1</v>
      </c>
      <c r="P33" s="38">
        <v>1</v>
      </c>
      <c r="Q33" s="38">
        <v>1.5</v>
      </c>
    </row>
    <row r="34" spans="1:17" x14ac:dyDescent="0.25">
      <c r="A34" s="379"/>
      <c r="B34" s="98" t="s">
        <v>573</v>
      </c>
      <c r="C34" s="48">
        <v>4</v>
      </c>
      <c r="D34" s="48">
        <v>3</v>
      </c>
      <c r="E34" s="48">
        <v>5</v>
      </c>
      <c r="F34" s="93">
        <v>3</v>
      </c>
      <c r="G34" s="93">
        <v>2.25</v>
      </c>
      <c r="H34" s="93">
        <v>3.75</v>
      </c>
      <c r="I34" s="26">
        <v>5</v>
      </c>
      <c r="J34" s="26">
        <v>4.5</v>
      </c>
      <c r="K34" s="26">
        <v>5</v>
      </c>
      <c r="L34" s="30">
        <v>5</v>
      </c>
      <c r="M34" s="30">
        <v>3.75</v>
      </c>
      <c r="N34" s="30">
        <v>5</v>
      </c>
      <c r="O34" s="38">
        <v>1</v>
      </c>
      <c r="P34" s="38">
        <v>1</v>
      </c>
      <c r="Q34" s="38">
        <v>1.1000000000000001</v>
      </c>
    </row>
    <row r="35" spans="1:17" x14ac:dyDescent="0.25">
      <c r="A35" s="193"/>
      <c r="B35" s="98" t="s">
        <v>577</v>
      </c>
      <c r="C35" s="48">
        <v>4</v>
      </c>
      <c r="D35" s="48">
        <v>3</v>
      </c>
      <c r="E35" s="48">
        <v>5</v>
      </c>
      <c r="F35" s="93">
        <v>3</v>
      </c>
      <c r="G35" s="93">
        <v>2.25</v>
      </c>
      <c r="H35" s="93">
        <v>3.75</v>
      </c>
      <c r="I35" s="26">
        <v>5</v>
      </c>
      <c r="J35" s="26">
        <v>2.5</v>
      </c>
      <c r="K35" s="26">
        <v>5</v>
      </c>
      <c r="L35" s="30">
        <v>5</v>
      </c>
      <c r="M35" s="30">
        <v>3.75</v>
      </c>
      <c r="N35" s="30">
        <v>5</v>
      </c>
      <c r="O35" s="38">
        <v>1</v>
      </c>
      <c r="P35" s="38">
        <v>1</v>
      </c>
      <c r="Q35" s="38">
        <v>1.5</v>
      </c>
    </row>
    <row r="36" spans="1:17" x14ac:dyDescent="0.25">
      <c r="A36" s="378" t="s">
        <v>46</v>
      </c>
      <c r="B36" s="98" t="s">
        <v>47</v>
      </c>
      <c r="C36" s="48">
        <v>1</v>
      </c>
      <c r="D36" s="48">
        <v>1</v>
      </c>
      <c r="E36" s="48">
        <v>1.25</v>
      </c>
      <c r="F36" s="93">
        <v>3</v>
      </c>
      <c r="G36" s="93">
        <v>2.25</v>
      </c>
      <c r="H36" s="93">
        <v>3.75</v>
      </c>
      <c r="I36" s="26">
        <v>1</v>
      </c>
      <c r="J36" s="26">
        <v>1</v>
      </c>
      <c r="K36" s="26">
        <v>1.5</v>
      </c>
      <c r="L36" s="30">
        <v>1</v>
      </c>
      <c r="M36" s="30">
        <v>1</v>
      </c>
      <c r="N36" s="30">
        <v>1.5</v>
      </c>
      <c r="O36" s="38">
        <v>4</v>
      </c>
      <c r="P36" s="38">
        <v>2</v>
      </c>
      <c r="Q36" s="38">
        <v>5</v>
      </c>
    </row>
    <row r="37" spans="1:17" x14ac:dyDescent="0.25">
      <c r="A37" s="377"/>
      <c r="B37" s="90" t="s">
        <v>334</v>
      </c>
      <c r="C37" s="48">
        <v>1</v>
      </c>
      <c r="D37" s="48">
        <v>1</v>
      </c>
      <c r="E37" s="48">
        <v>1.5</v>
      </c>
      <c r="F37" s="93">
        <v>3</v>
      </c>
      <c r="G37" s="93">
        <v>1.5</v>
      </c>
      <c r="H37" s="93">
        <v>4.5</v>
      </c>
      <c r="I37" s="26">
        <v>1</v>
      </c>
      <c r="J37" s="26">
        <v>1</v>
      </c>
      <c r="K37" s="26">
        <v>1.5</v>
      </c>
      <c r="L37" s="30">
        <v>1</v>
      </c>
      <c r="M37" s="30">
        <v>1</v>
      </c>
      <c r="N37" s="30">
        <v>1.5</v>
      </c>
      <c r="O37" s="38">
        <v>4</v>
      </c>
      <c r="P37" s="38">
        <v>2</v>
      </c>
      <c r="Q37" s="38">
        <v>5</v>
      </c>
    </row>
    <row r="38" spans="1:17" x14ac:dyDescent="0.25">
      <c r="A38" s="377" t="s">
        <v>51</v>
      </c>
      <c r="B38" s="90" t="s">
        <v>576</v>
      </c>
      <c r="C38" s="48">
        <v>1</v>
      </c>
      <c r="D38" s="48">
        <v>1</v>
      </c>
      <c r="E38" s="48">
        <v>1.5</v>
      </c>
      <c r="F38" s="93">
        <v>3</v>
      </c>
      <c r="G38" s="93">
        <v>1.5</v>
      </c>
      <c r="H38" s="93">
        <v>4.5</v>
      </c>
      <c r="I38" s="26">
        <v>3</v>
      </c>
      <c r="J38" s="26">
        <v>2.25</v>
      </c>
      <c r="K38" s="26">
        <v>3.75</v>
      </c>
      <c r="L38" s="30">
        <v>3</v>
      </c>
      <c r="M38" s="30">
        <v>1.5</v>
      </c>
      <c r="N38" s="30">
        <v>4.5</v>
      </c>
      <c r="O38" s="38">
        <v>2</v>
      </c>
      <c r="P38" s="38">
        <v>1.8</v>
      </c>
      <c r="Q38" s="38">
        <v>2.2000000000000002</v>
      </c>
    </row>
    <row r="39" spans="1:17" x14ac:dyDescent="0.25">
      <c r="A39" s="377"/>
      <c r="B39" s="74" t="s">
        <v>575</v>
      </c>
      <c r="C39" s="48">
        <v>1</v>
      </c>
      <c r="D39" s="48">
        <v>1</v>
      </c>
      <c r="E39" s="48">
        <v>1.1000000000000001</v>
      </c>
      <c r="F39" s="93">
        <v>5</v>
      </c>
      <c r="G39" s="93">
        <v>4.5</v>
      </c>
      <c r="H39" s="93">
        <v>5</v>
      </c>
      <c r="I39" s="26">
        <v>3</v>
      </c>
      <c r="J39" s="26">
        <v>1.5</v>
      </c>
      <c r="K39" s="26">
        <v>4.5</v>
      </c>
      <c r="L39" s="30">
        <v>3</v>
      </c>
      <c r="M39" s="30">
        <v>1.5</v>
      </c>
      <c r="N39" s="30">
        <v>4.5</v>
      </c>
      <c r="O39" s="38">
        <v>2</v>
      </c>
      <c r="P39" s="38">
        <v>1.8</v>
      </c>
      <c r="Q39" s="38">
        <v>2.2000000000000002</v>
      </c>
    </row>
    <row r="40" spans="1:17" x14ac:dyDescent="0.25">
      <c r="A40" s="377"/>
      <c r="B40" s="90" t="s">
        <v>56</v>
      </c>
      <c r="C40" s="48">
        <v>1</v>
      </c>
      <c r="D40" s="48">
        <v>1</v>
      </c>
      <c r="E40" s="48">
        <v>1.5</v>
      </c>
      <c r="F40" s="93">
        <v>3</v>
      </c>
      <c r="G40" s="93">
        <v>1.5</v>
      </c>
      <c r="H40" s="93">
        <v>4.5</v>
      </c>
      <c r="I40" s="26">
        <v>3</v>
      </c>
      <c r="J40" s="26">
        <v>2.25</v>
      </c>
      <c r="K40" s="26">
        <v>3.75</v>
      </c>
      <c r="L40" s="30">
        <v>3</v>
      </c>
      <c r="M40" s="30">
        <v>1.5</v>
      </c>
      <c r="N40" s="30">
        <v>4.5</v>
      </c>
      <c r="O40" s="38">
        <v>2</v>
      </c>
      <c r="P40" s="38">
        <v>1.8</v>
      </c>
      <c r="Q40" s="38">
        <v>2.2000000000000002</v>
      </c>
    </row>
    <row r="41" spans="1:17" x14ac:dyDescent="0.25">
      <c r="A41" s="377" t="s">
        <v>135</v>
      </c>
      <c r="B41" s="90" t="s">
        <v>136</v>
      </c>
      <c r="C41" s="48">
        <v>3</v>
      </c>
      <c r="D41" s="48">
        <v>1.5</v>
      </c>
      <c r="E41" s="48">
        <v>4.5</v>
      </c>
      <c r="F41" s="93">
        <v>3</v>
      </c>
      <c r="G41" s="93">
        <v>1.5</v>
      </c>
      <c r="H41" s="93">
        <v>4.5</v>
      </c>
      <c r="I41" s="26">
        <v>5</v>
      </c>
      <c r="J41" s="26">
        <v>2.5</v>
      </c>
      <c r="K41" s="26">
        <v>5</v>
      </c>
      <c r="L41" s="30">
        <v>3</v>
      </c>
      <c r="M41" s="30">
        <v>1.5</v>
      </c>
      <c r="N41" s="30">
        <v>4.5</v>
      </c>
      <c r="O41" s="38">
        <v>2</v>
      </c>
      <c r="P41" s="38">
        <v>1.5</v>
      </c>
      <c r="Q41" s="38">
        <v>2.5</v>
      </c>
    </row>
    <row r="42" spans="1:17" x14ac:dyDescent="0.25">
      <c r="A42" s="377"/>
      <c r="B42" s="90" t="s">
        <v>589</v>
      </c>
      <c r="C42" s="48">
        <v>2</v>
      </c>
      <c r="D42" s="48">
        <v>1</v>
      </c>
      <c r="E42" s="48">
        <v>3</v>
      </c>
      <c r="F42" s="93">
        <v>3</v>
      </c>
      <c r="G42" s="93">
        <v>1.5</v>
      </c>
      <c r="H42" s="93">
        <v>4.5</v>
      </c>
      <c r="I42" s="26">
        <v>5</v>
      </c>
      <c r="J42" s="26">
        <v>2.5</v>
      </c>
      <c r="K42" s="26">
        <v>5</v>
      </c>
      <c r="L42" s="30">
        <v>3</v>
      </c>
      <c r="M42" s="30">
        <v>1.5</v>
      </c>
      <c r="N42" s="30">
        <v>4.5</v>
      </c>
      <c r="O42" s="38">
        <v>2</v>
      </c>
      <c r="P42" s="38">
        <v>1.5</v>
      </c>
      <c r="Q42" s="38">
        <v>2.5</v>
      </c>
    </row>
    <row r="43" spans="1:17" x14ac:dyDescent="0.25">
      <c r="A43" s="379" t="s">
        <v>69</v>
      </c>
      <c r="B43" s="90" t="s">
        <v>263</v>
      </c>
      <c r="C43" s="48">
        <v>3</v>
      </c>
      <c r="D43" s="48">
        <v>2.25</v>
      </c>
      <c r="E43" s="48">
        <v>3.75</v>
      </c>
      <c r="F43" s="93">
        <v>3</v>
      </c>
      <c r="G43" s="93">
        <v>2.25</v>
      </c>
      <c r="H43" s="93">
        <v>3.75</v>
      </c>
      <c r="I43" s="26">
        <v>1</v>
      </c>
      <c r="J43" s="26">
        <v>1</v>
      </c>
      <c r="K43" s="26">
        <v>1.25</v>
      </c>
      <c r="L43" s="30">
        <v>4</v>
      </c>
      <c r="M43" s="30">
        <v>2</v>
      </c>
      <c r="N43" s="30">
        <v>5</v>
      </c>
      <c r="O43" s="38">
        <v>2</v>
      </c>
      <c r="P43" s="38">
        <v>1.8</v>
      </c>
      <c r="Q43" s="38">
        <v>2.2000000000000002</v>
      </c>
    </row>
    <row r="44" spans="1:17" x14ac:dyDescent="0.25">
      <c r="A44" s="380"/>
      <c r="B44" s="90" t="s">
        <v>579</v>
      </c>
      <c r="C44" s="48">
        <v>2</v>
      </c>
      <c r="D44" s="48">
        <v>1</v>
      </c>
      <c r="E44" s="48">
        <v>3</v>
      </c>
      <c r="F44" s="93">
        <v>3</v>
      </c>
      <c r="G44" s="93">
        <v>1.5</v>
      </c>
      <c r="H44" s="93">
        <v>4.5</v>
      </c>
      <c r="I44" s="26">
        <v>1</v>
      </c>
      <c r="J44" s="26">
        <v>1</v>
      </c>
      <c r="K44" s="26">
        <v>1.25</v>
      </c>
      <c r="L44" s="30">
        <v>4</v>
      </c>
      <c r="M44" s="30">
        <v>2</v>
      </c>
      <c r="N44" s="30">
        <v>5</v>
      </c>
      <c r="O44" s="38">
        <v>2</v>
      </c>
      <c r="P44" s="38">
        <v>1.5</v>
      </c>
      <c r="Q44" s="38">
        <v>2.5</v>
      </c>
    </row>
    <row r="45" spans="1:17" x14ac:dyDescent="0.25">
      <c r="A45" s="380"/>
      <c r="B45" s="90" t="s">
        <v>580</v>
      </c>
      <c r="C45" s="48">
        <v>2</v>
      </c>
      <c r="D45" s="48">
        <v>1</v>
      </c>
      <c r="E45" s="48">
        <v>3</v>
      </c>
      <c r="F45" s="93">
        <v>3</v>
      </c>
      <c r="G45" s="93">
        <v>1.5</v>
      </c>
      <c r="H45" s="93">
        <v>4.5</v>
      </c>
      <c r="I45" s="26">
        <v>1</v>
      </c>
      <c r="J45" s="26">
        <v>1</v>
      </c>
      <c r="K45" s="26">
        <v>1.25</v>
      </c>
      <c r="L45" s="30">
        <v>4</v>
      </c>
      <c r="M45" s="30">
        <v>2</v>
      </c>
      <c r="N45" s="30">
        <v>5</v>
      </c>
      <c r="O45" s="38">
        <v>2</v>
      </c>
      <c r="P45" s="38">
        <v>1.5</v>
      </c>
      <c r="Q45" s="38">
        <v>2.5</v>
      </c>
    </row>
    <row r="46" spans="1:17" x14ac:dyDescent="0.25">
      <c r="A46" s="380"/>
      <c r="B46" s="90" t="s">
        <v>76</v>
      </c>
      <c r="C46" s="48">
        <v>2</v>
      </c>
      <c r="D46" s="48">
        <v>1</v>
      </c>
      <c r="E46" s="48">
        <v>3</v>
      </c>
      <c r="F46" s="93">
        <v>3</v>
      </c>
      <c r="G46" s="93">
        <v>1.5</v>
      </c>
      <c r="H46" s="93">
        <v>4.5</v>
      </c>
      <c r="I46" s="26">
        <v>1</v>
      </c>
      <c r="J46" s="26">
        <v>1</v>
      </c>
      <c r="K46" s="26">
        <v>1.25</v>
      </c>
      <c r="L46" s="30">
        <v>4</v>
      </c>
      <c r="M46" s="30">
        <v>2</v>
      </c>
      <c r="N46" s="30">
        <v>5</v>
      </c>
      <c r="O46" s="38">
        <v>1</v>
      </c>
      <c r="P46" s="38">
        <v>1</v>
      </c>
      <c r="Q46" s="38">
        <v>1.5</v>
      </c>
    </row>
    <row r="47" spans="1:17" x14ac:dyDescent="0.25">
      <c r="A47" s="380"/>
      <c r="B47" s="90" t="s">
        <v>581</v>
      </c>
      <c r="C47" s="48">
        <v>2</v>
      </c>
      <c r="D47" s="48">
        <v>1</v>
      </c>
      <c r="E47" s="48">
        <v>3</v>
      </c>
      <c r="F47" s="93">
        <v>3</v>
      </c>
      <c r="G47" s="93">
        <v>1.5</v>
      </c>
      <c r="H47" s="93">
        <v>4.5</v>
      </c>
      <c r="I47" s="26">
        <v>1</v>
      </c>
      <c r="J47" s="26">
        <v>1</v>
      </c>
      <c r="K47" s="26">
        <v>1.25</v>
      </c>
      <c r="L47" s="30">
        <v>4</v>
      </c>
      <c r="M47" s="30">
        <v>2</v>
      </c>
      <c r="N47" s="30">
        <v>5</v>
      </c>
      <c r="O47" s="38">
        <v>1</v>
      </c>
      <c r="P47" s="38">
        <v>1</v>
      </c>
      <c r="Q47" s="38">
        <v>1.5</v>
      </c>
    </row>
    <row r="48" spans="1:17" x14ac:dyDescent="0.25">
      <c r="A48" s="380"/>
      <c r="B48" s="90" t="s">
        <v>79</v>
      </c>
      <c r="C48" s="48">
        <v>2</v>
      </c>
      <c r="D48" s="48">
        <v>1</v>
      </c>
      <c r="E48" s="48">
        <v>3</v>
      </c>
      <c r="F48" s="93">
        <v>3</v>
      </c>
      <c r="G48" s="93">
        <v>1.5</v>
      </c>
      <c r="H48" s="93">
        <v>4.5</v>
      </c>
      <c r="I48" s="26">
        <v>1</v>
      </c>
      <c r="J48" s="26">
        <v>1</v>
      </c>
      <c r="K48" s="26">
        <v>1.25</v>
      </c>
      <c r="L48" s="30">
        <v>4</v>
      </c>
      <c r="M48" s="30">
        <v>2</v>
      </c>
      <c r="N48" s="30">
        <v>5</v>
      </c>
      <c r="O48" s="38">
        <v>1</v>
      </c>
      <c r="P48" s="38">
        <v>1</v>
      </c>
      <c r="Q48" s="38">
        <v>1.5</v>
      </c>
    </row>
    <row r="49" spans="1:17" x14ac:dyDescent="0.25">
      <c r="A49" s="380"/>
      <c r="B49" s="90" t="s">
        <v>582</v>
      </c>
      <c r="C49" s="48">
        <v>3</v>
      </c>
      <c r="D49" s="48">
        <v>1.5</v>
      </c>
      <c r="E49" s="48">
        <v>4.5</v>
      </c>
      <c r="F49" s="93">
        <v>3</v>
      </c>
      <c r="G49" s="93">
        <v>1.5</v>
      </c>
      <c r="H49" s="93">
        <v>4.5</v>
      </c>
      <c r="I49" s="26">
        <v>1</v>
      </c>
      <c r="J49" s="26">
        <v>1</v>
      </c>
      <c r="K49" s="26">
        <v>1.25</v>
      </c>
      <c r="L49" s="30">
        <v>4</v>
      </c>
      <c r="M49" s="30">
        <v>2</v>
      </c>
      <c r="N49" s="30">
        <v>5</v>
      </c>
      <c r="O49" s="38">
        <v>1</v>
      </c>
      <c r="P49" s="38">
        <v>1</v>
      </c>
      <c r="Q49" s="38">
        <v>1.5</v>
      </c>
    </row>
    <row r="50" spans="1:17" x14ac:dyDescent="0.25">
      <c r="A50" s="380"/>
      <c r="B50" s="98" t="s">
        <v>83</v>
      </c>
      <c r="C50" s="48">
        <v>3</v>
      </c>
      <c r="D50" s="48">
        <v>2.25</v>
      </c>
      <c r="E50" s="48">
        <v>3.75</v>
      </c>
      <c r="F50" s="93">
        <v>2</v>
      </c>
      <c r="G50" s="93">
        <v>1</v>
      </c>
      <c r="H50" s="93">
        <v>3</v>
      </c>
      <c r="I50" s="26">
        <v>1</v>
      </c>
      <c r="J50" s="26">
        <v>1</v>
      </c>
      <c r="K50" s="26">
        <v>1.1000000000000001</v>
      </c>
      <c r="L50" s="30">
        <v>4</v>
      </c>
      <c r="M50" s="30">
        <v>2</v>
      </c>
      <c r="N50" s="30">
        <v>5</v>
      </c>
      <c r="O50" s="38">
        <v>1</v>
      </c>
      <c r="P50" s="38">
        <v>1</v>
      </c>
      <c r="Q50" s="38">
        <v>1.1000000000000001</v>
      </c>
    </row>
    <row r="51" spans="1:17" x14ac:dyDescent="0.25">
      <c r="A51" s="380"/>
      <c r="B51" s="90" t="s">
        <v>583</v>
      </c>
      <c r="C51" s="48">
        <v>2</v>
      </c>
      <c r="D51" s="48">
        <v>1</v>
      </c>
      <c r="E51" s="48">
        <v>3</v>
      </c>
      <c r="F51" s="93">
        <v>3</v>
      </c>
      <c r="G51" s="93">
        <v>1.5</v>
      </c>
      <c r="H51" s="93">
        <v>4.5</v>
      </c>
      <c r="I51" s="26">
        <v>1</v>
      </c>
      <c r="J51" s="26">
        <v>1</v>
      </c>
      <c r="K51" s="26">
        <v>1.1000000000000001</v>
      </c>
      <c r="L51" s="30">
        <v>4</v>
      </c>
      <c r="M51" s="30">
        <v>2</v>
      </c>
      <c r="N51" s="30">
        <v>5</v>
      </c>
      <c r="O51" s="38">
        <v>1</v>
      </c>
      <c r="P51" s="38">
        <v>1</v>
      </c>
      <c r="Q51" s="38">
        <v>1.5</v>
      </c>
    </row>
    <row r="52" spans="1:17" x14ac:dyDescent="0.25">
      <c r="A52" s="380"/>
      <c r="B52" s="90" t="s">
        <v>584</v>
      </c>
      <c r="C52" s="48">
        <v>3</v>
      </c>
      <c r="D52" s="48">
        <v>1.5</v>
      </c>
      <c r="E52" s="48">
        <v>4.5</v>
      </c>
      <c r="F52" s="93">
        <v>3</v>
      </c>
      <c r="G52" s="93">
        <v>1.5</v>
      </c>
      <c r="H52" s="93">
        <v>4.5</v>
      </c>
      <c r="I52" s="26">
        <v>1</v>
      </c>
      <c r="J52" s="26">
        <v>1</v>
      </c>
      <c r="K52" s="26">
        <v>1.1000000000000001</v>
      </c>
      <c r="L52" s="30">
        <v>4</v>
      </c>
      <c r="M52" s="30">
        <v>2</v>
      </c>
      <c r="N52" s="30">
        <v>5</v>
      </c>
      <c r="O52" s="38">
        <v>1</v>
      </c>
      <c r="P52" s="38">
        <v>1</v>
      </c>
      <c r="Q52" s="38">
        <v>1.25</v>
      </c>
    </row>
    <row r="53" spans="1:17" x14ac:dyDescent="0.25">
      <c r="A53" s="380"/>
      <c r="B53" s="90" t="s">
        <v>87</v>
      </c>
      <c r="C53" s="48">
        <v>3</v>
      </c>
      <c r="D53" s="48">
        <v>1.5</v>
      </c>
      <c r="E53" s="48">
        <v>4.5</v>
      </c>
      <c r="F53" s="93">
        <v>3</v>
      </c>
      <c r="G53" s="93">
        <v>1.5</v>
      </c>
      <c r="H53" s="93">
        <v>4.5</v>
      </c>
      <c r="I53" s="26">
        <v>1</v>
      </c>
      <c r="J53" s="26">
        <v>1</v>
      </c>
      <c r="K53" s="26">
        <v>1.1000000000000001</v>
      </c>
      <c r="L53" s="30">
        <v>4</v>
      </c>
      <c r="M53" s="30">
        <v>2</v>
      </c>
      <c r="N53" s="30">
        <v>5</v>
      </c>
      <c r="O53" s="38">
        <v>1</v>
      </c>
      <c r="P53" s="38">
        <v>1</v>
      </c>
      <c r="Q53" s="38">
        <v>1.1000000000000001</v>
      </c>
    </row>
    <row r="54" spans="1:17" x14ac:dyDescent="0.25">
      <c r="A54" s="380"/>
      <c r="B54" s="90" t="s">
        <v>89</v>
      </c>
      <c r="C54" s="48">
        <v>5</v>
      </c>
      <c r="D54" s="48">
        <v>4.5</v>
      </c>
      <c r="E54" s="48">
        <v>5</v>
      </c>
      <c r="F54" s="93">
        <v>5</v>
      </c>
      <c r="G54" s="93">
        <v>4.5</v>
      </c>
      <c r="H54" s="93">
        <v>5</v>
      </c>
      <c r="I54" s="26">
        <v>1</v>
      </c>
      <c r="J54" s="26">
        <v>1</v>
      </c>
      <c r="K54" s="26">
        <v>1.5</v>
      </c>
      <c r="L54" s="30">
        <v>5</v>
      </c>
      <c r="M54" s="30">
        <v>2.5</v>
      </c>
      <c r="N54" s="30">
        <v>5</v>
      </c>
      <c r="O54" s="38">
        <v>3</v>
      </c>
      <c r="P54" s="38">
        <v>1.5</v>
      </c>
      <c r="Q54" s="38">
        <v>4.5</v>
      </c>
    </row>
    <row r="55" spans="1:17" x14ac:dyDescent="0.25">
      <c r="A55" s="380"/>
      <c r="B55" s="90" t="s">
        <v>92</v>
      </c>
      <c r="C55" s="48">
        <v>2</v>
      </c>
      <c r="D55" s="48">
        <v>1</v>
      </c>
      <c r="E55" s="48">
        <v>3</v>
      </c>
      <c r="F55" s="93">
        <v>5</v>
      </c>
      <c r="G55" s="93">
        <v>3.75</v>
      </c>
      <c r="H55" s="93">
        <v>5</v>
      </c>
      <c r="I55" s="26">
        <v>1</v>
      </c>
      <c r="J55" s="26">
        <v>1</v>
      </c>
      <c r="K55" s="26">
        <v>1.5</v>
      </c>
      <c r="L55" s="30">
        <v>5</v>
      </c>
      <c r="M55" s="30">
        <v>2.5</v>
      </c>
      <c r="N55" s="30">
        <v>5</v>
      </c>
      <c r="O55" s="38">
        <v>3</v>
      </c>
      <c r="P55" s="38">
        <v>2.7</v>
      </c>
      <c r="Q55" s="38">
        <v>3.3</v>
      </c>
    </row>
    <row r="56" spans="1:17" x14ac:dyDescent="0.25">
      <c r="A56" s="380"/>
      <c r="B56" s="90" t="s">
        <v>94</v>
      </c>
      <c r="C56" s="48">
        <v>3</v>
      </c>
      <c r="D56" s="48">
        <v>1.5</v>
      </c>
      <c r="E56" s="48">
        <v>4.5</v>
      </c>
      <c r="F56" s="93">
        <v>5</v>
      </c>
      <c r="G56" s="93">
        <v>3.75</v>
      </c>
      <c r="H56" s="93">
        <v>5</v>
      </c>
      <c r="I56" s="26">
        <v>1</v>
      </c>
      <c r="J56" s="26">
        <v>1</v>
      </c>
      <c r="K56" s="26">
        <v>1.5</v>
      </c>
      <c r="L56" s="30">
        <v>5</v>
      </c>
      <c r="M56" s="30">
        <v>2.5</v>
      </c>
      <c r="N56" s="30">
        <v>5</v>
      </c>
      <c r="O56" s="38">
        <v>3</v>
      </c>
      <c r="P56" s="38">
        <v>2.7</v>
      </c>
      <c r="Q56" s="38">
        <v>3.3</v>
      </c>
    </row>
    <row r="57" spans="1:17" x14ac:dyDescent="0.25">
      <c r="A57" s="380"/>
      <c r="B57" s="90" t="s">
        <v>96</v>
      </c>
      <c r="C57" s="48">
        <v>2</v>
      </c>
      <c r="D57" s="48">
        <v>1</v>
      </c>
      <c r="E57" s="48">
        <v>3</v>
      </c>
      <c r="F57" s="93">
        <v>5</v>
      </c>
      <c r="G57" s="93">
        <v>2.5</v>
      </c>
      <c r="H57" s="93">
        <v>5</v>
      </c>
      <c r="I57" s="26">
        <v>1</v>
      </c>
      <c r="J57" s="26">
        <v>1</v>
      </c>
      <c r="K57" s="26">
        <v>1.5</v>
      </c>
      <c r="L57" s="30">
        <v>5</v>
      </c>
      <c r="M57" s="30">
        <v>2.5</v>
      </c>
      <c r="N57" s="30">
        <v>5</v>
      </c>
      <c r="O57" s="38">
        <v>4</v>
      </c>
      <c r="P57" s="38">
        <v>2</v>
      </c>
      <c r="Q57" s="38">
        <v>5</v>
      </c>
    </row>
    <row r="58" spans="1:17" x14ac:dyDescent="0.25">
      <c r="A58" s="380"/>
      <c r="B58" s="90" t="s">
        <v>99</v>
      </c>
      <c r="C58" s="48">
        <v>4</v>
      </c>
      <c r="D58" s="48">
        <v>3</v>
      </c>
      <c r="E58" s="48">
        <v>5</v>
      </c>
      <c r="F58" s="93">
        <v>4</v>
      </c>
      <c r="G58" s="93">
        <v>3</v>
      </c>
      <c r="H58" s="93">
        <v>5</v>
      </c>
      <c r="I58" s="26">
        <v>1</v>
      </c>
      <c r="J58" s="26">
        <v>1</v>
      </c>
      <c r="K58" s="26">
        <v>1.5</v>
      </c>
      <c r="L58" s="30">
        <v>5</v>
      </c>
      <c r="M58" s="30">
        <v>2.5</v>
      </c>
      <c r="N58" s="30">
        <v>5</v>
      </c>
      <c r="O58" s="38">
        <v>3</v>
      </c>
      <c r="P58" s="38">
        <v>1.5</v>
      </c>
      <c r="Q58" s="38">
        <v>4.5</v>
      </c>
    </row>
    <row r="59" spans="1:17" x14ac:dyDescent="0.25">
      <c r="A59" s="380"/>
      <c r="B59" s="90" t="s">
        <v>148</v>
      </c>
      <c r="C59" s="48">
        <v>5</v>
      </c>
      <c r="D59" s="48">
        <v>3.75</v>
      </c>
      <c r="E59" s="48">
        <v>5</v>
      </c>
      <c r="F59" s="93">
        <v>5</v>
      </c>
      <c r="G59" s="93">
        <v>3.75</v>
      </c>
      <c r="H59" s="93">
        <v>5</v>
      </c>
      <c r="I59" s="26">
        <v>1</v>
      </c>
      <c r="J59" s="26">
        <v>1</v>
      </c>
      <c r="K59" s="26">
        <v>1.5</v>
      </c>
      <c r="L59" s="30">
        <v>5</v>
      </c>
      <c r="M59" s="30">
        <v>2.5</v>
      </c>
      <c r="N59" s="30">
        <v>5</v>
      </c>
      <c r="O59" s="38">
        <v>3</v>
      </c>
      <c r="P59" s="38">
        <v>1.5</v>
      </c>
      <c r="Q59" s="38">
        <v>4.5</v>
      </c>
    </row>
    <row r="60" spans="1:17" x14ac:dyDescent="0.25">
      <c r="A60" s="380"/>
      <c r="B60" s="90" t="s">
        <v>102</v>
      </c>
      <c r="C60" s="48">
        <v>1</v>
      </c>
      <c r="D60" s="48">
        <v>1</v>
      </c>
      <c r="E60" s="48">
        <v>1.5</v>
      </c>
      <c r="F60" s="93">
        <v>5</v>
      </c>
      <c r="G60" s="93">
        <v>2.5</v>
      </c>
      <c r="H60" s="93">
        <v>5</v>
      </c>
      <c r="I60" s="26">
        <v>1</v>
      </c>
      <c r="J60" s="26">
        <v>1</v>
      </c>
      <c r="K60" s="26">
        <v>1.25</v>
      </c>
      <c r="L60" s="30">
        <v>5</v>
      </c>
      <c r="M60" s="30">
        <v>2.5</v>
      </c>
      <c r="N60" s="30">
        <v>5</v>
      </c>
      <c r="O60" s="38">
        <v>3</v>
      </c>
      <c r="P60" s="38">
        <v>1.5</v>
      </c>
      <c r="Q60" s="38">
        <v>4.5</v>
      </c>
    </row>
    <row r="61" spans="1:17" x14ac:dyDescent="0.25">
      <c r="A61" s="192"/>
      <c r="B61" s="98" t="s">
        <v>325</v>
      </c>
      <c r="C61" s="48">
        <v>5</v>
      </c>
      <c r="D61" s="48">
        <v>4.5</v>
      </c>
      <c r="E61" s="48">
        <v>5</v>
      </c>
      <c r="F61" s="93">
        <v>5</v>
      </c>
      <c r="G61" s="93">
        <v>4.5</v>
      </c>
      <c r="H61" s="93">
        <v>5</v>
      </c>
      <c r="I61" s="26">
        <v>1</v>
      </c>
      <c r="J61" s="26">
        <v>1</v>
      </c>
      <c r="K61" s="26">
        <v>1.5</v>
      </c>
      <c r="L61" s="30">
        <v>5</v>
      </c>
      <c r="M61" s="30">
        <v>2.5</v>
      </c>
      <c r="N61" s="30">
        <v>5</v>
      </c>
      <c r="O61" s="38">
        <v>2</v>
      </c>
      <c r="P61" s="38">
        <v>1</v>
      </c>
      <c r="Q61" s="38">
        <v>3</v>
      </c>
    </row>
    <row r="62" spans="1:17" x14ac:dyDescent="0.25">
      <c r="A62" s="193"/>
      <c r="B62" s="98" t="s">
        <v>294</v>
      </c>
      <c r="C62" s="48">
        <v>3</v>
      </c>
      <c r="D62" s="48">
        <v>1.5</v>
      </c>
      <c r="E62" s="48">
        <v>4.5</v>
      </c>
      <c r="F62" s="93">
        <v>3</v>
      </c>
      <c r="G62" s="93">
        <v>1.5</v>
      </c>
      <c r="H62" s="93">
        <v>4.5</v>
      </c>
      <c r="I62" s="26">
        <v>1</v>
      </c>
      <c r="J62" s="26">
        <v>1</v>
      </c>
      <c r="K62" s="26">
        <v>1.5</v>
      </c>
      <c r="L62" s="30">
        <v>5</v>
      </c>
      <c r="M62" s="30">
        <v>2.5</v>
      </c>
      <c r="N62" s="30">
        <v>5</v>
      </c>
      <c r="O62" s="38">
        <v>4</v>
      </c>
      <c r="P62" s="38">
        <v>2</v>
      </c>
      <c r="Q62" s="38">
        <v>5</v>
      </c>
    </row>
    <row r="63" spans="1:17" x14ac:dyDescent="0.25">
      <c r="A63" s="378" t="s">
        <v>105</v>
      </c>
      <c r="B63" s="90" t="s">
        <v>585</v>
      </c>
      <c r="C63" s="48">
        <v>1</v>
      </c>
      <c r="D63" s="48">
        <v>1</v>
      </c>
      <c r="E63" s="48">
        <v>1.25</v>
      </c>
      <c r="F63" s="93">
        <v>5</v>
      </c>
      <c r="G63" s="93">
        <v>3.75</v>
      </c>
      <c r="H63" s="93">
        <v>5</v>
      </c>
      <c r="I63" s="26">
        <v>1</v>
      </c>
      <c r="J63" s="26">
        <v>1</v>
      </c>
      <c r="K63" s="26">
        <v>1.25</v>
      </c>
      <c r="L63" s="30">
        <v>1</v>
      </c>
      <c r="M63" s="30">
        <v>1</v>
      </c>
      <c r="N63" s="30">
        <v>1.25</v>
      </c>
      <c r="O63" s="38">
        <v>2</v>
      </c>
      <c r="P63" s="38">
        <v>1</v>
      </c>
      <c r="Q63" s="38">
        <v>3</v>
      </c>
    </row>
    <row r="64" spans="1:17" x14ac:dyDescent="0.25">
      <c r="A64" s="377"/>
      <c r="B64" s="90" t="s">
        <v>108</v>
      </c>
      <c r="C64" s="48">
        <v>1</v>
      </c>
      <c r="D64" s="48">
        <v>1</v>
      </c>
      <c r="E64" s="48">
        <v>1.5</v>
      </c>
      <c r="F64" s="93">
        <v>5</v>
      </c>
      <c r="G64" s="93">
        <v>2.5</v>
      </c>
      <c r="H64" s="93">
        <v>5</v>
      </c>
      <c r="I64" s="26">
        <v>1</v>
      </c>
      <c r="J64" s="26">
        <v>1</v>
      </c>
      <c r="K64" s="26">
        <v>1.25</v>
      </c>
      <c r="L64" s="30">
        <v>1</v>
      </c>
      <c r="M64" s="30">
        <v>1</v>
      </c>
      <c r="N64" s="30">
        <v>1.25</v>
      </c>
      <c r="O64" s="38">
        <v>2</v>
      </c>
      <c r="P64" s="38">
        <v>1.8</v>
      </c>
      <c r="Q64" s="38">
        <v>2.2000000000000002</v>
      </c>
    </row>
    <row r="65" spans="1:17" x14ac:dyDescent="0.25">
      <c r="A65" s="377"/>
      <c r="B65" s="90" t="s">
        <v>111</v>
      </c>
      <c r="C65" s="48">
        <v>1</v>
      </c>
      <c r="D65" s="48">
        <v>1</v>
      </c>
      <c r="E65" s="48">
        <v>1.25</v>
      </c>
      <c r="F65" s="93">
        <v>3</v>
      </c>
      <c r="G65" s="93">
        <v>1.5</v>
      </c>
      <c r="H65" s="93">
        <v>4.5</v>
      </c>
      <c r="I65" s="26">
        <v>1</v>
      </c>
      <c r="J65" s="26">
        <v>1</v>
      </c>
      <c r="K65" s="26">
        <v>1.25</v>
      </c>
      <c r="L65" s="30">
        <v>1</v>
      </c>
      <c r="M65" s="30">
        <v>1</v>
      </c>
      <c r="N65" s="30">
        <v>1.25</v>
      </c>
      <c r="O65" s="38">
        <v>2</v>
      </c>
      <c r="P65" s="38">
        <v>1</v>
      </c>
      <c r="Q65" s="38">
        <v>3</v>
      </c>
    </row>
    <row r="66" spans="1:17" x14ac:dyDescent="0.25">
      <c r="A66" s="377"/>
      <c r="B66" s="90" t="s">
        <v>114</v>
      </c>
      <c r="C66" s="48">
        <v>1</v>
      </c>
      <c r="D66" s="48">
        <v>1</v>
      </c>
      <c r="E66" s="48">
        <v>1.5</v>
      </c>
      <c r="F66" s="93">
        <v>4</v>
      </c>
      <c r="G66" s="93">
        <v>2</v>
      </c>
      <c r="H66" s="93">
        <v>5</v>
      </c>
      <c r="I66" s="26">
        <v>3</v>
      </c>
      <c r="J66" s="26">
        <v>1.5</v>
      </c>
      <c r="K66" s="26">
        <v>4.5</v>
      </c>
      <c r="L66" s="30">
        <v>1</v>
      </c>
      <c r="M66" s="30">
        <v>1</v>
      </c>
      <c r="N66" s="30">
        <v>1.5</v>
      </c>
      <c r="O66" s="38">
        <v>2</v>
      </c>
      <c r="P66" s="38">
        <v>1</v>
      </c>
      <c r="Q66" s="38">
        <v>3</v>
      </c>
    </row>
    <row r="67" spans="1:17" x14ac:dyDescent="0.25">
      <c r="A67" s="377" t="s">
        <v>117</v>
      </c>
      <c r="B67" s="90" t="s">
        <v>118</v>
      </c>
      <c r="C67" s="48">
        <v>2</v>
      </c>
      <c r="D67" s="48">
        <v>1</v>
      </c>
      <c r="E67" s="48">
        <v>3</v>
      </c>
      <c r="F67" s="93">
        <v>1</v>
      </c>
      <c r="G67" s="93">
        <v>1</v>
      </c>
      <c r="H67" s="93">
        <v>1.5</v>
      </c>
      <c r="I67" s="26">
        <v>5</v>
      </c>
      <c r="J67" s="26">
        <v>2.5</v>
      </c>
      <c r="K67" s="26">
        <v>5</v>
      </c>
      <c r="L67" s="30">
        <v>5</v>
      </c>
      <c r="M67" s="30">
        <v>3.75</v>
      </c>
      <c r="N67" s="30">
        <v>5</v>
      </c>
      <c r="O67" s="38">
        <v>3</v>
      </c>
      <c r="P67" s="38">
        <v>2.25</v>
      </c>
      <c r="Q67" s="38">
        <v>3.75</v>
      </c>
    </row>
    <row r="68" spans="1:17" x14ac:dyDescent="0.25">
      <c r="A68" s="377"/>
      <c r="B68" s="90" t="s">
        <v>586</v>
      </c>
      <c r="C68" s="48">
        <v>2</v>
      </c>
      <c r="D68" s="48">
        <v>1</v>
      </c>
      <c r="E68" s="48">
        <v>3</v>
      </c>
      <c r="F68" s="93">
        <v>1</v>
      </c>
      <c r="G68" s="93">
        <v>1</v>
      </c>
      <c r="H68" s="93">
        <v>1.5</v>
      </c>
      <c r="I68" s="26">
        <v>5</v>
      </c>
      <c r="J68" s="26">
        <v>2.5</v>
      </c>
      <c r="K68" s="26">
        <v>5</v>
      </c>
      <c r="L68" s="30">
        <v>5</v>
      </c>
      <c r="M68" s="30">
        <v>3.75</v>
      </c>
      <c r="N68" s="30">
        <v>5</v>
      </c>
      <c r="O68" s="38">
        <v>3</v>
      </c>
      <c r="P68" s="38">
        <v>2.25</v>
      </c>
      <c r="Q68" s="38">
        <v>3.75</v>
      </c>
    </row>
    <row r="69" spans="1:17" x14ac:dyDescent="0.25">
      <c r="A69" s="377"/>
      <c r="B69" s="90" t="s">
        <v>123</v>
      </c>
      <c r="C69" s="48">
        <v>2</v>
      </c>
      <c r="D69" s="48">
        <v>1</v>
      </c>
      <c r="E69" s="48">
        <v>3</v>
      </c>
      <c r="F69" s="93">
        <v>1</v>
      </c>
      <c r="G69" s="93">
        <v>1</v>
      </c>
      <c r="H69" s="93">
        <v>1.5</v>
      </c>
      <c r="I69" s="26">
        <v>5</v>
      </c>
      <c r="J69" s="26">
        <v>2.5</v>
      </c>
      <c r="K69" s="26">
        <v>5</v>
      </c>
      <c r="L69" s="30">
        <v>5</v>
      </c>
      <c r="M69" s="30">
        <v>3.75</v>
      </c>
      <c r="N69" s="30">
        <v>5</v>
      </c>
      <c r="O69" s="38">
        <v>3</v>
      </c>
      <c r="P69" s="38">
        <v>2.25</v>
      </c>
      <c r="Q69" s="38">
        <v>3.75</v>
      </c>
    </row>
    <row r="70" spans="1:17" x14ac:dyDescent="0.25">
      <c r="A70" s="377"/>
      <c r="B70" s="90" t="s">
        <v>587</v>
      </c>
      <c r="C70" s="48">
        <v>2</v>
      </c>
      <c r="D70" s="48">
        <v>1</v>
      </c>
      <c r="E70" s="48">
        <v>3</v>
      </c>
      <c r="F70" s="93">
        <v>1</v>
      </c>
      <c r="G70" s="93">
        <v>1</v>
      </c>
      <c r="H70" s="93">
        <v>1.5</v>
      </c>
      <c r="I70" s="26">
        <v>5</v>
      </c>
      <c r="J70" s="26">
        <v>2.5</v>
      </c>
      <c r="K70" s="26">
        <v>5</v>
      </c>
      <c r="L70" s="30">
        <v>5</v>
      </c>
      <c r="M70" s="30">
        <v>3.75</v>
      </c>
      <c r="N70" s="30">
        <v>5</v>
      </c>
      <c r="O70" s="38">
        <v>4</v>
      </c>
      <c r="P70" s="38">
        <v>3</v>
      </c>
      <c r="Q70" s="38">
        <v>5</v>
      </c>
    </row>
    <row r="71" spans="1:17" x14ac:dyDescent="0.25">
      <c r="A71" s="377"/>
      <c r="B71" s="98" t="s">
        <v>703</v>
      </c>
      <c r="C71" s="48">
        <v>2</v>
      </c>
      <c r="D71" s="48">
        <v>1</v>
      </c>
      <c r="E71" s="48">
        <v>3</v>
      </c>
      <c r="F71" s="93">
        <v>1</v>
      </c>
      <c r="G71" s="93">
        <v>1</v>
      </c>
      <c r="H71" s="93">
        <v>1.5</v>
      </c>
      <c r="I71" s="26">
        <v>5</v>
      </c>
      <c r="J71" s="26">
        <v>2.5</v>
      </c>
      <c r="K71" s="26">
        <v>5</v>
      </c>
      <c r="L71" s="30">
        <v>5</v>
      </c>
      <c r="M71" s="30">
        <v>3.75</v>
      </c>
      <c r="N71" s="30">
        <v>5</v>
      </c>
      <c r="O71" s="38">
        <v>4</v>
      </c>
      <c r="P71" s="38">
        <v>2</v>
      </c>
      <c r="Q71" s="38">
        <v>5</v>
      </c>
    </row>
    <row r="72" spans="1:17" x14ac:dyDescent="0.25">
      <c r="A72" s="377"/>
      <c r="B72" s="90" t="s">
        <v>127</v>
      </c>
      <c r="C72" s="48">
        <v>2</v>
      </c>
      <c r="D72" s="48">
        <v>1</v>
      </c>
      <c r="E72" s="48">
        <v>3</v>
      </c>
      <c r="F72" s="93">
        <v>1</v>
      </c>
      <c r="G72" s="93">
        <v>1</v>
      </c>
      <c r="H72" s="93">
        <v>1.5</v>
      </c>
      <c r="I72" s="26">
        <v>5</v>
      </c>
      <c r="J72" s="26">
        <v>2.5</v>
      </c>
      <c r="K72" s="26">
        <v>5</v>
      </c>
      <c r="L72" s="30">
        <v>5</v>
      </c>
      <c r="M72" s="30">
        <v>4.5</v>
      </c>
      <c r="N72" s="30">
        <v>5</v>
      </c>
      <c r="O72" s="38">
        <v>3</v>
      </c>
      <c r="P72" s="38">
        <v>2.7</v>
      </c>
      <c r="Q72" s="38">
        <v>3.3</v>
      </c>
    </row>
    <row r="73" spans="1:17" x14ac:dyDescent="0.25">
      <c r="A73" s="377"/>
      <c r="B73" s="90" t="s">
        <v>588</v>
      </c>
      <c r="C73" s="48">
        <v>1</v>
      </c>
      <c r="D73" s="48">
        <v>1</v>
      </c>
      <c r="E73" s="48">
        <v>1.5</v>
      </c>
      <c r="F73" s="93">
        <v>1</v>
      </c>
      <c r="G73" s="93">
        <v>1</v>
      </c>
      <c r="H73" s="93">
        <v>1.5</v>
      </c>
      <c r="I73" s="26">
        <v>5</v>
      </c>
      <c r="J73" s="26">
        <v>2.5</v>
      </c>
      <c r="K73" s="26">
        <v>5</v>
      </c>
      <c r="L73" s="30">
        <v>5</v>
      </c>
      <c r="M73" s="30">
        <v>3.75</v>
      </c>
      <c r="N73" s="30">
        <v>5</v>
      </c>
      <c r="O73" s="38">
        <v>3</v>
      </c>
      <c r="P73" s="38">
        <v>2.25</v>
      </c>
      <c r="Q73" s="38">
        <v>3.75</v>
      </c>
    </row>
    <row r="74" spans="1:17" x14ac:dyDescent="0.25">
      <c r="A74" s="377"/>
      <c r="B74" s="90" t="s">
        <v>129</v>
      </c>
      <c r="C74" s="48">
        <v>1</v>
      </c>
      <c r="D74" s="48">
        <v>1</v>
      </c>
      <c r="E74" s="48">
        <v>1.5</v>
      </c>
      <c r="F74" s="93">
        <v>1</v>
      </c>
      <c r="G74" s="93">
        <v>1</v>
      </c>
      <c r="H74" s="93">
        <v>1.5</v>
      </c>
      <c r="I74" s="26">
        <v>5</v>
      </c>
      <c r="J74" s="26">
        <v>2.5</v>
      </c>
      <c r="K74" s="26">
        <v>5</v>
      </c>
      <c r="L74" s="30">
        <v>5</v>
      </c>
      <c r="M74" s="30">
        <v>3.75</v>
      </c>
      <c r="N74" s="30">
        <v>5</v>
      </c>
      <c r="O74" s="38">
        <v>3</v>
      </c>
      <c r="P74" s="38">
        <v>2.25</v>
      </c>
      <c r="Q74" s="38">
        <v>3.75</v>
      </c>
    </row>
    <row r="75" spans="1:17" x14ac:dyDescent="0.25">
      <c r="A75" s="377"/>
      <c r="B75" s="90" t="s">
        <v>131</v>
      </c>
      <c r="C75" s="48">
        <v>1</v>
      </c>
      <c r="D75" s="48">
        <v>1</v>
      </c>
      <c r="E75" s="48">
        <v>1.5</v>
      </c>
      <c r="F75" s="93">
        <v>1</v>
      </c>
      <c r="G75" s="93">
        <v>1</v>
      </c>
      <c r="H75" s="93">
        <v>1.5</v>
      </c>
      <c r="I75" s="26">
        <v>5</v>
      </c>
      <c r="J75" s="26">
        <v>2.5</v>
      </c>
      <c r="K75" s="26">
        <v>5</v>
      </c>
      <c r="L75" s="30">
        <v>5</v>
      </c>
      <c r="M75" s="30">
        <v>3.75</v>
      </c>
      <c r="N75" s="30">
        <v>5</v>
      </c>
      <c r="O75" s="38">
        <v>3</v>
      </c>
      <c r="P75" s="38">
        <v>2.25</v>
      </c>
      <c r="Q75" s="38">
        <v>3.75</v>
      </c>
    </row>
    <row r="76" spans="1:17" x14ac:dyDescent="0.25">
      <c r="A76" s="377"/>
      <c r="B76" s="98" t="s">
        <v>288</v>
      </c>
      <c r="C76" s="48">
        <v>1</v>
      </c>
      <c r="D76" s="48">
        <v>1</v>
      </c>
      <c r="E76" s="48">
        <v>1.5</v>
      </c>
      <c r="F76" s="93">
        <v>1</v>
      </c>
      <c r="G76" s="93">
        <v>1</v>
      </c>
      <c r="H76" s="93">
        <v>1.5</v>
      </c>
      <c r="I76" s="26">
        <v>5</v>
      </c>
      <c r="J76" s="26">
        <v>2.5</v>
      </c>
      <c r="K76" s="26">
        <v>5</v>
      </c>
      <c r="L76" s="30">
        <v>5</v>
      </c>
      <c r="M76" s="30">
        <v>3.75</v>
      </c>
      <c r="N76" s="30">
        <v>5</v>
      </c>
      <c r="O76" s="38">
        <v>2</v>
      </c>
      <c r="P76" s="38">
        <v>1.5</v>
      </c>
      <c r="Q76" s="38">
        <v>2.5</v>
      </c>
    </row>
    <row r="77" spans="1:17" x14ac:dyDescent="0.25">
      <c r="A77" s="377"/>
      <c r="B77" s="90" t="s">
        <v>133</v>
      </c>
      <c r="C77" s="48">
        <v>1</v>
      </c>
      <c r="D77" s="48">
        <v>1</v>
      </c>
      <c r="E77" s="48">
        <v>1.5</v>
      </c>
      <c r="F77" s="93">
        <v>1</v>
      </c>
      <c r="G77" s="93">
        <v>1</v>
      </c>
      <c r="H77" s="93">
        <v>1.5</v>
      </c>
      <c r="I77" s="26">
        <v>5</v>
      </c>
      <c r="J77" s="26">
        <v>2.5</v>
      </c>
      <c r="K77" s="26">
        <v>5</v>
      </c>
      <c r="L77" s="30">
        <v>5</v>
      </c>
      <c r="M77" s="30">
        <v>2.5</v>
      </c>
      <c r="N77" s="30">
        <v>5</v>
      </c>
      <c r="O77" s="38">
        <v>3</v>
      </c>
      <c r="P77" s="38">
        <v>2.25</v>
      </c>
      <c r="Q77" s="38">
        <v>3.75</v>
      </c>
    </row>
  </sheetData>
  <mergeCells count="10">
    <mergeCell ref="A41:A42"/>
    <mergeCell ref="A43:A60"/>
    <mergeCell ref="A63:A66"/>
    <mergeCell ref="A67:A77"/>
    <mergeCell ref="A2:A7"/>
    <mergeCell ref="A8:A10"/>
    <mergeCell ref="A12:A14"/>
    <mergeCell ref="A17:A34"/>
    <mergeCell ref="A36:A37"/>
    <mergeCell ref="A38:A4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7"/>
  <sheetViews>
    <sheetView topLeftCell="B97" zoomScaleNormal="100" workbookViewId="0">
      <selection activeCell="B38" sqref="B38"/>
    </sheetView>
  </sheetViews>
  <sheetFormatPr defaultRowHeight="15.75" x14ac:dyDescent="0.25"/>
  <cols>
    <col min="1" max="1" width="10.875" customWidth="1"/>
    <col min="2" max="2" width="22.25" customWidth="1"/>
    <col min="9" max="10" width="0" hidden="1" customWidth="1"/>
  </cols>
  <sheetData>
    <row r="1" spans="1:10" ht="30" x14ac:dyDescent="0.25">
      <c r="A1" s="149" t="s">
        <v>146</v>
      </c>
      <c r="B1" s="327" t="s">
        <v>147</v>
      </c>
      <c r="C1" s="6" t="s">
        <v>983</v>
      </c>
      <c r="D1" s="6" t="s">
        <v>963</v>
      </c>
      <c r="E1" s="6" t="s">
        <v>964</v>
      </c>
      <c r="F1" s="94" t="s">
        <v>984</v>
      </c>
      <c r="G1" s="94" t="s">
        <v>965</v>
      </c>
      <c r="H1" s="94" t="s">
        <v>965</v>
      </c>
    </row>
    <row r="2" spans="1:10" x14ac:dyDescent="0.25">
      <c r="A2" s="377" t="s">
        <v>58</v>
      </c>
      <c r="B2" s="90" t="s">
        <v>59</v>
      </c>
      <c r="C2" s="265">
        <v>3</v>
      </c>
      <c r="D2" s="48">
        <v>1.5</v>
      </c>
      <c r="E2" s="48">
        <v>1.5</v>
      </c>
      <c r="F2" s="267">
        <v>3</v>
      </c>
      <c r="G2" s="93">
        <f>F2-I2</f>
        <v>1.5</v>
      </c>
      <c r="H2" s="93">
        <f>J2-F2</f>
        <v>1.5</v>
      </c>
      <c r="I2" s="267">
        <v>1.5</v>
      </c>
      <c r="J2" s="267">
        <v>4.5</v>
      </c>
    </row>
    <row r="3" spans="1:10" x14ac:dyDescent="0.25">
      <c r="A3" s="377"/>
      <c r="B3" s="90" t="s">
        <v>61</v>
      </c>
      <c r="C3" s="48">
        <v>4</v>
      </c>
      <c r="D3" s="48">
        <v>1</v>
      </c>
      <c r="E3" s="48">
        <v>1</v>
      </c>
      <c r="F3" s="93">
        <v>2</v>
      </c>
      <c r="G3" s="93">
        <f t="shared" ref="G3:G66" si="0">F3-I3</f>
        <v>1</v>
      </c>
      <c r="H3" s="93">
        <f t="shared" ref="H3:H66" si="1">J3-F3</f>
        <v>1</v>
      </c>
      <c r="I3" s="93">
        <v>1</v>
      </c>
      <c r="J3" s="93">
        <v>3</v>
      </c>
    </row>
    <row r="4" spans="1:10" x14ac:dyDescent="0.25">
      <c r="A4" s="377"/>
      <c r="B4" s="90" t="s">
        <v>574</v>
      </c>
      <c r="C4" s="48">
        <v>3</v>
      </c>
      <c r="D4" s="48">
        <v>0.75</v>
      </c>
      <c r="E4" s="48">
        <v>0.75</v>
      </c>
      <c r="F4" s="93">
        <v>3</v>
      </c>
      <c r="G4" s="93">
        <f t="shared" si="0"/>
        <v>0.75</v>
      </c>
      <c r="H4" s="93">
        <f t="shared" si="1"/>
        <v>0.75</v>
      </c>
      <c r="I4" s="93">
        <v>2.25</v>
      </c>
      <c r="J4" s="93">
        <v>3.75</v>
      </c>
    </row>
    <row r="5" spans="1:10" x14ac:dyDescent="0.25">
      <c r="A5" s="377"/>
      <c r="B5" s="90" t="s">
        <v>64</v>
      </c>
      <c r="C5" s="48">
        <v>1</v>
      </c>
      <c r="D5" s="48">
        <v>0</v>
      </c>
      <c r="E5" s="48">
        <v>0.5</v>
      </c>
      <c r="F5" s="93">
        <v>1</v>
      </c>
      <c r="G5" s="93">
        <f t="shared" si="0"/>
        <v>0</v>
      </c>
      <c r="H5" s="93">
        <f t="shared" si="1"/>
        <v>0.5</v>
      </c>
      <c r="I5" s="93">
        <v>1</v>
      </c>
      <c r="J5" s="93">
        <v>1.5</v>
      </c>
    </row>
    <row r="6" spans="1:10" x14ac:dyDescent="0.25">
      <c r="A6" s="377"/>
      <c r="B6" s="90" t="s">
        <v>65</v>
      </c>
      <c r="C6" s="48">
        <v>1</v>
      </c>
      <c r="D6" s="48">
        <v>0</v>
      </c>
      <c r="E6" s="48">
        <v>0.25</v>
      </c>
      <c r="F6" s="93">
        <v>1</v>
      </c>
      <c r="G6" s="93">
        <f t="shared" si="0"/>
        <v>0</v>
      </c>
      <c r="H6" s="93">
        <f t="shared" si="1"/>
        <v>0.25</v>
      </c>
      <c r="I6" s="93">
        <v>1</v>
      </c>
      <c r="J6" s="93">
        <v>1.25</v>
      </c>
    </row>
    <row r="7" spans="1:10" x14ac:dyDescent="0.25">
      <c r="A7" s="379"/>
      <c r="B7" s="90" t="s">
        <v>578</v>
      </c>
      <c r="C7" s="48">
        <v>1</v>
      </c>
      <c r="D7" s="48">
        <v>0</v>
      </c>
      <c r="E7" s="48">
        <v>0.10000000000000009</v>
      </c>
      <c r="F7" s="93">
        <v>1</v>
      </c>
      <c r="G7" s="93">
        <f t="shared" si="0"/>
        <v>0</v>
      </c>
      <c r="H7" s="93">
        <f t="shared" si="1"/>
        <v>0.10000000000000009</v>
      </c>
      <c r="I7" s="93">
        <v>1</v>
      </c>
      <c r="J7" s="93">
        <v>1.1000000000000001</v>
      </c>
    </row>
    <row r="8" spans="1:10" x14ac:dyDescent="0.25">
      <c r="A8" s="381" t="s">
        <v>8</v>
      </c>
      <c r="B8" s="90" t="s">
        <v>9</v>
      </c>
      <c r="C8" s="48">
        <v>1</v>
      </c>
      <c r="D8" s="48">
        <v>0</v>
      </c>
      <c r="E8" s="48">
        <v>0.5</v>
      </c>
      <c r="F8" s="93">
        <v>2</v>
      </c>
      <c r="G8" s="93">
        <f t="shared" si="0"/>
        <v>1</v>
      </c>
      <c r="H8" s="93">
        <f t="shared" si="1"/>
        <v>1</v>
      </c>
      <c r="I8" s="93">
        <v>1</v>
      </c>
      <c r="J8" s="93">
        <v>3</v>
      </c>
    </row>
    <row r="9" spans="1:10" x14ac:dyDescent="0.25">
      <c r="A9" s="382"/>
      <c r="B9" s="90" t="s">
        <v>14</v>
      </c>
      <c r="C9" s="48">
        <v>1</v>
      </c>
      <c r="D9" s="48">
        <v>0</v>
      </c>
      <c r="E9" s="48">
        <v>0.5</v>
      </c>
      <c r="F9" s="93">
        <v>3</v>
      </c>
      <c r="G9" s="93">
        <f t="shared" si="0"/>
        <v>1.5</v>
      </c>
      <c r="H9" s="93">
        <f t="shared" si="1"/>
        <v>1.5</v>
      </c>
      <c r="I9" s="93">
        <v>1.5</v>
      </c>
      <c r="J9" s="93">
        <v>4.5</v>
      </c>
    </row>
    <row r="10" spans="1:10" x14ac:dyDescent="0.25">
      <c r="A10" s="382"/>
      <c r="B10" s="98" t="s">
        <v>572</v>
      </c>
      <c r="C10" s="48">
        <v>1</v>
      </c>
      <c r="D10" s="48">
        <v>0</v>
      </c>
      <c r="E10" s="48">
        <v>0.25</v>
      </c>
      <c r="F10" s="93">
        <v>2</v>
      </c>
      <c r="G10" s="93">
        <f t="shared" si="0"/>
        <v>0.5</v>
      </c>
      <c r="H10" s="93">
        <f t="shared" si="1"/>
        <v>0.5</v>
      </c>
      <c r="I10" s="93">
        <v>1.5</v>
      </c>
      <c r="J10" s="93">
        <v>2.5</v>
      </c>
    </row>
    <row r="11" spans="1:10" x14ac:dyDescent="0.25">
      <c r="A11" s="195"/>
      <c r="B11" s="98" t="s">
        <v>331</v>
      </c>
      <c r="C11" s="48">
        <v>1</v>
      </c>
      <c r="D11" s="48">
        <v>0</v>
      </c>
      <c r="E11" s="48">
        <v>0.5</v>
      </c>
      <c r="F11" s="93">
        <v>2</v>
      </c>
      <c r="G11" s="93">
        <f t="shared" si="0"/>
        <v>1</v>
      </c>
      <c r="H11" s="93">
        <f t="shared" si="1"/>
        <v>1</v>
      </c>
      <c r="I11" s="93">
        <v>1</v>
      </c>
      <c r="J11" s="93">
        <v>3</v>
      </c>
    </row>
    <row r="12" spans="1:10" x14ac:dyDescent="0.25">
      <c r="A12" s="380" t="s">
        <v>19</v>
      </c>
      <c r="B12" s="98" t="s">
        <v>565</v>
      </c>
      <c r="C12" s="48">
        <v>2</v>
      </c>
      <c r="D12" s="48">
        <v>1</v>
      </c>
      <c r="E12" s="48">
        <v>1</v>
      </c>
      <c r="F12" s="93">
        <v>1</v>
      </c>
      <c r="G12" s="93">
        <f t="shared" si="0"/>
        <v>0</v>
      </c>
      <c r="H12" s="93">
        <f t="shared" si="1"/>
        <v>0.5</v>
      </c>
      <c r="I12" s="93">
        <v>1</v>
      </c>
      <c r="J12" s="93">
        <v>1.5</v>
      </c>
    </row>
    <row r="13" spans="1:10" x14ac:dyDescent="0.25">
      <c r="A13" s="380"/>
      <c r="B13" s="90" t="s">
        <v>21</v>
      </c>
      <c r="C13" s="48">
        <v>3</v>
      </c>
      <c r="D13" s="48">
        <v>1.5</v>
      </c>
      <c r="E13" s="48">
        <v>1.5</v>
      </c>
      <c r="F13" s="93">
        <v>1</v>
      </c>
      <c r="G13" s="93">
        <f t="shared" si="0"/>
        <v>0</v>
      </c>
      <c r="H13" s="93">
        <f t="shared" si="1"/>
        <v>0.5</v>
      </c>
      <c r="I13" s="93">
        <v>1</v>
      </c>
      <c r="J13" s="93">
        <v>1.5</v>
      </c>
    </row>
    <row r="14" spans="1:10" x14ac:dyDescent="0.25">
      <c r="A14" s="380"/>
      <c r="B14" s="98" t="s">
        <v>22</v>
      </c>
      <c r="C14" s="48">
        <v>3</v>
      </c>
      <c r="D14" s="48">
        <v>1.5</v>
      </c>
      <c r="E14" s="48">
        <v>1.5</v>
      </c>
      <c r="F14" s="93">
        <v>1</v>
      </c>
      <c r="G14" s="93">
        <f t="shared" si="0"/>
        <v>0</v>
      </c>
      <c r="H14" s="93">
        <f t="shared" si="1"/>
        <v>0.5</v>
      </c>
      <c r="I14" s="93">
        <v>1</v>
      </c>
      <c r="J14" s="93">
        <v>1.5</v>
      </c>
    </row>
    <row r="15" spans="1:10" x14ac:dyDescent="0.25">
      <c r="A15" s="194"/>
      <c r="B15" s="98" t="s">
        <v>332</v>
      </c>
      <c r="C15" s="48">
        <v>3</v>
      </c>
      <c r="D15" s="48">
        <v>1.5</v>
      </c>
      <c r="E15" s="48">
        <v>1.5</v>
      </c>
      <c r="F15" s="93">
        <v>2</v>
      </c>
      <c r="G15" s="93">
        <f t="shared" si="0"/>
        <v>1</v>
      </c>
      <c r="H15" s="93">
        <f t="shared" si="1"/>
        <v>1</v>
      </c>
      <c r="I15" s="93">
        <v>1</v>
      </c>
      <c r="J15" s="93">
        <v>3</v>
      </c>
    </row>
    <row r="16" spans="1:10" x14ac:dyDescent="0.25">
      <c r="A16" s="195"/>
      <c r="B16" s="98" t="s">
        <v>333</v>
      </c>
      <c r="C16" s="48">
        <v>3</v>
      </c>
      <c r="D16" s="48">
        <v>1.5</v>
      </c>
      <c r="E16" s="48">
        <v>1.5</v>
      </c>
      <c r="F16" s="93">
        <v>1</v>
      </c>
      <c r="G16" s="93">
        <f t="shared" si="0"/>
        <v>0</v>
      </c>
      <c r="H16" s="93">
        <f t="shared" si="1"/>
        <v>0.5</v>
      </c>
      <c r="I16" s="93">
        <v>1</v>
      </c>
      <c r="J16" s="93">
        <v>1.5</v>
      </c>
    </row>
    <row r="17" spans="1:10" x14ac:dyDescent="0.25">
      <c r="A17" s="377" t="s">
        <v>25</v>
      </c>
      <c r="B17" s="98" t="s">
        <v>566</v>
      </c>
      <c r="C17" s="48">
        <v>3</v>
      </c>
      <c r="D17" s="48">
        <v>0.75</v>
      </c>
      <c r="E17" s="48">
        <v>0.75</v>
      </c>
      <c r="F17" s="93">
        <v>4</v>
      </c>
      <c r="G17" s="93">
        <f t="shared" si="0"/>
        <v>2</v>
      </c>
      <c r="H17" s="93">
        <f t="shared" si="1"/>
        <v>1</v>
      </c>
      <c r="I17" s="93">
        <v>2</v>
      </c>
      <c r="J17" s="93">
        <v>5</v>
      </c>
    </row>
    <row r="18" spans="1:10" x14ac:dyDescent="0.25">
      <c r="A18" s="377"/>
      <c r="B18" s="98" t="s">
        <v>29</v>
      </c>
      <c r="C18" s="48">
        <v>3</v>
      </c>
      <c r="D18" s="48">
        <v>0.75</v>
      </c>
      <c r="E18" s="48">
        <v>0.75</v>
      </c>
      <c r="F18" s="93">
        <v>4</v>
      </c>
      <c r="G18" s="93">
        <f t="shared" si="0"/>
        <v>2</v>
      </c>
      <c r="H18" s="93">
        <f t="shared" si="1"/>
        <v>1</v>
      </c>
      <c r="I18" s="93">
        <v>2</v>
      </c>
      <c r="J18" s="93">
        <v>5</v>
      </c>
    </row>
    <row r="19" spans="1:10" x14ac:dyDescent="0.25">
      <c r="A19" s="377"/>
      <c r="B19" s="98" t="s">
        <v>799</v>
      </c>
      <c r="C19" s="48">
        <v>3</v>
      </c>
      <c r="D19" s="48">
        <v>1.5</v>
      </c>
      <c r="E19" s="48">
        <v>1.5</v>
      </c>
      <c r="F19" s="93">
        <v>4</v>
      </c>
      <c r="G19" s="93">
        <f t="shared" si="0"/>
        <v>2</v>
      </c>
      <c r="H19" s="93">
        <f t="shared" si="1"/>
        <v>1</v>
      </c>
      <c r="I19" s="93">
        <v>2</v>
      </c>
      <c r="J19" s="93">
        <v>5</v>
      </c>
    </row>
    <row r="20" spans="1:10" x14ac:dyDescent="0.25">
      <c r="A20" s="377"/>
      <c r="B20" s="98" t="s">
        <v>567</v>
      </c>
      <c r="C20" s="48">
        <v>3</v>
      </c>
      <c r="D20" s="48">
        <v>1.5</v>
      </c>
      <c r="E20" s="48">
        <v>1.5</v>
      </c>
      <c r="F20" s="93">
        <v>3</v>
      </c>
      <c r="G20" s="93">
        <f t="shared" si="0"/>
        <v>1.5</v>
      </c>
      <c r="H20" s="93">
        <f t="shared" si="1"/>
        <v>1.5</v>
      </c>
      <c r="I20" s="93">
        <v>1.5</v>
      </c>
      <c r="J20" s="93">
        <v>4.5</v>
      </c>
    </row>
    <row r="21" spans="1:10" x14ac:dyDescent="0.25">
      <c r="A21" s="377"/>
      <c r="B21" s="98" t="s">
        <v>34</v>
      </c>
      <c r="C21" s="48">
        <v>3</v>
      </c>
      <c r="D21" s="48">
        <v>0.75</v>
      </c>
      <c r="E21" s="48">
        <v>0.75</v>
      </c>
      <c r="F21" s="93">
        <v>3</v>
      </c>
      <c r="G21" s="93">
        <f t="shared" si="0"/>
        <v>0.75</v>
      </c>
      <c r="H21" s="93">
        <f t="shared" si="1"/>
        <v>0.75</v>
      </c>
      <c r="I21" s="93">
        <v>2.25</v>
      </c>
      <c r="J21" s="93">
        <v>3.75</v>
      </c>
    </row>
    <row r="22" spans="1:10" x14ac:dyDescent="0.25">
      <c r="A22" s="377"/>
      <c r="B22" s="98" t="s">
        <v>568</v>
      </c>
      <c r="C22" s="48">
        <v>3</v>
      </c>
      <c r="D22" s="48">
        <v>1.5</v>
      </c>
      <c r="E22" s="48">
        <v>1.5</v>
      </c>
      <c r="F22" s="93">
        <v>3</v>
      </c>
      <c r="G22" s="93">
        <f t="shared" si="0"/>
        <v>1.5</v>
      </c>
      <c r="H22" s="93">
        <f t="shared" si="1"/>
        <v>1.5</v>
      </c>
      <c r="I22" s="93">
        <v>1.5</v>
      </c>
      <c r="J22" s="93">
        <v>4.5</v>
      </c>
    </row>
    <row r="23" spans="1:10" x14ac:dyDescent="0.25">
      <c r="A23" s="377"/>
      <c r="B23" s="98" t="s">
        <v>569</v>
      </c>
      <c r="C23" s="48">
        <v>3</v>
      </c>
      <c r="D23" s="48">
        <v>1.5</v>
      </c>
      <c r="E23" s="48">
        <v>1.5</v>
      </c>
      <c r="F23" s="93">
        <v>4</v>
      </c>
      <c r="G23" s="93">
        <f t="shared" si="0"/>
        <v>2</v>
      </c>
      <c r="H23" s="93">
        <f t="shared" si="1"/>
        <v>1</v>
      </c>
      <c r="I23" s="93">
        <v>2</v>
      </c>
      <c r="J23" s="93">
        <v>5</v>
      </c>
    </row>
    <row r="24" spans="1:10" x14ac:dyDescent="0.25">
      <c r="A24" s="377"/>
      <c r="B24" s="98" t="s">
        <v>570</v>
      </c>
      <c r="C24" s="48">
        <v>3</v>
      </c>
      <c r="D24" s="48">
        <v>1.5</v>
      </c>
      <c r="E24" s="48">
        <v>1.5</v>
      </c>
      <c r="F24" s="93">
        <v>3</v>
      </c>
      <c r="G24" s="93">
        <f t="shared" si="0"/>
        <v>1.5</v>
      </c>
      <c r="H24" s="93">
        <f t="shared" si="1"/>
        <v>1.5</v>
      </c>
      <c r="I24" s="93">
        <v>1.5</v>
      </c>
      <c r="J24" s="93">
        <v>4.5</v>
      </c>
    </row>
    <row r="25" spans="1:10" x14ac:dyDescent="0.25">
      <c r="A25" s="377"/>
      <c r="B25" s="98" t="s">
        <v>36</v>
      </c>
      <c r="C25" s="48">
        <v>3</v>
      </c>
      <c r="D25" s="48">
        <v>0.75</v>
      </c>
      <c r="E25" s="48">
        <v>0.75</v>
      </c>
      <c r="F25" s="93">
        <v>3</v>
      </c>
      <c r="G25" s="93">
        <f t="shared" si="0"/>
        <v>0.75</v>
      </c>
      <c r="H25" s="93">
        <f t="shared" si="1"/>
        <v>0.75</v>
      </c>
      <c r="I25" s="93">
        <v>2.25</v>
      </c>
      <c r="J25" s="93">
        <v>3.75</v>
      </c>
    </row>
    <row r="26" spans="1:10" x14ac:dyDescent="0.25">
      <c r="A26" s="377"/>
      <c r="B26" s="98" t="s">
        <v>293</v>
      </c>
      <c r="C26" s="48">
        <v>3</v>
      </c>
      <c r="D26" s="48">
        <v>1.5</v>
      </c>
      <c r="E26" s="48">
        <v>1.5</v>
      </c>
      <c r="F26" s="93">
        <v>3</v>
      </c>
      <c r="G26" s="93">
        <f t="shared" si="0"/>
        <v>1.5</v>
      </c>
      <c r="H26" s="93">
        <f t="shared" si="1"/>
        <v>1.5</v>
      </c>
      <c r="I26" s="93">
        <v>1.5</v>
      </c>
      <c r="J26" s="93">
        <v>4.5</v>
      </c>
    </row>
    <row r="27" spans="1:10" x14ac:dyDescent="0.25">
      <c r="A27" s="377"/>
      <c r="B27" s="98" t="s">
        <v>37</v>
      </c>
      <c r="C27" s="48">
        <v>4</v>
      </c>
      <c r="D27" s="48">
        <v>1</v>
      </c>
      <c r="E27" s="48">
        <v>1</v>
      </c>
      <c r="F27" s="93">
        <v>2</v>
      </c>
      <c r="G27" s="93">
        <f t="shared" si="0"/>
        <v>0.5</v>
      </c>
      <c r="H27" s="93">
        <f t="shared" si="1"/>
        <v>0.5</v>
      </c>
      <c r="I27" s="93">
        <v>1.5</v>
      </c>
      <c r="J27" s="93">
        <v>2.5</v>
      </c>
    </row>
    <row r="28" spans="1:10" x14ac:dyDescent="0.25">
      <c r="A28" s="377"/>
      <c r="B28" s="98" t="s">
        <v>291</v>
      </c>
      <c r="C28" s="48">
        <v>3</v>
      </c>
      <c r="D28" s="48">
        <v>1.5</v>
      </c>
      <c r="E28" s="48">
        <v>1.5</v>
      </c>
      <c r="F28" s="93">
        <v>5</v>
      </c>
      <c r="G28" s="93">
        <f t="shared" si="0"/>
        <v>2.5</v>
      </c>
      <c r="H28" s="93">
        <f t="shared" si="1"/>
        <v>0</v>
      </c>
      <c r="I28" s="93">
        <v>2.5</v>
      </c>
      <c r="J28" s="93">
        <v>5</v>
      </c>
    </row>
    <row r="29" spans="1:10" x14ac:dyDescent="0.25">
      <c r="A29" s="377"/>
      <c r="B29" s="98" t="s">
        <v>287</v>
      </c>
      <c r="C29" s="48">
        <v>5</v>
      </c>
      <c r="D29" s="48">
        <v>3</v>
      </c>
      <c r="E29" s="48">
        <v>0</v>
      </c>
      <c r="F29" s="93">
        <v>5</v>
      </c>
      <c r="G29" s="93">
        <f t="shared" si="0"/>
        <v>2.5</v>
      </c>
      <c r="H29" s="93">
        <f t="shared" si="1"/>
        <v>0</v>
      </c>
      <c r="I29" s="93">
        <v>2.5</v>
      </c>
      <c r="J29" s="93">
        <v>5</v>
      </c>
    </row>
    <row r="30" spans="1:10" x14ac:dyDescent="0.25">
      <c r="A30" s="377"/>
      <c r="B30" s="98" t="s">
        <v>261</v>
      </c>
      <c r="C30" s="48">
        <v>4</v>
      </c>
      <c r="D30" s="48">
        <v>2.5</v>
      </c>
      <c r="E30" s="48">
        <v>0.5</v>
      </c>
      <c r="F30" s="93">
        <v>5</v>
      </c>
      <c r="G30" s="93">
        <f t="shared" si="0"/>
        <v>2.5</v>
      </c>
      <c r="H30" s="93">
        <f t="shared" si="1"/>
        <v>0</v>
      </c>
      <c r="I30" s="93">
        <v>2.5</v>
      </c>
      <c r="J30" s="93">
        <v>5</v>
      </c>
    </row>
    <row r="31" spans="1:10" x14ac:dyDescent="0.25">
      <c r="A31" s="377"/>
      <c r="B31" s="98" t="s">
        <v>40</v>
      </c>
      <c r="C31" s="48">
        <v>4</v>
      </c>
      <c r="D31" s="48">
        <v>2</v>
      </c>
      <c r="E31" s="48">
        <v>1</v>
      </c>
      <c r="F31" s="93">
        <v>3</v>
      </c>
      <c r="G31" s="93">
        <f t="shared" si="0"/>
        <v>1.5</v>
      </c>
      <c r="H31" s="93">
        <f t="shared" si="1"/>
        <v>1.5</v>
      </c>
      <c r="I31" s="93">
        <v>1.5</v>
      </c>
      <c r="J31" s="93">
        <v>4.5</v>
      </c>
    </row>
    <row r="32" spans="1:10" x14ac:dyDescent="0.25">
      <c r="A32" s="377"/>
      <c r="B32" s="98" t="s">
        <v>44</v>
      </c>
      <c r="C32" s="48">
        <v>4</v>
      </c>
      <c r="D32" s="48">
        <v>2</v>
      </c>
      <c r="E32" s="48">
        <v>1</v>
      </c>
      <c r="F32" s="93">
        <v>3</v>
      </c>
      <c r="G32" s="93">
        <f t="shared" si="0"/>
        <v>1.5</v>
      </c>
      <c r="H32" s="93">
        <f t="shared" si="1"/>
        <v>1.5</v>
      </c>
      <c r="I32" s="93">
        <v>1.5</v>
      </c>
      <c r="J32" s="93">
        <v>4.5</v>
      </c>
    </row>
    <row r="33" spans="1:10" x14ac:dyDescent="0.25">
      <c r="A33" s="377"/>
      <c r="B33" s="98" t="s">
        <v>571</v>
      </c>
      <c r="C33" s="48">
        <v>4</v>
      </c>
      <c r="D33" s="48">
        <v>2</v>
      </c>
      <c r="E33" s="48">
        <v>1</v>
      </c>
      <c r="F33" s="93">
        <v>3</v>
      </c>
      <c r="G33" s="93">
        <f t="shared" si="0"/>
        <v>1.5</v>
      </c>
      <c r="H33" s="93">
        <f t="shared" si="1"/>
        <v>1.5</v>
      </c>
      <c r="I33" s="93">
        <v>1.5</v>
      </c>
      <c r="J33" s="93">
        <v>4.5</v>
      </c>
    </row>
    <row r="34" spans="1:10" x14ac:dyDescent="0.25">
      <c r="A34" s="379"/>
      <c r="B34" s="98" t="s">
        <v>573</v>
      </c>
      <c r="C34" s="48">
        <v>4</v>
      </c>
      <c r="D34" s="48">
        <v>1</v>
      </c>
      <c r="E34" s="48">
        <v>1</v>
      </c>
      <c r="F34" s="93">
        <v>3</v>
      </c>
      <c r="G34" s="93">
        <f t="shared" si="0"/>
        <v>0.75</v>
      </c>
      <c r="H34" s="93">
        <f t="shared" si="1"/>
        <v>0.75</v>
      </c>
      <c r="I34" s="93">
        <v>2.25</v>
      </c>
      <c r="J34" s="93">
        <v>3.75</v>
      </c>
    </row>
    <row r="35" spans="1:10" x14ac:dyDescent="0.25">
      <c r="A35" s="195"/>
      <c r="B35" s="98" t="s">
        <v>577</v>
      </c>
      <c r="C35" s="48">
        <v>4</v>
      </c>
      <c r="D35" s="48">
        <v>1</v>
      </c>
      <c r="E35" s="48">
        <v>1</v>
      </c>
      <c r="F35" s="93">
        <v>3</v>
      </c>
      <c r="G35" s="93">
        <f t="shared" si="0"/>
        <v>0.75</v>
      </c>
      <c r="H35" s="93">
        <f t="shared" si="1"/>
        <v>0.75</v>
      </c>
      <c r="I35" s="93">
        <v>2.25</v>
      </c>
      <c r="J35" s="93">
        <v>3.75</v>
      </c>
    </row>
    <row r="36" spans="1:10" x14ac:dyDescent="0.25">
      <c r="A36" s="378" t="s">
        <v>46</v>
      </c>
      <c r="B36" s="98" t="s">
        <v>47</v>
      </c>
      <c r="C36" s="48">
        <v>1</v>
      </c>
      <c r="D36" s="48">
        <v>0</v>
      </c>
      <c r="E36" s="48">
        <v>0.25</v>
      </c>
      <c r="F36" s="93">
        <v>3</v>
      </c>
      <c r="G36" s="93">
        <f t="shared" si="0"/>
        <v>0.75</v>
      </c>
      <c r="H36" s="93">
        <f t="shared" si="1"/>
        <v>0.75</v>
      </c>
      <c r="I36" s="93">
        <v>2.25</v>
      </c>
      <c r="J36" s="93">
        <v>3.75</v>
      </c>
    </row>
    <row r="37" spans="1:10" x14ac:dyDescent="0.25">
      <c r="A37" s="377"/>
      <c r="B37" s="90" t="s">
        <v>980</v>
      </c>
      <c r="C37" s="48">
        <v>1</v>
      </c>
      <c r="D37" s="48">
        <v>0</v>
      </c>
      <c r="E37" s="48">
        <v>0.5</v>
      </c>
      <c r="F37" s="93">
        <v>3</v>
      </c>
      <c r="G37" s="93">
        <f t="shared" si="0"/>
        <v>1.5</v>
      </c>
      <c r="H37" s="93">
        <f t="shared" si="1"/>
        <v>1.5</v>
      </c>
      <c r="I37" s="93">
        <v>1.5</v>
      </c>
      <c r="J37" s="93">
        <v>4.5</v>
      </c>
    </row>
    <row r="38" spans="1:10" x14ac:dyDescent="0.25">
      <c r="A38" s="377" t="s">
        <v>51</v>
      </c>
      <c r="B38" s="90" t="s">
        <v>576</v>
      </c>
      <c r="C38" s="48">
        <v>1</v>
      </c>
      <c r="D38" s="48">
        <v>0</v>
      </c>
      <c r="E38" s="48">
        <v>0.5</v>
      </c>
      <c r="F38" s="93">
        <v>3</v>
      </c>
      <c r="G38" s="93">
        <f t="shared" si="0"/>
        <v>1.5</v>
      </c>
      <c r="H38" s="93">
        <f t="shared" si="1"/>
        <v>1.5</v>
      </c>
      <c r="I38" s="93">
        <v>1.5</v>
      </c>
      <c r="J38" s="93">
        <v>4.5</v>
      </c>
    </row>
    <row r="39" spans="1:10" x14ac:dyDescent="0.25">
      <c r="A39" s="377"/>
      <c r="B39" s="74" t="s">
        <v>981</v>
      </c>
      <c r="C39" s="48">
        <v>1</v>
      </c>
      <c r="D39" s="48">
        <v>0</v>
      </c>
      <c r="E39" s="48">
        <v>0.10000000000000009</v>
      </c>
      <c r="F39" s="93">
        <v>5</v>
      </c>
      <c r="G39" s="93">
        <f t="shared" si="0"/>
        <v>0.5</v>
      </c>
      <c r="H39" s="93">
        <f t="shared" si="1"/>
        <v>0</v>
      </c>
      <c r="I39" s="93">
        <v>4.5</v>
      </c>
      <c r="J39" s="93">
        <v>5</v>
      </c>
    </row>
    <row r="40" spans="1:10" x14ac:dyDescent="0.25">
      <c r="A40" s="377"/>
      <c r="B40" s="90" t="s">
        <v>56</v>
      </c>
      <c r="C40" s="48">
        <v>1</v>
      </c>
      <c r="D40" s="48">
        <v>0</v>
      </c>
      <c r="E40" s="48">
        <v>0.5</v>
      </c>
      <c r="F40" s="93">
        <v>3</v>
      </c>
      <c r="G40" s="93">
        <f t="shared" si="0"/>
        <v>1.5</v>
      </c>
      <c r="H40" s="93">
        <f t="shared" si="1"/>
        <v>1.5</v>
      </c>
      <c r="I40" s="93">
        <v>1.5</v>
      </c>
      <c r="J40" s="93">
        <v>4.5</v>
      </c>
    </row>
    <row r="41" spans="1:10" x14ac:dyDescent="0.25">
      <c r="A41" s="377" t="s">
        <v>135</v>
      </c>
      <c r="B41" s="90" t="s">
        <v>136</v>
      </c>
      <c r="C41" s="48">
        <v>3</v>
      </c>
      <c r="D41" s="48">
        <v>1.5</v>
      </c>
      <c r="E41" s="48">
        <v>1.5</v>
      </c>
      <c r="F41" s="93">
        <v>3</v>
      </c>
      <c r="G41" s="93">
        <f t="shared" si="0"/>
        <v>1.5</v>
      </c>
      <c r="H41" s="93">
        <f t="shared" si="1"/>
        <v>1.5</v>
      </c>
      <c r="I41" s="93">
        <v>1.5</v>
      </c>
      <c r="J41" s="93">
        <v>4.5</v>
      </c>
    </row>
    <row r="42" spans="1:10" x14ac:dyDescent="0.25">
      <c r="A42" s="377"/>
      <c r="B42" s="90" t="s">
        <v>589</v>
      </c>
      <c r="C42" s="48">
        <v>2</v>
      </c>
      <c r="D42" s="48">
        <v>1</v>
      </c>
      <c r="E42" s="48">
        <v>1</v>
      </c>
      <c r="F42" s="93">
        <v>3</v>
      </c>
      <c r="G42" s="93">
        <f t="shared" si="0"/>
        <v>1.5</v>
      </c>
      <c r="H42" s="93">
        <f t="shared" si="1"/>
        <v>1.5</v>
      </c>
      <c r="I42" s="93">
        <v>1.5</v>
      </c>
      <c r="J42" s="93">
        <v>4.5</v>
      </c>
    </row>
    <row r="43" spans="1:10" x14ac:dyDescent="0.25">
      <c r="A43" s="379" t="s">
        <v>69</v>
      </c>
      <c r="B43" s="90" t="s">
        <v>263</v>
      </c>
      <c r="C43" s="48">
        <v>3</v>
      </c>
      <c r="D43" s="48">
        <v>0.75</v>
      </c>
      <c r="E43" s="48">
        <v>0.75</v>
      </c>
      <c r="F43" s="93">
        <v>3</v>
      </c>
      <c r="G43" s="93">
        <f t="shared" si="0"/>
        <v>0.75</v>
      </c>
      <c r="H43" s="93">
        <f t="shared" si="1"/>
        <v>0.75</v>
      </c>
      <c r="I43" s="93">
        <v>2.25</v>
      </c>
      <c r="J43" s="93">
        <v>3.75</v>
      </c>
    </row>
    <row r="44" spans="1:10" x14ac:dyDescent="0.25">
      <c r="A44" s="380"/>
      <c r="B44" s="90" t="s">
        <v>579</v>
      </c>
      <c r="C44" s="48">
        <v>2</v>
      </c>
      <c r="D44" s="48">
        <v>1</v>
      </c>
      <c r="E44" s="48">
        <v>1</v>
      </c>
      <c r="F44" s="93">
        <v>3</v>
      </c>
      <c r="G44" s="93">
        <f t="shared" si="0"/>
        <v>1.5</v>
      </c>
      <c r="H44" s="93">
        <f t="shared" si="1"/>
        <v>1.5</v>
      </c>
      <c r="I44" s="93">
        <v>1.5</v>
      </c>
      <c r="J44" s="93">
        <v>4.5</v>
      </c>
    </row>
    <row r="45" spans="1:10" x14ac:dyDescent="0.25">
      <c r="A45" s="380"/>
      <c r="B45" s="90" t="s">
        <v>580</v>
      </c>
      <c r="C45" s="48">
        <v>2</v>
      </c>
      <c r="D45" s="48">
        <v>1</v>
      </c>
      <c r="E45" s="48">
        <v>1</v>
      </c>
      <c r="F45" s="93">
        <v>3</v>
      </c>
      <c r="G45" s="93">
        <f t="shared" si="0"/>
        <v>1.5</v>
      </c>
      <c r="H45" s="93">
        <f t="shared" si="1"/>
        <v>1.5</v>
      </c>
      <c r="I45" s="93">
        <v>1.5</v>
      </c>
      <c r="J45" s="93">
        <v>4.5</v>
      </c>
    </row>
    <row r="46" spans="1:10" x14ac:dyDescent="0.25">
      <c r="A46" s="380"/>
      <c r="B46" s="90" t="s">
        <v>76</v>
      </c>
      <c r="C46" s="48">
        <v>2</v>
      </c>
      <c r="D46" s="48">
        <v>1</v>
      </c>
      <c r="E46" s="48">
        <v>1</v>
      </c>
      <c r="F46" s="93">
        <v>3</v>
      </c>
      <c r="G46" s="93">
        <f t="shared" si="0"/>
        <v>1.5</v>
      </c>
      <c r="H46" s="93">
        <f t="shared" si="1"/>
        <v>1.5</v>
      </c>
      <c r="I46" s="93">
        <v>1.5</v>
      </c>
      <c r="J46" s="93">
        <v>4.5</v>
      </c>
    </row>
    <row r="47" spans="1:10" x14ac:dyDescent="0.25">
      <c r="A47" s="380"/>
      <c r="B47" s="90" t="s">
        <v>581</v>
      </c>
      <c r="C47" s="48">
        <v>2</v>
      </c>
      <c r="D47" s="48">
        <v>1</v>
      </c>
      <c r="E47" s="48">
        <v>1</v>
      </c>
      <c r="F47" s="93">
        <v>3</v>
      </c>
      <c r="G47" s="93">
        <f t="shared" si="0"/>
        <v>1.5</v>
      </c>
      <c r="H47" s="93">
        <f t="shared" si="1"/>
        <v>1.5</v>
      </c>
      <c r="I47" s="93">
        <v>1.5</v>
      </c>
      <c r="J47" s="93">
        <v>4.5</v>
      </c>
    </row>
    <row r="48" spans="1:10" x14ac:dyDescent="0.25">
      <c r="A48" s="380"/>
      <c r="B48" s="90" t="s">
        <v>79</v>
      </c>
      <c r="C48" s="48">
        <v>2</v>
      </c>
      <c r="D48" s="48">
        <v>1</v>
      </c>
      <c r="E48" s="48">
        <v>1</v>
      </c>
      <c r="F48" s="93">
        <v>3</v>
      </c>
      <c r="G48" s="93">
        <f t="shared" si="0"/>
        <v>1.5</v>
      </c>
      <c r="H48" s="93">
        <f t="shared" si="1"/>
        <v>1.5</v>
      </c>
      <c r="I48" s="93">
        <v>1.5</v>
      </c>
      <c r="J48" s="93">
        <v>4.5</v>
      </c>
    </row>
    <row r="49" spans="1:10" x14ac:dyDescent="0.25">
      <c r="A49" s="380"/>
      <c r="B49" s="90" t="s">
        <v>582</v>
      </c>
      <c r="C49" s="48">
        <v>3</v>
      </c>
      <c r="D49" s="48">
        <v>1.5</v>
      </c>
      <c r="E49" s="48">
        <v>1.5</v>
      </c>
      <c r="F49" s="93">
        <v>3</v>
      </c>
      <c r="G49" s="93">
        <f t="shared" si="0"/>
        <v>1.5</v>
      </c>
      <c r="H49" s="93">
        <f t="shared" si="1"/>
        <v>1.5</v>
      </c>
      <c r="I49" s="93">
        <v>1.5</v>
      </c>
      <c r="J49" s="93">
        <v>4.5</v>
      </c>
    </row>
    <row r="50" spans="1:10" x14ac:dyDescent="0.25">
      <c r="A50" s="380"/>
      <c r="B50" s="98" t="s">
        <v>83</v>
      </c>
      <c r="C50" s="48">
        <v>3</v>
      </c>
      <c r="D50" s="48">
        <v>0.75</v>
      </c>
      <c r="E50" s="48">
        <v>0.75</v>
      </c>
      <c r="F50" s="93">
        <v>2</v>
      </c>
      <c r="G50" s="93">
        <f t="shared" si="0"/>
        <v>1</v>
      </c>
      <c r="H50" s="93">
        <f t="shared" si="1"/>
        <v>1</v>
      </c>
      <c r="I50" s="93">
        <v>1</v>
      </c>
      <c r="J50" s="93">
        <v>3</v>
      </c>
    </row>
    <row r="51" spans="1:10" x14ac:dyDescent="0.25">
      <c r="A51" s="380"/>
      <c r="B51" s="90" t="s">
        <v>583</v>
      </c>
      <c r="C51" s="48">
        <v>2</v>
      </c>
      <c r="D51" s="48">
        <v>1</v>
      </c>
      <c r="E51" s="48">
        <v>1</v>
      </c>
      <c r="F51" s="93">
        <v>3</v>
      </c>
      <c r="G51" s="93">
        <f t="shared" si="0"/>
        <v>1.5</v>
      </c>
      <c r="H51" s="93">
        <f t="shared" si="1"/>
        <v>1.5</v>
      </c>
      <c r="I51" s="93">
        <v>1.5</v>
      </c>
      <c r="J51" s="93">
        <v>4.5</v>
      </c>
    </row>
    <row r="52" spans="1:10" x14ac:dyDescent="0.25">
      <c r="A52" s="380"/>
      <c r="B52" s="90" t="s">
        <v>584</v>
      </c>
      <c r="C52" s="48">
        <v>3</v>
      </c>
      <c r="D52" s="48">
        <v>1.5</v>
      </c>
      <c r="E52" s="48">
        <v>1.5</v>
      </c>
      <c r="F52" s="93">
        <v>3</v>
      </c>
      <c r="G52" s="93">
        <f t="shared" si="0"/>
        <v>1.5</v>
      </c>
      <c r="H52" s="93">
        <f t="shared" si="1"/>
        <v>1.5</v>
      </c>
      <c r="I52" s="93">
        <v>1.5</v>
      </c>
      <c r="J52" s="93">
        <v>4.5</v>
      </c>
    </row>
    <row r="53" spans="1:10" x14ac:dyDescent="0.25">
      <c r="A53" s="380"/>
      <c r="B53" s="90" t="s">
        <v>87</v>
      </c>
      <c r="C53" s="48">
        <v>3</v>
      </c>
      <c r="D53" s="48">
        <v>1.5</v>
      </c>
      <c r="E53" s="48">
        <v>1.5</v>
      </c>
      <c r="F53" s="93">
        <v>3</v>
      </c>
      <c r="G53" s="93">
        <f t="shared" si="0"/>
        <v>1.5</v>
      </c>
      <c r="H53" s="93">
        <f t="shared" si="1"/>
        <v>1.5</v>
      </c>
      <c r="I53" s="93">
        <v>1.5</v>
      </c>
      <c r="J53" s="93">
        <v>4.5</v>
      </c>
    </row>
    <row r="54" spans="1:10" x14ac:dyDescent="0.25">
      <c r="A54" s="380"/>
      <c r="B54" s="90" t="s">
        <v>89</v>
      </c>
      <c r="C54" s="48">
        <v>5</v>
      </c>
      <c r="D54" s="48">
        <v>0.5</v>
      </c>
      <c r="E54" s="48">
        <v>0</v>
      </c>
      <c r="F54" s="93">
        <v>5</v>
      </c>
      <c r="G54" s="93">
        <f t="shared" si="0"/>
        <v>0.5</v>
      </c>
      <c r="H54" s="93">
        <f t="shared" si="1"/>
        <v>0</v>
      </c>
      <c r="I54" s="93">
        <v>4.5</v>
      </c>
      <c r="J54" s="93">
        <v>5</v>
      </c>
    </row>
    <row r="55" spans="1:10" x14ac:dyDescent="0.25">
      <c r="A55" s="380"/>
      <c r="B55" s="90" t="s">
        <v>92</v>
      </c>
      <c r="C55" s="48">
        <v>2</v>
      </c>
      <c r="D55" s="48">
        <v>1</v>
      </c>
      <c r="E55" s="48">
        <v>1</v>
      </c>
      <c r="F55" s="93">
        <v>5</v>
      </c>
      <c r="G55" s="93">
        <f t="shared" si="0"/>
        <v>1.25</v>
      </c>
      <c r="H55" s="93">
        <f t="shared" si="1"/>
        <v>0</v>
      </c>
      <c r="I55" s="93">
        <v>3.75</v>
      </c>
      <c r="J55" s="93">
        <v>5</v>
      </c>
    </row>
    <row r="56" spans="1:10" x14ac:dyDescent="0.25">
      <c r="A56" s="380"/>
      <c r="B56" s="90" t="s">
        <v>94</v>
      </c>
      <c r="C56" s="48">
        <v>3</v>
      </c>
      <c r="D56" s="48">
        <v>1.5</v>
      </c>
      <c r="E56" s="48">
        <v>1.5</v>
      </c>
      <c r="F56" s="93">
        <v>5</v>
      </c>
      <c r="G56" s="93">
        <f t="shared" si="0"/>
        <v>1.25</v>
      </c>
      <c r="H56" s="93">
        <f t="shared" si="1"/>
        <v>0</v>
      </c>
      <c r="I56" s="93">
        <v>3.75</v>
      </c>
      <c r="J56" s="93">
        <v>5</v>
      </c>
    </row>
    <row r="57" spans="1:10" x14ac:dyDescent="0.25">
      <c r="A57" s="380"/>
      <c r="B57" s="90" t="s">
        <v>96</v>
      </c>
      <c r="C57" s="48">
        <v>2</v>
      </c>
      <c r="D57" s="48">
        <v>1</v>
      </c>
      <c r="E57" s="48">
        <v>1</v>
      </c>
      <c r="F57" s="93">
        <v>5</v>
      </c>
      <c r="G57" s="93">
        <f t="shared" si="0"/>
        <v>2.5</v>
      </c>
      <c r="H57" s="93">
        <f t="shared" si="1"/>
        <v>0</v>
      </c>
      <c r="I57" s="93">
        <v>2.5</v>
      </c>
      <c r="J57" s="93">
        <v>5</v>
      </c>
    </row>
    <row r="58" spans="1:10" x14ac:dyDescent="0.25">
      <c r="A58" s="380"/>
      <c r="B58" s="90" t="s">
        <v>99</v>
      </c>
      <c r="C58" s="48">
        <v>4</v>
      </c>
      <c r="D58" s="48">
        <v>1</v>
      </c>
      <c r="E58" s="48">
        <v>1</v>
      </c>
      <c r="F58" s="93">
        <v>4</v>
      </c>
      <c r="G58" s="93">
        <f t="shared" si="0"/>
        <v>1</v>
      </c>
      <c r="H58" s="93">
        <f t="shared" si="1"/>
        <v>1</v>
      </c>
      <c r="I58" s="93">
        <v>3</v>
      </c>
      <c r="J58" s="93">
        <v>5</v>
      </c>
    </row>
    <row r="59" spans="1:10" x14ac:dyDescent="0.25">
      <c r="A59" s="380"/>
      <c r="B59" s="90" t="s">
        <v>148</v>
      </c>
      <c r="C59" s="48">
        <v>5</v>
      </c>
      <c r="D59" s="48">
        <v>1.25</v>
      </c>
      <c r="E59" s="48">
        <v>0</v>
      </c>
      <c r="F59" s="93">
        <v>5</v>
      </c>
      <c r="G59" s="93">
        <f t="shared" si="0"/>
        <v>1.25</v>
      </c>
      <c r="H59" s="93">
        <f t="shared" si="1"/>
        <v>0</v>
      </c>
      <c r="I59" s="93">
        <v>3.75</v>
      </c>
      <c r="J59" s="93">
        <v>5</v>
      </c>
    </row>
    <row r="60" spans="1:10" x14ac:dyDescent="0.25">
      <c r="A60" s="380"/>
      <c r="B60" s="90" t="s">
        <v>102</v>
      </c>
      <c r="C60" s="48">
        <v>1</v>
      </c>
      <c r="D60" s="48">
        <v>0</v>
      </c>
      <c r="E60" s="48">
        <v>0.5</v>
      </c>
      <c r="F60" s="93">
        <v>5</v>
      </c>
      <c r="G60" s="93">
        <f t="shared" si="0"/>
        <v>2.5</v>
      </c>
      <c r="H60" s="93">
        <f t="shared" si="1"/>
        <v>0</v>
      </c>
      <c r="I60" s="93">
        <v>2.5</v>
      </c>
      <c r="J60" s="93">
        <v>5</v>
      </c>
    </row>
    <row r="61" spans="1:10" x14ac:dyDescent="0.25">
      <c r="A61" s="194"/>
      <c r="B61" s="98" t="s">
        <v>325</v>
      </c>
      <c r="C61" s="48">
        <v>5</v>
      </c>
      <c r="D61" s="48">
        <v>0.5</v>
      </c>
      <c r="E61" s="48">
        <v>0</v>
      </c>
      <c r="F61" s="93">
        <v>5</v>
      </c>
      <c r="G61" s="93">
        <f t="shared" si="0"/>
        <v>0.5</v>
      </c>
      <c r="H61" s="93">
        <f t="shared" si="1"/>
        <v>0</v>
      </c>
      <c r="I61" s="93">
        <v>4.5</v>
      </c>
      <c r="J61" s="93">
        <v>5</v>
      </c>
    </row>
    <row r="62" spans="1:10" x14ac:dyDescent="0.25">
      <c r="A62" s="195"/>
      <c r="B62" s="98" t="s">
        <v>294</v>
      </c>
      <c r="C62" s="48">
        <v>3</v>
      </c>
      <c r="D62" s="48">
        <v>1.5</v>
      </c>
      <c r="E62" s="48">
        <v>1.5</v>
      </c>
      <c r="F62" s="93">
        <v>3</v>
      </c>
      <c r="G62" s="93">
        <f t="shared" si="0"/>
        <v>1.5</v>
      </c>
      <c r="H62" s="93">
        <f t="shared" si="1"/>
        <v>1.5</v>
      </c>
      <c r="I62" s="93">
        <v>1.5</v>
      </c>
      <c r="J62" s="93">
        <v>4.5</v>
      </c>
    </row>
    <row r="63" spans="1:10" x14ac:dyDescent="0.25">
      <c r="A63" s="378" t="s">
        <v>105</v>
      </c>
      <c r="B63" s="90" t="s">
        <v>585</v>
      </c>
      <c r="C63" s="48">
        <v>1</v>
      </c>
      <c r="D63" s="48">
        <v>0</v>
      </c>
      <c r="E63" s="48">
        <v>0.25</v>
      </c>
      <c r="F63" s="93">
        <v>5</v>
      </c>
      <c r="G63" s="93">
        <f t="shared" si="0"/>
        <v>1.25</v>
      </c>
      <c r="H63" s="93">
        <f t="shared" si="1"/>
        <v>0</v>
      </c>
      <c r="I63" s="93">
        <v>3.75</v>
      </c>
      <c r="J63" s="93">
        <v>5</v>
      </c>
    </row>
    <row r="64" spans="1:10" x14ac:dyDescent="0.25">
      <c r="A64" s="377"/>
      <c r="B64" s="90" t="s">
        <v>108</v>
      </c>
      <c r="C64" s="48">
        <v>1</v>
      </c>
      <c r="D64" s="48">
        <v>0</v>
      </c>
      <c r="E64" s="48">
        <v>0.5</v>
      </c>
      <c r="F64" s="93">
        <v>5</v>
      </c>
      <c r="G64" s="93">
        <f t="shared" si="0"/>
        <v>2.5</v>
      </c>
      <c r="H64" s="93">
        <f t="shared" si="1"/>
        <v>0</v>
      </c>
      <c r="I64" s="93">
        <v>2.5</v>
      </c>
      <c r="J64" s="93">
        <v>5</v>
      </c>
    </row>
    <row r="65" spans="1:10" x14ac:dyDescent="0.25">
      <c r="A65" s="377"/>
      <c r="B65" s="90" t="s">
        <v>111</v>
      </c>
      <c r="C65" s="48">
        <v>1</v>
      </c>
      <c r="D65" s="48">
        <v>0</v>
      </c>
      <c r="E65" s="48">
        <v>0.25</v>
      </c>
      <c r="F65" s="93">
        <v>3</v>
      </c>
      <c r="G65" s="93">
        <f t="shared" si="0"/>
        <v>1.5</v>
      </c>
      <c r="H65" s="93">
        <f t="shared" si="1"/>
        <v>1.5</v>
      </c>
      <c r="I65" s="93">
        <v>1.5</v>
      </c>
      <c r="J65" s="93">
        <v>4.5</v>
      </c>
    </row>
    <row r="66" spans="1:10" x14ac:dyDescent="0.25">
      <c r="A66" s="377"/>
      <c r="B66" s="90" t="s">
        <v>114</v>
      </c>
      <c r="C66" s="48">
        <v>1</v>
      </c>
      <c r="D66" s="48">
        <v>0</v>
      </c>
      <c r="E66" s="48">
        <v>0.5</v>
      </c>
      <c r="F66" s="93">
        <v>4</v>
      </c>
      <c r="G66" s="93">
        <f t="shared" si="0"/>
        <v>2</v>
      </c>
      <c r="H66" s="93">
        <f t="shared" si="1"/>
        <v>1</v>
      </c>
      <c r="I66" s="93">
        <v>2</v>
      </c>
      <c r="J66" s="93">
        <v>5</v>
      </c>
    </row>
    <row r="67" spans="1:10" x14ac:dyDescent="0.25">
      <c r="A67" s="371" t="s">
        <v>117</v>
      </c>
      <c r="B67" s="90" t="s">
        <v>118</v>
      </c>
      <c r="C67" s="48">
        <v>2</v>
      </c>
      <c r="D67" s="48">
        <v>1</v>
      </c>
      <c r="E67" s="48">
        <v>1</v>
      </c>
      <c r="F67" s="93">
        <v>1</v>
      </c>
      <c r="G67" s="93">
        <f t="shared" ref="G67:G76" si="2">F67-I67</f>
        <v>0</v>
      </c>
      <c r="H67" s="93">
        <f t="shared" ref="H67:H76" si="3">J67-F67</f>
        <v>0.5</v>
      </c>
      <c r="I67" s="93">
        <v>1</v>
      </c>
      <c r="J67" s="93">
        <v>1.5</v>
      </c>
    </row>
    <row r="68" spans="1:10" x14ac:dyDescent="0.25">
      <c r="A68" s="372"/>
      <c r="B68" s="90" t="s">
        <v>123</v>
      </c>
      <c r="C68" s="48">
        <v>2</v>
      </c>
      <c r="D68" s="48">
        <v>1</v>
      </c>
      <c r="E68" s="48">
        <v>1</v>
      </c>
      <c r="F68" s="93">
        <v>1</v>
      </c>
      <c r="G68" s="93">
        <f t="shared" si="2"/>
        <v>0</v>
      </c>
      <c r="H68" s="93">
        <f t="shared" si="3"/>
        <v>0.5</v>
      </c>
      <c r="I68" s="93">
        <v>1</v>
      </c>
      <c r="J68" s="93">
        <v>1.5</v>
      </c>
    </row>
    <row r="69" spans="1:10" x14ac:dyDescent="0.25">
      <c r="A69" s="372"/>
      <c r="B69" s="90" t="s">
        <v>587</v>
      </c>
      <c r="C69" s="48">
        <v>2</v>
      </c>
      <c r="D69" s="48">
        <v>1</v>
      </c>
      <c r="E69" s="48">
        <v>1</v>
      </c>
      <c r="F69" s="93">
        <v>1</v>
      </c>
      <c r="G69" s="93">
        <f t="shared" si="2"/>
        <v>0</v>
      </c>
      <c r="H69" s="93">
        <f t="shared" si="3"/>
        <v>0.5</v>
      </c>
      <c r="I69" s="93">
        <v>1</v>
      </c>
      <c r="J69" s="93">
        <v>1.5</v>
      </c>
    </row>
    <row r="70" spans="1:10" x14ac:dyDescent="0.25">
      <c r="A70" s="372"/>
      <c r="B70" s="98" t="s">
        <v>703</v>
      </c>
      <c r="C70" s="48">
        <v>2</v>
      </c>
      <c r="D70" s="48">
        <v>1</v>
      </c>
      <c r="E70" s="48">
        <v>1</v>
      </c>
      <c r="F70" s="93">
        <v>1</v>
      </c>
      <c r="G70" s="93">
        <f t="shared" si="2"/>
        <v>0</v>
      </c>
      <c r="H70" s="93">
        <f t="shared" si="3"/>
        <v>0.5</v>
      </c>
      <c r="I70" s="93">
        <v>1</v>
      </c>
      <c r="J70" s="93">
        <v>1.5</v>
      </c>
    </row>
    <row r="71" spans="1:10" x14ac:dyDescent="0.25">
      <c r="A71" s="372"/>
      <c r="B71" s="90" t="s">
        <v>127</v>
      </c>
      <c r="C71" s="48">
        <v>2</v>
      </c>
      <c r="D71" s="48">
        <v>1</v>
      </c>
      <c r="E71" s="48">
        <v>1</v>
      </c>
      <c r="F71" s="93">
        <v>1</v>
      </c>
      <c r="G71" s="93">
        <f t="shared" si="2"/>
        <v>0</v>
      </c>
      <c r="H71" s="93">
        <f t="shared" si="3"/>
        <v>0.5</v>
      </c>
      <c r="I71" s="93">
        <v>1</v>
      </c>
      <c r="J71" s="93">
        <v>1.5</v>
      </c>
    </row>
    <row r="72" spans="1:10" x14ac:dyDescent="0.25">
      <c r="A72" s="372"/>
      <c r="B72" s="90" t="s">
        <v>131</v>
      </c>
      <c r="C72" s="48">
        <v>1</v>
      </c>
      <c r="D72" s="48">
        <v>0</v>
      </c>
      <c r="E72" s="48">
        <v>0.5</v>
      </c>
      <c r="F72" s="93">
        <v>1</v>
      </c>
      <c r="G72" s="93">
        <f>F72-I72</f>
        <v>0</v>
      </c>
      <c r="H72" s="93">
        <f>J72-F72</f>
        <v>0.5</v>
      </c>
      <c r="I72" s="93">
        <v>1</v>
      </c>
      <c r="J72" s="93">
        <v>1.5</v>
      </c>
    </row>
    <row r="73" spans="1:10" x14ac:dyDescent="0.25">
      <c r="A73" s="372"/>
      <c r="B73" s="90" t="s">
        <v>588</v>
      </c>
      <c r="C73" s="48">
        <v>1</v>
      </c>
      <c r="D73" s="48">
        <v>0</v>
      </c>
      <c r="E73" s="48">
        <v>0.5</v>
      </c>
      <c r="F73" s="93">
        <v>1</v>
      </c>
      <c r="G73" s="93">
        <f t="shared" si="2"/>
        <v>0</v>
      </c>
      <c r="H73" s="93">
        <f t="shared" si="3"/>
        <v>0.5</v>
      </c>
      <c r="I73" s="93">
        <v>1</v>
      </c>
      <c r="J73" s="93">
        <v>1.5</v>
      </c>
    </row>
    <row r="74" spans="1:10" x14ac:dyDescent="0.25">
      <c r="A74" s="372"/>
      <c r="B74" s="90" t="s">
        <v>129</v>
      </c>
      <c r="C74" s="48">
        <v>1</v>
      </c>
      <c r="D74" s="48">
        <v>0</v>
      </c>
      <c r="E74" s="48">
        <v>0.5</v>
      </c>
      <c r="F74" s="93">
        <v>1</v>
      </c>
      <c r="G74" s="93">
        <f t="shared" si="2"/>
        <v>0</v>
      </c>
      <c r="H74" s="93">
        <f t="shared" si="3"/>
        <v>0.5</v>
      </c>
      <c r="I74" s="93">
        <v>1</v>
      </c>
      <c r="J74" s="93">
        <v>1.5</v>
      </c>
    </row>
    <row r="75" spans="1:10" x14ac:dyDescent="0.25">
      <c r="A75" s="372"/>
      <c r="B75" s="90" t="s">
        <v>133</v>
      </c>
      <c r="C75" s="48">
        <v>1</v>
      </c>
      <c r="D75" s="48">
        <v>0</v>
      </c>
      <c r="E75" s="48">
        <v>0.5</v>
      </c>
      <c r="F75" s="93">
        <v>1</v>
      </c>
      <c r="G75" s="93">
        <f>F75-I75</f>
        <v>0</v>
      </c>
      <c r="H75" s="93">
        <f>J75-F75</f>
        <v>0.5</v>
      </c>
      <c r="I75" s="93">
        <v>1</v>
      </c>
      <c r="J75" s="93">
        <v>1.5</v>
      </c>
    </row>
    <row r="76" spans="1:10" x14ac:dyDescent="0.25">
      <c r="A76" s="372"/>
      <c r="B76" s="98" t="s">
        <v>288</v>
      </c>
      <c r="C76" s="48">
        <v>1</v>
      </c>
      <c r="D76" s="48">
        <v>0</v>
      </c>
      <c r="E76" s="48">
        <v>0.5</v>
      </c>
      <c r="F76" s="93">
        <v>1</v>
      </c>
      <c r="G76" s="93">
        <f t="shared" si="2"/>
        <v>0</v>
      </c>
      <c r="H76" s="93">
        <f t="shared" si="3"/>
        <v>0.5</v>
      </c>
      <c r="I76" s="93">
        <v>1</v>
      </c>
      <c r="J76" s="93">
        <v>1.5</v>
      </c>
    </row>
    <row r="77" spans="1:10" x14ac:dyDescent="0.25">
      <c r="A77" s="372"/>
      <c r="B77" s="90" t="s">
        <v>586</v>
      </c>
      <c r="C77" s="48">
        <v>2</v>
      </c>
      <c r="D77" s="48">
        <v>1</v>
      </c>
      <c r="E77" s="48">
        <v>1</v>
      </c>
      <c r="F77" s="93">
        <v>1</v>
      </c>
      <c r="G77" s="93">
        <f>F77-I77</f>
        <v>0</v>
      </c>
      <c r="H77" s="93">
        <f>J77-F77</f>
        <v>0.5</v>
      </c>
      <c r="I77" s="93">
        <v>1</v>
      </c>
      <c r="J77" s="93">
        <v>1.5</v>
      </c>
    </row>
  </sheetData>
  <mergeCells count="10">
    <mergeCell ref="A41:A42"/>
    <mergeCell ref="A43:A60"/>
    <mergeCell ref="A63:A66"/>
    <mergeCell ref="A67:A77"/>
    <mergeCell ref="A2:A7"/>
    <mergeCell ref="A8:A10"/>
    <mergeCell ref="A12:A14"/>
    <mergeCell ref="A17:A34"/>
    <mergeCell ref="A36:A37"/>
    <mergeCell ref="A38:A40"/>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7"/>
  <sheetViews>
    <sheetView workbookViewId="0">
      <pane xSplit="2" ySplit="1" topLeftCell="C11" activePane="bottomRight" state="frozen"/>
      <selection pane="topRight" activeCell="C1" sqref="C1"/>
      <selection pane="bottomLeft" activeCell="A2" sqref="A2"/>
      <selection pane="bottomRight" activeCell="B40" sqref="B40"/>
    </sheetView>
  </sheetViews>
  <sheetFormatPr defaultRowHeight="15.75" x14ac:dyDescent="0.25"/>
  <cols>
    <col min="1" max="1" width="9" style="88"/>
    <col min="2" max="2" width="21.25" style="88" customWidth="1"/>
    <col min="4" max="4" width="9" customWidth="1"/>
    <col min="5" max="5" width="9" style="88"/>
    <col min="6" max="6" width="9" customWidth="1"/>
    <col min="7" max="7" width="9" style="88"/>
  </cols>
  <sheetData>
    <row r="1" spans="1:7" ht="30" x14ac:dyDescent="0.25">
      <c r="A1" s="149" t="s">
        <v>146</v>
      </c>
      <c r="B1" s="327" t="s">
        <v>147</v>
      </c>
      <c r="C1" s="44" t="s">
        <v>250</v>
      </c>
      <c r="E1" s="44" t="s">
        <v>970</v>
      </c>
      <c r="G1" s="44" t="s">
        <v>971</v>
      </c>
    </row>
    <row r="2" spans="1:7" x14ac:dyDescent="0.25">
      <c r="A2" s="377" t="s">
        <v>58</v>
      </c>
      <c r="B2" s="90" t="s">
        <v>59</v>
      </c>
      <c r="C2" s="236">
        <v>4</v>
      </c>
      <c r="D2" s="38">
        <v>2</v>
      </c>
      <c r="E2" s="38">
        <f>C2-D2</f>
        <v>2</v>
      </c>
      <c r="F2" s="38">
        <v>5</v>
      </c>
      <c r="G2" s="38">
        <f>F2-C2</f>
        <v>1</v>
      </c>
    </row>
    <row r="3" spans="1:7" x14ac:dyDescent="0.25">
      <c r="A3" s="377"/>
      <c r="B3" s="90" t="s">
        <v>61</v>
      </c>
      <c r="C3" s="38">
        <v>4</v>
      </c>
      <c r="D3" s="38">
        <v>2</v>
      </c>
      <c r="E3" s="38">
        <f t="shared" ref="E3:E66" si="0">C3-D3</f>
        <v>2</v>
      </c>
      <c r="F3" s="38">
        <v>5</v>
      </c>
      <c r="G3" s="38">
        <f t="shared" ref="G3:G66" si="1">F3-C3</f>
        <v>1</v>
      </c>
    </row>
    <row r="4" spans="1:7" x14ac:dyDescent="0.25">
      <c r="A4" s="377"/>
      <c r="B4" s="90" t="s">
        <v>574</v>
      </c>
      <c r="C4" s="38">
        <v>3</v>
      </c>
      <c r="D4" s="38">
        <v>1.5</v>
      </c>
      <c r="E4" s="38">
        <f t="shared" si="0"/>
        <v>1.5</v>
      </c>
      <c r="F4" s="38">
        <v>4.5</v>
      </c>
      <c r="G4" s="38">
        <f t="shared" si="1"/>
        <v>1.5</v>
      </c>
    </row>
    <row r="5" spans="1:7" x14ac:dyDescent="0.25">
      <c r="A5" s="377"/>
      <c r="B5" s="90" t="s">
        <v>64</v>
      </c>
      <c r="C5" s="38">
        <v>4</v>
      </c>
      <c r="D5" s="38">
        <v>1</v>
      </c>
      <c r="E5" s="38">
        <v>2</v>
      </c>
      <c r="F5" s="38">
        <v>1</v>
      </c>
      <c r="G5" s="38">
        <v>1</v>
      </c>
    </row>
    <row r="6" spans="1:7" x14ac:dyDescent="0.25">
      <c r="A6" s="377"/>
      <c r="B6" s="90" t="s">
        <v>65</v>
      </c>
      <c r="C6" s="38">
        <v>1</v>
      </c>
      <c r="D6" s="38">
        <v>1</v>
      </c>
      <c r="E6" s="38">
        <f t="shared" si="0"/>
        <v>0</v>
      </c>
      <c r="F6" s="38">
        <v>1.25</v>
      </c>
      <c r="G6" s="38">
        <f t="shared" si="1"/>
        <v>0.25</v>
      </c>
    </row>
    <row r="7" spans="1:7" x14ac:dyDescent="0.25">
      <c r="A7" s="379"/>
      <c r="B7" s="90" t="s">
        <v>578</v>
      </c>
      <c r="C7" s="38">
        <v>1</v>
      </c>
      <c r="D7" s="38">
        <v>1</v>
      </c>
      <c r="E7" s="38">
        <f t="shared" si="0"/>
        <v>0</v>
      </c>
      <c r="F7" s="38">
        <v>1.5</v>
      </c>
      <c r="G7" s="38">
        <f t="shared" si="1"/>
        <v>0.5</v>
      </c>
    </row>
    <row r="8" spans="1:7" x14ac:dyDescent="0.25">
      <c r="A8" s="381" t="s">
        <v>8</v>
      </c>
      <c r="B8" s="90" t="s">
        <v>9</v>
      </c>
      <c r="C8" s="38">
        <v>4</v>
      </c>
      <c r="D8" s="38">
        <v>3.6</v>
      </c>
      <c r="E8" s="38">
        <f t="shared" si="0"/>
        <v>0.39999999999999991</v>
      </c>
      <c r="F8" s="38">
        <v>4.4000000000000004</v>
      </c>
      <c r="G8" s="38">
        <f t="shared" si="1"/>
        <v>0.40000000000000036</v>
      </c>
    </row>
    <row r="9" spans="1:7" x14ac:dyDescent="0.25">
      <c r="A9" s="382"/>
      <c r="B9" s="90" t="s">
        <v>14</v>
      </c>
      <c r="C9" s="38">
        <v>4</v>
      </c>
      <c r="D9" s="38">
        <v>2</v>
      </c>
      <c r="E9" s="38">
        <f t="shared" si="0"/>
        <v>2</v>
      </c>
      <c r="F9" s="38">
        <v>5</v>
      </c>
      <c r="G9" s="38">
        <f t="shared" si="1"/>
        <v>1</v>
      </c>
    </row>
    <row r="10" spans="1:7" x14ac:dyDescent="0.25">
      <c r="A10" s="382"/>
      <c r="B10" s="98" t="s">
        <v>572</v>
      </c>
      <c r="C10" s="38">
        <v>4</v>
      </c>
      <c r="D10" s="38">
        <v>3.6</v>
      </c>
      <c r="E10" s="38">
        <f t="shared" si="0"/>
        <v>0.39999999999999991</v>
      </c>
      <c r="F10" s="38">
        <v>4.4000000000000004</v>
      </c>
      <c r="G10" s="38">
        <f t="shared" si="1"/>
        <v>0.40000000000000036</v>
      </c>
    </row>
    <row r="11" spans="1:7" x14ac:dyDescent="0.25">
      <c r="A11" s="195"/>
      <c r="B11" s="98" t="s">
        <v>331</v>
      </c>
      <c r="C11" s="38">
        <v>4</v>
      </c>
      <c r="D11" s="38">
        <v>2</v>
      </c>
      <c r="E11" s="38">
        <f t="shared" si="0"/>
        <v>2</v>
      </c>
      <c r="F11" s="38">
        <v>5</v>
      </c>
      <c r="G11" s="38">
        <f t="shared" si="1"/>
        <v>1</v>
      </c>
    </row>
    <row r="12" spans="1:7" x14ac:dyDescent="0.25">
      <c r="A12" s="380" t="s">
        <v>19</v>
      </c>
      <c r="B12" s="98" t="s">
        <v>565</v>
      </c>
      <c r="C12" s="38">
        <v>3</v>
      </c>
      <c r="D12" s="38">
        <v>1.5</v>
      </c>
      <c r="E12" s="38">
        <f t="shared" si="0"/>
        <v>1.5</v>
      </c>
      <c r="F12" s="38">
        <v>4.5</v>
      </c>
      <c r="G12" s="38">
        <f t="shared" si="1"/>
        <v>1.5</v>
      </c>
    </row>
    <row r="13" spans="1:7" x14ac:dyDescent="0.25">
      <c r="A13" s="380"/>
      <c r="B13" s="90" t="s">
        <v>21</v>
      </c>
      <c r="C13" s="38">
        <v>3</v>
      </c>
      <c r="D13" s="38">
        <v>1.5</v>
      </c>
      <c r="E13" s="38">
        <f t="shared" si="0"/>
        <v>1.5</v>
      </c>
      <c r="F13" s="38">
        <v>4.5</v>
      </c>
      <c r="G13" s="38">
        <f t="shared" si="1"/>
        <v>1.5</v>
      </c>
    </row>
    <row r="14" spans="1:7" x14ac:dyDescent="0.25">
      <c r="A14" s="380"/>
      <c r="B14" s="98" t="s">
        <v>22</v>
      </c>
      <c r="C14" s="38">
        <v>3</v>
      </c>
      <c r="D14" s="38">
        <v>1.5</v>
      </c>
      <c r="E14" s="38">
        <f t="shared" si="0"/>
        <v>1.5</v>
      </c>
      <c r="F14" s="38">
        <v>4.5</v>
      </c>
      <c r="G14" s="38">
        <f t="shared" si="1"/>
        <v>1.5</v>
      </c>
    </row>
    <row r="15" spans="1:7" x14ac:dyDescent="0.25">
      <c r="A15" s="194"/>
      <c r="B15" s="98" t="s">
        <v>332</v>
      </c>
      <c r="C15" s="38">
        <v>4</v>
      </c>
      <c r="D15" s="38">
        <v>3.6</v>
      </c>
      <c r="E15" s="38">
        <f t="shared" si="0"/>
        <v>0.39999999999999991</v>
      </c>
      <c r="F15" s="38">
        <v>4.4000000000000004</v>
      </c>
      <c r="G15" s="38">
        <f t="shared" si="1"/>
        <v>0.40000000000000036</v>
      </c>
    </row>
    <row r="16" spans="1:7" x14ac:dyDescent="0.25">
      <c r="A16" s="195"/>
      <c r="B16" s="98" t="s">
        <v>333</v>
      </c>
      <c r="C16" s="38">
        <v>3</v>
      </c>
      <c r="D16" s="38">
        <v>2.7</v>
      </c>
      <c r="E16" s="38">
        <f t="shared" si="0"/>
        <v>0.29999999999999982</v>
      </c>
      <c r="F16" s="38">
        <v>3.3</v>
      </c>
      <c r="G16" s="38">
        <f t="shared" si="1"/>
        <v>0.29999999999999982</v>
      </c>
    </row>
    <row r="17" spans="1:7" x14ac:dyDescent="0.25">
      <c r="A17" s="377" t="s">
        <v>25</v>
      </c>
      <c r="B17" s="98" t="s">
        <v>566</v>
      </c>
      <c r="C17" s="38">
        <v>1</v>
      </c>
      <c r="D17" s="38">
        <v>1</v>
      </c>
      <c r="E17" s="38">
        <f t="shared" si="0"/>
        <v>0</v>
      </c>
      <c r="F17" s="38">
        <v>1.5</v>
      </c>
      <c r="G17" s="38">
        <f t="shared" si="1"/>
        <v>0.5</v>
      </c>
    </row>
    <row r="18" spans="1:7" x14ac:dyDescent="0.25">
      <c r="A18" s="377"/>
      <c r="B18" s="98" t="s">
        <v>29</v>
      </c>
      <c r="C18" s="38">
        <v>1</v>
      </c>
      <c r="D18" s="38">
        <v>1</v>
      </c>
      <c r="E18" s="38">
        <f t="shared" si="0"/>
        <v>0</v>
      </c>
      <c r="F18" s="38">
        <v>1.5</v>
      </c>
      <c r="G18" s="38">
        <f t="shared" si="1"/>
        <v>0.5</v>
      </c>
    </row>
    <row r="19" spans="1:7" x14ac:dyDescent="0.25">
      <c r="A19" s="377"/>
      <c r="B19" s="98" t="s">
        <v>799</v>
      </c>
      <c r="C19" s="38">
        <v>1</v>
      </c>
      <c r="D19" s="38">
        <v>1</v>
      </c>
      <c r="E19" s="38">
        <f t="shared" si="0"/>
        <v>0</v>
      </c>
      <c r="F19" s="38">
        <v>1.5</v>
      </c>
      <c r="G19" s="38">
        <f t="shared" si="1"/>
        <v>0.5</v>
      </c>
    </row>
    <row r="20" spans="1:7" x14ac:dyDescent="0.25">
      <c r="A20" s="377"/>
      <c r="B20" s="98" t="s">
        <v>567</v>
      </c>
      <c r="C20" s="38">
        <v>1</v>
      </c>
      <c r="D20" s="38">
        <v>1</v>
      </c>
      <c r="E20" s="38">
        <f t="shared" si="0"/>
        <v>0</v>
      </c>
      <c r="F20" s="38">
        <v>1.5</v>
      </c>
      <c r="G20" s="38">
        <f t="shared" si="1"/>
        <v>0.5</v>
      </c>
    </row>
    <row r="21" spans="1:7" x14ac:dyDescent="0.25">
      <c r="A21" s="377"/>
      <c r="B21" s="98" t="s">
        <v>34</v>
      </c>
      <c r="C21" s="38">
        <v>1</v>
      </c>
      <c r="D21" s="38">
        <v>1</v>
      </c>
      <c r="E21" s="38">
        <f t="shared" si="0"/>
        <v>0</v>
      </c>
      <c r="F21" s="38">
        <v>1.1000000000000001</v>
      </c>
      <c r="G21" s="38">
        <f t="shared" si="1"/>
        <v>0.10000000000000009</v>
      </c>
    </row>
    <row r="22" spans="1:7" x14ac:dyDescent="0.25">
      <c r="A22" s="377"/>
      <c r="B22" s="98" t="s">
        <v>568</v>
      </c>
      <c r="C22" s="38">
        <v>1</v>
      </c>
      <c r="D22" s="38">
        <v>1</v>
      </c>
      <c r="E22" s="38">
        <f t="shared" si="0"/>
        <v>0</v>
      </c>
      <c r="F22" s="38">
        <v>1.5</v>
      </c>
      <c r="G22" s="38">
        <f t="shared" si="1"/>
        <v>0.5</v>
      </c>
    </row>
    <row r="23" spans="1:7" x14ac:dyDescent="0.25">
      <c r="A23" s="377"/>
      <c r="B23" s="98" t="s">
        <v>569</v>
      </c>
      <c r="C23" s="38">
        <v>1</v>
      </c>
      <c r="D23" s="38">
        <v>1</v>
      </c>
      <c r="E23" s="38">
        <f t="shared" si="0"/>
        <v>0</v>
      </c>
      <c r="F23" s="38">
        <v>1.5</v>
      </c>
      <c r="G23" s="38">
        <f t="shared" si="1"/>
        <v>0.5</v>
      </c>
    </row>
    <row r="24" spans="1:7" x14ac:dyDescent="0.25">
      <c r="A24" s="377"/>
      <c r="B24" s="98" t="s">
        <v>570</v>
      </c>
      <c r="C24" s="38">
        <v>1</v>
      </c>
      <c r="D24" s="38">
        <v>1</v>
      </c>
      <c r="E24" s="38">
        <f t="shared" si="0"/>
        <v>0</v>
      </c>
      <c r="F24" s="38">
        <v>1.5</v>
      </c>
      <c r="G24" s="38">
        <f t="shared" si="1"/>
        <v>0.5</v>
      </c>
    </row>
    <row r="25" spans="1:7" x14ac:dyDescent="0.25">
      <c r="A25" s="377"/>
      <c r="B25" s="98" t="s">
        <v>36</v>
      </c>
      <c r="C25" s="38">
        <v>1</v>
      </c>
      <c r="D25" s="38">
        <v>1</v>
      </c>
      <c r="E25" s="38">
        <f t="shared" si="0"/>
        <v>0</v>
      </c>
      <c r="F25" s="38">
        <v>1.1000000000000001</v>
      </c>
      <c r="G25" s="38">
        <f t="shared" si="1"/>
        <v>0.10000000000000009</v>
      </c>
    </row>
    <row r="26" spans="1:7" x14ac:dyDescent="0.25">
      <c r="A26" s="377"/>
      <c r="B26" s="98" t="s">
        <v>293</v>
      </c>
      <c r="C26" s="38">
        <v>2</v>
      </c>
      <c r="D26" s="38">
        <v>1</v>
      </c>
      <c r="E26" s="38">
        <f t="shared" si="0"/>
        <v>1</v>
      </c>
      <c r="F26" s="38">
        <v>3</v>
      </c>
      <c r="G26" s="38">
        <f t="shared" si="1"/>
        <v>1</v>
      </c>
    </row>
    <row r="27" spans="1:7" x14ac:dyDescent="0.25">
      <c r="A27" s="377"/>
      <c r="B27" s="98" t="s">
        <v>37</v>
      </c>
      <c r="C27" s="38">
        <v>1</v>
      </c>
      <c r="D27" s="38">
        <v>1</v>
      </c>
      <c r="E27" s="38">
        <f t="shared" si="0"/>
        <v>0</v>
      </c>
      <c r="F27" s="38">
        <v>1.1000000000000001</v>
      </c>
      <c r="G27" s="38">
        <f t="shared" si="1"/>
        <v>0.10000000000000009</v>
      </c>
    </row>
    <row r="28" spans="1:7" x14ac:dyDescent="0.25">
      <c r="A28" s="377"/>
      <c r="B28" s="98" t="s">
        <v>291</v>
      </c>
      <c r="C28" s="38">
        <v>3</v>
      </c>
      <c r="D28" s="38">
        <v>1.5</v>
      </c>
      <c r="E28" s="38">
        <f t="shared" si="0"/>
        <v>1.5</v>
      </c>
      <c r="F28" s="38">
        <v>4.5</v>
      </c>
      <c r="G28" s="38">
        <f t="shared" si="1"/>
        <v>1.5</v>
      </c>
    </row>
    <row r="29" spans="1:7" x14ac:dyDescent="0.25">
      <c r="A29" s="377"/>
      <c r="B29" s="98" t="s">
        <v>287</v>
      </c>
      <c r="C29" s="38">
        <v>1</v>
      </c>
      <c r="D29" s="38">
        <v>1</v>
      </c>
      <c r="E29" s="38">
        <f t="shared" si="0"/>
        <v>0</v>
      </c>
      <c r="F29" s="38">
        <v>1.5</v>
      </c>
      <c r="G29" s="38">
        <f t="shared" si="1"/>
        <v>0.5</v>
      </c>
    </row>
    <row r="30" spans="1:7" x14ac:dyDescent="0.25">
      <c r="A30" s="377"/>
      <c r="B30" s="98" t="s">
        <v>261</v>
      </c>
      <c r="C30" s="38">
        <v>1</v>
      </c>
      <c r="D30" s="38">
        <v>1</v>
      </c>
      <c r="E30" s="38">
        <f t="shared" si="0"/>
        <v>0</v>
      </c>
      <c r="F30" s="38">
        <v>1.5</v>
      </c>
      <c r="G30" s="38">
        <f t="shared" si="1"/>
        <v>0.5</v>
      </c>
    </row>
    <row r="31" spans="1:7" x14ac:dyDescent="0.25">
      <c r="A31" s="377"/>
      <c r="B31" s="98" t="s">
        <v>40</v>
      </c>
      <c r="C31" s="38">
        <v>2</v>
      </c>
      <c r="D31" s="38">
        <v>1</v>
      </c>
      <c r="E31" s="38">
        <f t="shared" si="0"/>
        <v>1</v>
      </c>
      <c r="F31" s="38">
        <v>3</v>
      </c>
      <c r="G31" s="38">
        <f t="shared" si="1"/>
        <v>1</v>
      </c>
    </row>
    <row r="32" spans="1:7" x14ac:dyDescent="0.25">
      <c r="A32" s="377"/>
      <c r="B32" s="98" t="s">
        <v>44</v>
      </c>
      <c r="C32" s="38">
        <v>1</v>
      </c>
      <c r="D32" s="38">
        <v>1</v>
      </c>
      <c r="E32" s="38">
        <f t="shared" si="0"/>
        <v>0</v>
      </c>
      <c r="F32" s="38">
        <v>1.5</v>
      </c>
      <c r="G32" s="38">
        <f t="shared" si="1"/>
        <v>0.5</v>
      </c>
    </row>
    <row r="33" spans="1:7" x14ac:dyDescent="0.25">
      <c r="A33" s="377"/>
      <c r="B33" s="98" t="s">
        <v>571</v>
      </c>
      <c r="C33" s="38">
        <v>1</v>
      </c>
      <c r="D33" s="38">
        <v>1</v>
      </c>
      <c r="E33" s="38">
        <f t="shared" si="0"/>
        <v>0</v>
      </c>
      <c r="F33" s="38">
        <v>1.5</v>
      </c>
      <c r="G33" s="38">
        <f t="shared" si="1"/>
        <v>0.5</v>
      </c>
    </row>
    <row r="34" spans="1:7" x14ac:dyDescent="0.25">
      <c r="A34" s="379"/>
      <c r="B34" s="98" t="s">
        <v>573</v>
      </c>
      <c r="C34" s="38">
        <v>1</v>
      </c>
      <c r="D34" s="38">
        <v>1</v>
      </c>
      <c r="E34" s="38">
        <f t="shared" si="0"/>
        <v>0</v>
      </c>
      <c r="F34" s="38">
        <v>1.1000000000000001</v>
      </c>
      <c r="G34" s="38">
        <f t="shared" si="1"/>
        <v>0.10000000000000009</v>
      </c>
    </row>
    <row r="35" spans="1:7" x14ac:dyDescent="0.25">
      <c r="A35" s="195"/>
      <c r="B35" s="98" t="s">
        <v>577</v>
      </c>
      <c r="C35" s="38">
        <v>1</v>
      </c>
      <c r="D35" s="38">
        <v>1</v>
      </c>
      <c r="E35" s="38">
        <f t="shared" si="0"/>
        <v>0</v>
      </c>
      <c r="F35" s="38">
        <v>1.5</v>
      </c>
      <c r="G35" s="38">
        <f t="shared" si="1"/>
        <v>0.5</v>
      </c>
    </row>
    <row r="36" spans="1:7" x14ac:dyDescent="0.25">
      <c r="A36" s="378" t="s">
        <v>46</v>
      </c>
      <c r="B36" s="98" t="s">
        <v>47</v>
      </c>
      <c r="C36" s="38">
        <v>4</v>
      </c>
      <c r="D36" s="38">
        <v>2</v>
      </c>
      <c r="E36" s="38">
        <f t="shared" si="0"/>
        <v>2</v>
      </c>
      <c r="F36" s="38">
        <v>5</v>
      </c>
      <c r="G36" s="38">
        <f t="shared" si="1"/>
        <v>1</v>
      </c>
    </row>
    <row r="37" spans="1:7" x14ac:dyDescent="0.25">
      <c r="A37" s="377"/>
      <c r="B37" s="90" t="s">
        <v>980</v>
      </c>
      <c r="C37" s="38">
        <v>4</v>
      </c>
      <c r="D37" s="38">
        <v>2</v>
      </c>
      <c r="E37" s="38">
        <f t="shared" si="0"/>
        <v>2</v>
      </c>
      <c r="F37" s="38">
        <v>5</v>
      </c>
      <c r="G37" s="38">
        <f t="shared" si="1"/>
        <v>1</v>
      </c>
    </row>
    <row r="38" spans="1:7" x14ac:dyDescent="0.25">
      <c r="A38" s="377" t="s">
        <v>51</v>
      </c>
      <c r="B38" s="90" t="s">
        <v>576</v>
      </c>
      <c r="C38" s="38">
        <v>2</v>
      </c>
      <c r="D38" s="38">
        <v>1.8</v>
      </c>
      <c r="E38" s="38">
        <f t="shared" si="0"/>
        <v>0.19999999999999996</v>
      </c>
      <c r="F38" s="38">
        <v>2.2000000000000002</v>
      </c>
      <c r="G38" s="38">
        <f t="shared" si="1"/>
        <v>0.20000000000000018</v>
      </c>
    </row>
    <row r="39" spans="1:7" x14ac:dyDescent="0.25">
      <c r="A39" s="377"/>
      <c r="B39" s="74" t="s">
        <v>981</v>
      </c>
      <c r="C39" s="38">
        <v>2</v>
      </c>
      <c r="D39" s="38">
        <v>1.8</v>
      </c>
      <c r="E39" s="38">
        <f t="shared" si="0"/>
        <v>0.19999999999999996</v>
      </c>
      <c r="F39" s="38">
        <v>2.2000000000000002</v>
      </c>
      <c r="G39" s="38">
        <f t="shared" si="1"/>
        <v>0.20000000000000018</v>
      </c>
    </row>
    <row r="40" spans="1:7" x14ac:dyDescent="0.25">
      <c r="A40" s="377"/>
      <c r="B40" s="90" t="s">
        <v>56</v>
      </c>
      <c r="C40" s="38">
        <v>2</v>
      </c>
      <c r="D40" s="38">
        <v>1.8</v>
      </c>
      <c r="E40" s="38">
        <f t="shared" si="0"/>
        <v>0.19999999999999996</v>
      </c>
      <c r="F40" s="38">
        <v>2.2000000000000002</v>
      </c>
      <c r="G40" s="38">
        <f t="shared" si="1"/>
        <v>0.20000000000000018</v>
      </c>
    </row>
    <row r="41" spans="1:7" x14ac:dyDescent="0.25">
      <c r="A41" s="377" t="s">
        <v>135</v>
      </c>
      <c r="B41" s="90" t="s">
        <v>136</v>
      </c>
      <c r="C41" s="38">
        <v>2</v>
      </c>
      <c r="D41" s="38">
        <v>1.5</v>
      </c>
      <c r="E41" s="38">
        <f t="shared" si="0"/>
        <v>0.5</v>
      </c>
      <c r="F41" s="38">
        <v>2.5</v>
      </c>
      <c r="G41" s="38">
        <f t="shared" si="1"/>
        <v>0.5</v>
      </c>
    </row>
    <row r="42" spans="1:7" x14ac:dyDescent="0.25">
      <c r="A42" s="377"/>
      <c r="B42" s="90" t="s">
        <v>589</v>
      </c>
      <c r="C42" s="38">
        <v>2</v>
      </c>
      <c r="D42" s="38">
        <v>1.5</v>
      </c>
      <c r="E42" s="38">
        <f t="shared" si="0"/>
        <v>0.5</v>
      </c>
      <c r="F42" s="38">
        <v>2.5</v>
      </c>
      <c r="G42" s="38">
        <f t="shared" si="1"/>
        <v>0.5</v>
      </c>
    </row>
    <row r="43" spans="1:7" x14ac:dyDescent="0.25">
      <c r="A43" s="379" t="s">
        <v>69</v>
      </c>
      <c r="B43" s="90" t="s">
        <v>263</v>
      </c>
      <c r="C43" s="38">
        <v>2</v>
      </c>
      <c r="D43" s="38">
        <v>1.8</v>
      </c>
      <c r="E43" s="38">
        <f t="shared" si="0"/>
        <v>0.19999999999999996</v>
      </c>
      <c r="F43" s="38">
        <v>2.2000000000000002</v>
      </c>
      <c r="G43" s="38">
        <f t="shared" si="1"/>
        <v>0.20000000000000018</v>
      </c>
    </row>
    <row r="44" spans="1:7" x14ac:dyDescent="0.25">
      <c r="A44" s="380"/>
      <c r="B44" s="90" t="s">
        <v>579</v>
      </c>
      <c r="C44" s="38">
        <v>2</v>
      </c>
      <c r="D44" s="38">
        <v>1.5</v>
      </c>
      <c r="E44" s="38">
        <f t="shared" si="0"/>
        <v>0.5</v>
      </c>
      <c r="F44" s="38">
        <v>2.5</v>
      </c>
      <c r="G44" s="38">
        <f t="shared" si="1"/>
        <v>0.5</v>
      </c>
    </row>
    <row r="45" spans="1:7" x14ac:dyDescent="0.25">
      <c r="A45" s="380"/>
      <c r="B45" s="90" t="s">
        <v>580</v>
      </c>
      <c r="C45" s="38">
        <v>2</v>
      </c>
      <c r="D45" s="38">
        <v>1.5</v>
      </c>
      <c r="E45" s="38">
        <f t="shared" si="0"/>
        <v>0.5</v>
      </c>
      <c r="F45" s="38">
        <v>2.5</v>
      </c>
      <c r="G45" s="38">
        <f t="shared" si="1"/>
        <v>0.5</v>
      </c>
    </row>
    <row r="46" spans="1:7" x14ac:dyDescent="0.25">
      <c r="A46" s="380"/>
      <c r="B46" s="90" t="s">
        <v>76</v>
      </c>
      <c r="C46" s="38">
        <v>1</v>
      </c>
      <c r="D46" s="38">
        <v>1</v>
      </c>
      <c r="E46" s="38">
        <f t="shared" si="0"/>
        <v>0</v>
      </c>
      <c r="F46" s="38">
        <v>1.5</v>
      </c>
      <c r="G46" s="38">
        <f t="shared" si="1"/>
        <v>0.5</v>
      </c>
    </row>
    <row r="47" spans="1:7" x14ac:dyDescent="0.25">
      <c r="A47" s="380"/>
      <c r="B47" s="90" t="s">
        <v>581</v>
      </c>
      <c r="C47" s="38">
        <v>1</v>
      </c>
      <c r="D47" s="38">
        <v>1</v>
      </c>
      <c r="E47" s="38">
        <f t="shared" si="0"/>
        <v>0</v>
      </c>
      <c r="F47" s="38">
        <v>1.5</v>
      </c>
      <c r="G47" s="38">
        <f t="shared" si="1"/>
        <v>0.5</v>
      </c>
    </row>
    <row r="48" spans="1:7" x14ac:dyDescent="0.25">
      <c r="A48" s="380"/>
      <c r="B48" s="90" t="s">
        <v>79</v>
      </c>
      <c r="C48" s="38">
        <v>1</v>
      </c>
      <c r="D48" s="38">
        <v>1</v>
      </c>
      <c r="E48" s="38">
        <f t="shared" si="0"/>
        <v>0</v>
      </c>
      <c r="F48" s="38">
        <v>1.5</v>
      </c>
      <c r="G48" s="38">
        <f t="shared" si="1"/>
        <v>0.5</v>
      </c>
    </row>
    <row r="49" spans="1:7" x14ac:dyDescent="0.25">
      <c r="A49" s="380"/>
      <c r="B49" s="90" t="s">
        <v>582</v>
      </c>
      <c r="C49" s="38">
        <v>1</v>
      </c>
      <c r="D49" s="38">
        <v>1</v>
      </c>
      <c r="E49" s="38">
        <f t="shared" si="0"/>
        <v>0</v>
      </c>
      <c r="F49" s="38">
        <v>1.5</v>
      </c>
      <c r="G49" s="38">
        <f t="shared" si="1"/>
        <v>0.5</v>
      </c>
    </row>
    <row r="50" spans="1:7" x14ac:dyDescent="0.25">
      <c r="A50" s="380"/>
      <c r="B50" s="98" t="s">
        <v>83</v>
      </c>
      <c r="C50" s="38">
        <v>1</v>
      </c>
      <c r="D50" s="38">
        <v>1</v>
      </c>
      <c r="E50" s="38">
        <f t="shared" si="0"/>
        <v>0</v>
      </c>
      <c r="F50" s="38">
        <v>1.1000000000000001</v>
      </c>
      <c r="G50" s="38">
        <f t="shared" si="1"/>
        <v>0.10000000000000009</v>
      </c>
    </row>
    <row r="51" spans="1:7" x14ac:dyDescent="0.25">
      <c r="A51" s="380"/>
      <c r="B51" s="90" t="s">
        <v>583</v>
      </c>
      <c r="C51" s="38">
        <v>1</v>
      </c>
      <c r="D51" s="38">
        <v>1</v>
      </c>
      <c r="E51" s="38">
        <f t="shared" si="0"/>
        <v>0</v>
      </c>
      <c r="F51" s="38">
        <v>1.5</v>
      </c>
      <c r="G51" s="38">
        <f t="shared" si="1"/>
        <v>0.5</v>
      </c>
    </row>
    <row r="52" spans="1:7" x14ac:dyDescent="0.25">
      <c r="A52" s="380"/>
      <c r="B52" s="90" t="s">
        <v>584</v>
      </c>
      <c r="C52" s="38">
        <v>1</v>
      </c>
      <c r="D52" s="38">
        <v>1</v>
      </c>
      <c r="E52" s="38">
        <f t="shared" si="0"/>
        <v>0</v>
      </c>
      <c r="F52" s="38">
        <v>1.25</v>
      </c>
      <c r="G52" s="38">
        <f t="shared" si="1"/>
        <v>0.25</v>
      </c>
    </row>
    <row r="53" spans="1:7" x14ac:dyDescent="0.25">
      <c r="A53" s="380"/>
      <c r="B53" s="90" t="s">
        <v>87</v>
      </c>
      <c r="C53" s="38">
        <v>1</v>
      </c>
      <c r="D53" s="38">
        <v>1</v>
      </c>
      <c r="E53" s="38">
        <f t="shared" si="0"/>
        <v>0</v>
      </c>
      <c r="F53" s="38">
        <v>1.1000000000000001</v>
      </c>
      <c r="G53" s="38">
        <f t="shared" si="1"/>
        <v>0.10000000000000009</v>
      </c>
    </row>
    <row r="54" spans="1:7" x14ac:dyDescent="0.25">
      <c r="A54" s="380"/>
      <c r="B54" s="90" t="s">
        <v>89</v>
      </c>
      <c r="C54" s="38">
        <v>3</v>
      </c>
      <c r="D54" s="38">
        <v>1.5</v>
      </c>
      <c r="E54" s="38">
        <f t="shared" si="0"/>
        <v>1.5</v>
      </c>
      <c r="F54" s="38">
        <v>4.5</v>
      </c>
      <c r="G54" s="38">
        <f t="shared" si="1"/>
        <v>1.5</v>
      </c>
    </row>
    <row r="55" spans="1:7" x14ac:dyDescent="0.25">
      <c r="A55" s="380"/>
      <c r="B55" s="90" t="s">
        <v>92</v>
      </c>
      <c r="C55" s="38">
        <v>3</v>
      </c>
      <c r="D55" s="38">
        <v>2.7</v>
      </c>
      <c r="E55" s="38">
        <f t="shared" si="0"/>
        <v>0.29999999999999982</v>
      </c>
      <c r="F55" s="38">
        <v>3.3</v>
      </c>
      <c r="G55" s="38">
        <f t="shared" si="1"/>
        <v>0.29999999999999982</v>
      </c>
    </row>
    <row r="56" spans="1:7" x14ac:dyDescent="0.25">
      <c r="A56" s="380"/>
      <c r="B56" s="90" t="s">
        <v>94</v>
      </c>
      <c r="C56" s="38">
        <v>3</v>
      </c>
      <c r="D56" s="38">
        <v>2.7</v>
      </c>
      <c r="E56" s="38">
        <f t="shared" si="0"/>
        <v>0.29999999999999982</v>
      </c>
      <c r="F56" s="38">
        <v>3.3</v>
      </c>
      <c r="G56" s="38">
        <f t="shared" si="1"/>
        <v>0.29999999999999982</v>
      </c>
    </row>
    <row r="57" spans="1:7" x14ac:dyDescent="0.25">
      <c r="A57" s="380"/>
      <c r="B57" s="90" t="s">
        <v>96</v>
      </c>
      <c r="C57" s="38">
        <v>4</v>
      </c>
      <c r="D57" s="38">
        <v>2</v>
      </c>
      <c r="E57" s="38">
        <f t="shared" si="0"/>
        <v>2</v>
      </c>
      <c r="F57" s="38">
        <v>5</v>
      </c>
      <c r="G57" s="38">
        <f t="shared" si="1"/>
        <v>1</v>
      </c>
    </row>
    <row r="58" spans="1:7" x14ac:dyDescent="0.25">
      <c r="A58" s="380"/>
      <c r="B58" s="90" t="s">
        <v>99</v>
      </c>
      <c r="C58" s="38">
        <v>3</v>
      </c>
      <c r="D58" s="38">
        <v>1.5</v>
      </c>
      <c r="E58" s="38">
        <f t="shared" si="0"/>
        <v>1.5</v>
      </c>
      <c r="F58" s="38">
        <v>4.5</v>
      </c>
      <c r="G58" s="38">
        <f t="shared" si="1"/>
        <v>1.5</v>
      </c>
    </row>
    <row r="59" spans="1:7" x14ac:dyDescent="0.25">
      <c r="A59" s="380"/>
      <c r="B59" s="90" t="s">
        <v>148</v>
      </c>
      <c r="C59" s="38">
        <v>3</v>
      </c>
      <c r="D59" s="38">
        <v>1.5</v>
      </c>
      <c r="E59" s="38">
        <f t="shared" si="0"/>
        <v>1.5</v>
      </c>
      <c r="F59" s="38">
        <v>4.5</v>
      </c>
      <c r="G59" s="38">
        <f t="shared" si="1"/>
        <v>1.5</v>
      </c>
    </row>
    <row r="60" spans="1:7" x14ac:dyDescent="0.25">
      <c r="A60" s="380"/>
      <c r="B60" s="90" t="s">
        <v>102</v>
      </c>
      <c r="C60" s="38">
        <v>3</v>
      </c>
      <c r="D60" s="38">
        <v>1.5</v>
      </c>
      <c r="E60" s="38">
        <f t="shared" si="0"/>
        <v>1.5</v>
      </c>
      <c r="F60" s="38">
        <v>4.5</v>
      </c>
      <c r="G60" s="38">
        <f t="shared" si="1"/>
        <v>1.5</v>
      </c>
    </row>
    <row r="61" spans="1:7" x14ac:dyDescent="0.25">
      <c r="A61" s="194"/>
      <c r="B61" s="98" t="s">
        <v>325</v>
      </c>
      <c r="C61" s="38">
        <v>2</v>
      </c>
      <c r="D61" s="38">
        <v>1</v>
      </c>
      <c r="E61" s="38">
        <f t="shared" si="0"/>
        <v>1</v>
      </c>
      <c r="F61" s="38">
        <v>3</v>
      </c>
      <c r="G61" s="38">
        <f t="shared" si="1"/>
        <v>1</v>
      </c>
    </row>
    <row r="62" spans="1:7" x14ac:dyDescent="0.25">
      <c r="A62" s="195"/>
      <c r="B62" s="98" t="s">
        <v>294</v>
      </c>
      <c r="C62" s="38">
        <v>4</v>
      </c>
      <c r="D62" s="38">
        <v>2</v>
      </c>
      <c r="E62" s="38">
        <f t="shared" si="0"/>
        <v>2</v>
      </c>
      <c r="F62" s="38">
        <v>5</v>
      </c>
      <c r="G62" s="38">
        <f t="shared" si="1"/>
        <v>1</v>
      </c>
    </row>
    <row r="63" spans="1:7" x14ac:dyDescent="0.25">
      <c r="A63" s="378" t="s">
        <v>105</v>
      </c>
      <c r="B63" s="90" t="s">
        <v>585</v>
      </c>
      <c r="C63" s="38">
        <v>2</v>
      </c>
      <c r="D63" s="38">
        <v>1</v>
      </c>
      <c r="E63" s="38">
        <f t="shared" si="0"/>
        <v>1</v>
      </c>
      <c r="F63" s="38">
        <v>3</v>
      </c>
      <c r="G63" s="38">
        <f t="shared" si="1"/>
        <v>1</v>
      </c>
    </row>
    <row r="64" spans="1:7" x14ac:dyDescent="0.25">
      <c r="A64" s="377"/>
      <c r="B64" s="90" t="s">
        <v>108</v>
      </c>
      <c r="C64" s="38">
        <v>2</v>
      </c>
      <c r="D64" s="38">
        <v>1.8</v>
      </c>
      <c r="E64" s="38">
        <f t="shared" si="0"/>
        <v>0.19999999999999996</v>
      </c>
      <c r="F64" s="38">
        <v>2.2000000000000002</v>
      </c>
      <c r="G64" s="38">
        <f t="shared" si="1"/>
        <v>0.20000000000000018</v>
      </c>
    </row>
    <row r="65" spans="1:7" x14ac:dyDescent="0.25">
      <c r="A65" s="377"/>
      <c r="B65" s="90" t="s">
        <v>111</v>
      </c>
      <c r="C65" s="38">
        <v>2</v>
      </c>
      <c r="D65" s="38">
        <v>1</v>
      </c>
      <c r="E65" s="38">
        <f t="shared" si="0"/>
        <v>1</v>
      </c>
      <c r="F65" s="38">
        <v>3</v>
      </c>
      <c r="G65" s="38">
        <f t="shared" si="1"/>
        <v>1</v>
      </c>
    </row>
    <row r="66" spans="1:7" x14ac:dyDescent="0.25">
      <c r="A66" s="377"/>
      <c r="B66" s="90" t="s">
        <v>114</v>
      </c>
      <c r="C66" s="38">
        <v>2</v>
      </c>
      <c r="D66" s="38">
        <v>1</v>
      </c>
      <c r="E66" s="38">
        <f t="shared" si="0"/>
        <v>1</v>
      </c>
      <c r="F66" s="38">
        <v>3</v>
      </c>
      <c r="G66" s="38">
        <f t="shared" si="1"/>
        <v>1</v>
      </c>
    </row>
    <row r="67" spans="1:7" x14ac:dyDescent="0.25">
      <c r="A67" s="336" t="s">
        <v>117</v>
      </c>
      <c r="B67" s="90" t="s">
        <v>118</v>
      </c>
      <c r="C67" s="38">
        <v>3</v>
      </c>
      <c r="D67" s="38">
        <v>2.25</v>
      </c>
      <c r="E67" s="38">
        <f t="shared" ref="E67:E76" si="2">C67-D67</f>
        <v>0.75</v>
      </c>
      <c r="F67" s="38">
        <v>3.75</v>
      </c>
      <c r="G67" s="38">
        <f t="shared" ref="G67:G76" si="3">F67-C67</f>
        <v>0.75</v>
      </c>
    </row>
    <row r="68" spans="1:7" x14ac:dyDescent="0.25">
      <c r="A68" s="337"/>
      <c r="B68" s="90" t="s">
        <v>123</v>
      </c>
      <c r="C68" s="38">
        <v>3</v>
      </c>
      <c r="D68" s="38">
        <v>2.25</v>
      </c>
      <c r="E68" s="38">
        <f t="shared" si="2"/>
        <v>0.75</v>
      </c>
      <c r="F68" s="38">
        <v>3.75</v>
      </c>
      <c r="G68" s="38">
        <f t="shared" si="3"/>
        <v>0.75</v>
      </c>
    </row>
    <row r="69" spans="1:7" x14ac:dyDescent="0.25">
      <c r="A69" s="337"/>
      <c r="B69" s="90" t="s">
        <v>587</v>
      </c>
      <c r="C69" s="38">
        <v>4</v>
      </c>
      <c r="D69" s="38">
        <v>3</v>
      </c>
      <c r="E69" s="38">
        <f t="shared" si="2"/>
        <v>1</v>
      </c>
      <c r="F69" s="38">
        <v>5</v>
      </c>
      <c r="G69" s="38">
        <f t="shared" si="3"/>
        <v>1</v>
      </c>
    </row>
    <row r="70" spans="1:7" x14ac:dyDescent="0.25">
      <c r="A70" s="337"/>
      <c r="B70" s="98" t="s">
        <v>703</v>
      </c>
      <c r="C70" s="38">
        <v>4</v>
      </c>
      <c r="D70" s="38">
        <v>2</v>
      </c>
      <c r="E70" s="38">
        <f t="shared" si="2"/>
        <v>2</v>
      </c>
      <c r="F70" s="38">
        <v>5</v>
      </c>
      <c r="G70" s="38">
        <f t="shared" si="3"/>
        <v>1</v>
      </c>
    </row>
    <row r="71" spans="1:7" x14ac:dyDescent="0.25">
      <c r="A71" s="337"/>
      <c r="B71" s="90" t="s">
        <v>127</v>
      </c>
      <c r="C71" s="38">
        <v>3</v>
      </c>
      <c r="D71" s="38">
        <v>2.7</v>
      </c>
      <c r="E71" s="38">
        <f t="shared" si="2"/>
        <v>0.29999999999999982</v>
      </c>
      <c r="F71" s="38">
        <v>3.3</v>
      </c>
      <c r="G71" s="38">
        <f t="shared" si="3"/>
        <v>0.29999999999999982</v>
      </c>
    </row>
    <row r="72" spans="1:7" x14ac:dyDescent="0.25">
      <c r="A72" s="337"/>
      <c r="B72" s="90" t="s">
        <v>131</v>
      </c>
      <c r="C72" s="38">
        <v>3</v>
      </c>
      <c r="D72" s="38">
        <v>2.25</v>
      </c>
      <c r="E72" s="38">
        <f>C72-D72</f>
        <v>0.75</v>
      </c>
      <c r="F72" s="38">
        <v>3.75</v>
      </c>
      <c r="G72" s="38">
        <f>F72-C72</f>
        <v>0.75</v>
      </c>
    </row>
    <row r="73" spans="1:7" x14ac:dyDescent="0.25">
      <c r="A73" s="337"/>
      <c r="B73" s="90" t="s">
        <v>588</v>
      </c>
      <c r="C73" s="38">
        <v>3</v>
      </c>
      <c r="D73" s="38">
        <v>2.25</v>
      </c>
      <c r="E73" s="38">
        <f t="shared" si="2"/>
        <v>0.75</v>
      </c>
      <c r="F73" s="38">
        <v>3.75</v>
      </c>
      <c r="G73" s="38">
        <f t="shared" si="3"/>
        <v>0.75</v>
      </c>
    </row>
    <row r="74" spans="1:7" x14ac:dyDescent="0.25">
      <c r="A74" s="337"/>
      <c r="B74" s="90" t="s">
        <v>129</v>
      </c>
      <c r="C74" s="38">
        <v>3</v>
      </c>
      <c r="D74" s="38">
        <v>2.25</v>
      </c>
      <c r="E74" s="38">
        <f t="shared" si="2"/>
        <v>0.75</v>
      </c>
      <c r="F74" s="38">
        <v>3.75</v>
      </c>
      <c r="G74" s="38">
        <f t="shared" si="3"/>
        <v>0.75</v>
      </c>
    </row>
    <row r="75" spans="1:7" x14ac:dyDescent="0.25">
      <c r="A75" s="338"/>
      <c r="B75" s="90" t="s">
        <v>133</v>
      </c>
      <c r="C75" s="38">
        <v>3</v>
      </c>
      <c r="D75" s="38">
        <v>2.25</v>
      </c>
      <c r="E75" s="38">
        <f>C75-D75</f>
        <v>0.75</v>
      </c>
      <c r="F75" s="38">
        <v>3.75</v>
      </c>
      <c r="G75" s="38">
        <f>F75-C75</f>
        <v>0.75</v>
      </c>
    </row>
    <row r="76" spans="1:7" x14ac:dyDescent="0.25">
      <c r="A76" s="337"/>
      <c r="B76" s="98" t="s">
        <v>288</v>
      </c>
      <c r="C76" s="38">
        <v>2</v>
      </c>
      <c r="D76" s="38">
        <v>1.5</v>
      </c>
      <c r="E76" s="38">
        <f t="shared" si="2"/>
        <v>0.5</v>
      </c>
      <c r="F76" s="38">
        <v>2.5</v>
      </c>
      <c r="G76" s="38">
        <f t="shared" si="3"/>
        <v>0.5</v>
      </c>
    </row>
    <row r="77" spans="1:7" x14ac:dyDescent="0.25">
      <c r="A77" s="337"/>
      <c r="B77" s="90" t="s">
        <v>586</v>
      </c>
      <c r="C77" s="38">
        <v>3</v>
      </c>
      <c r="D77" s="38">
        <v>2.25</v>
      </c>
      <c r="E77" s="38">
        <f>C77-D77</f>
        <v>0.75</v>
      </c>
      <c r="F77" s="38">
        <v>3.75</v>
      </c>
      <c r="G77" s="38">
        <f>F77-C77</f>
        <v>0.75</v>
      </c>
    </row>
  </sheetData>
  <mergeCells count="9">
    <mergeCell ref="A41:A42"/>
    <mergeCell ref="A43:A60"/>
    <mergeCell ref="A63:A66"/>
    <mergeCell ref="A2:A7"/>
    <mergeCell ref="A8:A10"/>
    <mergeCell ref="A12:A14"/>
    <mergeCell ref="A17:A34"/>
    <mergeCell ref="A36:A37"/>
    <mergeCell ref="A38:A40"/>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workbookViewId="0">
      <pane xSplit="2" ySplit="1" topLeftCell="C15" activePane="bottomRight" state="frozen"/>
      <selection pane="topRight" activeCell="C1" sqref="C1"/>
      <selection pane="bottomLeft" activeCell="A2" sqref="A2"/>
      <selection pane="bottomRight" activeCell="B40" sqref="B40"/>
    </sheetView>
  </sheetViews>
  <sheetFormatPr defaultRowHeight="15.75" x14ac:dyDescent="0.25"/>
  <cols>
    <col min="1" max="1" width="14.25" customWidth="1"/>
    <col min="2" max="2" width="22.25" customWidth="1"/>
    <col min="7" max="8" width="0" hidden="1" customWidth="1"/>
    <col min="9" max="9" width="10.75" hidden="1" customWidth="1"/>
    <col min="10" max="10" width="10.875" hidden="1" customWidth="1"/>
  </cols>
  <sheetData>
    <row r="1" spans="1:12" ht="45" x14ac:dyDescent="0.25">
      <c r="A1" s="149" t="s">
        <v>146</v>
      </c>
      <c r="B1" s="327" t="s">
        <v>147</v>
      </c>
      <c r="C1" s="23" t="s">
        <v>239</v>
      </c>
      <c r="D1" s="23" t="s">
        <v>966</v>
      </c>
      <c r="E1" s="23" t="s">
        <v>967</v>
      </c>
      <c r="F1" s="23" t="s">
        <v>976</v>
      </c>
      <c r="K1" s="23" t="s">
        <v>974</v>
      </c>
      <c r="L1" s="23" t="s">
        <v>975</v>
      </c>
    </row>
    <row r="2" spans="1:12" x14ac:dyDescent="0.25">
      <c r="A2" s="377" t="s">
        <v>58</v>
      </c>
      <c r="B2" s="90" t="s">
        <v>59</v>
      </c>
      <c r="C2" s="269">
        <v>3</v>
      </c>
      <c r="D2" s="269">
        <v>2.25</v>
      </c>
      <c r="E2" s="269">
        <v>3.75</v>
      </c>
      <c r="F2" s="269">
        <v>3</v>
      </c>
      <c r="G2" s="269">
        <v>25</v>
      </c>
      <c r="H2" s="270">
        <f t="shared" ref="H2" si="0">(G2/100)*F2</f>
        <v>0.75</v>
      </c>
      <c r="I2" s="270">
        <f>IF((F2-H2)&lt;1,1,F2-H2)</f>
        <v>2.25</v>
      </c>
      <c r="J2" s="270">
        <f>IF((F2+H2)&gt;5,5,F2+H2)</f>
        <v>3.75</v>
      </c>
      <c r="K2">
        <f>F2-I2</f>
        <v>0.75</v>
      </c>
      <c r="L2">
        <f>J2-F2</f>
        <v>0.75</v>
      </c>
    </row>
    <row r="3" spans="1:12" x14ac:dyDescent="0.25">
      <c r="A3" s="377"/>
      <c r="B3" s="90" t="s">
        <v>61</v>
      </c>
      <c r="C3" s="26">
        <v>3</v>
      </c>
      <c r="D3" s="26">
        <v>1.5</v>
      </c>
      <c r="E3" s="26">
        <v>4.5</v>
      </c>
      <c r="F3" s="26">
        <v>3</v>
      </c>
      <c r="G3" s="26">
        <v>50</v>
      </c>
      <c r="H3" s="270">
        <f t="shared" ref="H3:H66" si="1">(G3/100)*F3</f>
        <v>1.5</v>
      </c>
      <c r="I3" s="270">
        <f t="shared" ref="I3:I66" si="2">IF((F3-H3)&lt;1,1,F3-H3)</f>
        <v>1.5</v>
      </c>
      <c r="J3" s="270">
        <f t="shared" ref="J3:J66" si="3">IF((F3+H3)&gt;5,5,F3+H3)</f>
        <v>4.5</v>
      </c>
      <c r="K3" s="88">
        <f t="shared" ref="K3:K66" si="4">F3-I3</f>
        <v>1.5</v>
      </c>
      <c r="L3" s="88">
        <f t="shared" ref="L3:L66" si="5">J3-F3</f>
        <v>1.5</v>
      </c>
    </row>
    <row r="4" spans="1:12" x14ac:dyDescent="0.25">
      <c r="A4" s="377"/>
      <c r="B4" s="90" t="s">
        <v>574</v>
      </c>
      <c r="C4" s="26">
        <v>3</v>
      </c>
      <c r="D4" s="26">
        <v>1.5</v>
      </c>
      <c r="E4" s="26">
        <v>4.5</v>
      </c>
      <c r="F4" s="26">
        <v>3</v>
      </c>
      <c r="G4" s="26">
        <v>50</v>
      </c>
      <c r="H4" s="270">
        <f t="shared" si="1"/>
        <v>1.5</v>
      </c>
      <c r="I4" s="270">
        <f t="shared" si="2"/>
        <v>1.5</v>
      </c>
      <c r="J4" s="270">
        <f t="shared" si="3"/>
        <v>4.5</v>
      </c>
      <c r="K4" s="88">
        <f t="shared" si="4"/>
        <v>1.5</v>
      </c>
      <c r="L4" s="88">
        <f t="shared" si="5"/>
        <v>1.5</v>
      </c>
    </row>
    <row r="5" spans="1:12" x14ac:dyDescent="0.25">
      <c r="A5" s="377"/>
      <c r="B5" s="90" t="s">
        <v>64</v>
      </c>
      <c r="C5" s="26">
        <v>1</v>
      </c>
      <c r="D5" s="26">
        <v>1</v>
      </c>
      <c r="E5" s="26">
        <v>1.25</v>
      </c>
      <c r="F5" s="26">
        <v>5</v>
      </c>
      <c r="G5" s="26">
        <v>25</v>
      </c>
      <c r="H5" s="270">
        <f t="shared" si="1"/>
        <v>1.25</v>
      </c>
      <c r="I5" s="270">
        <f t="shared" si="2"/>
        <v>3.75</v>
      </c>
      <c r="J5" s="270">
        <f t="shared" si="3"/>
        <v>5</v>
      </c>
      <c r="K5" s="88">
        <f t="shared" si="4"/>
        <v>1.25</v>
      </c>
      <c r="L5" s="88">
        <f t="shared" si="5"/>
        <v>0</v>
      </c>
    </row>
    <row r="6" spans="1:12" x14ac:dyDescent="0.25">
      <c r="A6" s="377"/>
      <c r="B6" s="90" t="s">
        <v>65</v>
      </c>
      <c r="C6" s="26">
        <v>1</v>
      </c>
      <c r="D6" s="26">
        <v>1</v>
      </c>
      <c r="E6" s="26">
        <v>1.5</v>
      </c>
      <c r="F6" s="26">
        <v>5</v>
      </c>
      <c r="G6" s="26">
        <v>50</v>
      </c>
      <c r="H6" s="270">
        <f t="shared" si="1"/>
        <v>2.5</v>
      </c>
      <c r="I6" s="270">
        <f t="shared" si="2"/>
        <v>2.5</v>
      </c>
      <c r="J6" s="270">
        <f t="shared" si="3"/>
        <v>5</v>
      </c>
      <c r="K6" s="88">
        <f t="shared" si="4"/>
        <v>2.5</v>
      </c>
      <c r="L6" s="88">
        <f t="shared" si="5"/>
        <v>0</v>
      </c>
    </row>
    <row r="7" spans="1:12" x14ac:dyDescent="0.25">
      <c r="A7" s="379"/>
      <c r="B7" s="90" t="s">
        <v>578</v>
      </c>
      <c r="C7" s="26">
        <v>1</v>
      </c>
      <c r="D7" s="26">
        <v>1</v>
      </c>
      <c r="E7" s="26">
        <v>1.5</v>
      </c>
      <c r="F7" s="26">
        <v>5</v>
      </c>
      <c r="G7" s="26">
        <v>50</v>
      </c>
      <c r="H7" s="270">
        <f t="shared" si="1"/>
        <v>2.5</v>
      </c>
      <c r="I7" s="270">
        <f t="shared" si="2"/>
        <v>2.5</v>
      </c>
      <c r="J7" s="270">
        <f t="shared" si="3"/>
        <v>5</v>
      </c>
      <c r="K7" s="88">
        <f t="shared" si="4"/>
        <v>2.5</v>
      </c>
      <c r="L7" s="88">
        <f t="shared" si="5"/>
        <v>0</v>
      </c>
    </row>
    <row r="8" spans="1:12" x14ac:dyDescent="0.25">
      <c r="A8" s="381" t="s">
        <v>8</v>
      </c>
      <c r="B8" s="90" t="s">
        <v>9</v>
      </c>
      <c r="C8" s="26">
        <v>5</v>
      </c>
      <c r="D8" s="26">
        <v>2.5</v>
      </c>
      <c r="E8" s="26">
        <v>5</v>
      </c>
      <c r="F8" s="26">
        <v>1</v>
      </c>
      <c r="G8" s="26">
        <v>50</v>
      </c>
      <c r="H8" s="270">
        <f t="shared" si="1"/>
        <v>0.5</v>
      </c>
      <c r="I8" s="270">
        <f t="shared" si="2"/>
        <v>1</v>
      </c>
      <c r="J8" s="270">
        <f t="shared" si="3"/>
        <v>1.5</v>
      </c>
      <c r="K8" s="88">
        <f t="shared" si="4"/>
        <v>0</v>
      </c>
      <c r="L8" s="88">
        <f t="shared" si="5"/>
        <v>0.5</v>
      </c>
    </row>
    <row r="9" spans="1:12" x14ac:dyDescent="0.25">
      <c r="A9" s="382"/>
      <c r="B9" s="90" t="s">
        <v>14</v>
      </c>
      <c r="C9" s="26">
        <v>5</v>
      </c>
      <c r="D9" s="26">
        <v>2.5</v>
      </c>
      <c r="E9" s="26">
        <v>5</v>
      </c>
      <c r="F9" s="26">
        <v>1</v>
      </c>
      <c r="G9" s="26">
        <v>50</v>
      </c>
      <c r="H9" s="270">
        <f t="shared" si="1"/>
        <v>0.5</v>
      </c>
      <c r="I9" s="270">
        <f t="shared" si="2"/>
        <v>1</v>
      </c>
      <c r="J9" s="270">
        <f t="shared" si="3"/>
        <v>1.5</v>
      </c>
      <c r="K9" s="88">
        <f t="shared" si="4"/>
        <v>0</v>
      </c>
      <c r="L9" s="88">
        <f t="shared" si="5"/>
        <v>0.5</v>
      </c>
    </row>
    <row r="10" spans="1:12" x14ac:dyDescent="0.25">
      <c r="A10" s="382"/>
      <c r="B10" s="98" t="s">
        <v>572</v>
      </c>
      <c r="C10" s="26">
        <v>3</v>
      </c>
      <c r="D10" s="26">
        <v>1.5</v>
      </c>
      <c r="E10" s="26">
        <v>4.5</v>
      </c>
      <c r="F10" s="26">
        <v>3</v>
      </c>
      <c r="G10" s="26">
        <v>50</v>
      </c>
      <c r="H10" s="270">
        <f t="shared" si="1"/>
        <v>1.5</v>
      </c>
      <c r="I10" s="270">
        <f t="shared" si="2"/>
        <v>1.5</v>
      </c>
      <c r="J10" s="270">
        <f t="shared" si="3"/>
        <v>4.5</v>
      </c>
      <c r="K10" s="88">
        <f t="shared" si="4"/>
        <v>1.5</v>
      </c>
      <c r="L10" s="88">
        <f t="shared" si="5"/>
        <v>1.5</v>
      </c>
    </row>
    <row r="11" spans="1:12" x14ac:dyDescent="0.25">
      <c r="A11" s="195"/>
      <c r="B11" s="98" t="s">
        <v>331</v>
      </c>
      <c r="C11" s="26">
        <v>5</v>
      </c>
      <c r="D11" s="26">
        <v>2.5</v>
      </c>
      <c r="E11" s="26">
        <v>5</v>
      </c>
      <c r="F11" s="26">
        <v>1</v>
      </c>
      <c r="G11" s="26">
        <v>50</v>
      </c>
      <c r="H11" s="270">
        <f t="shared" si="1"/>
        <v>0.5</v>
      </c>
      <c r="I11" s="270">
        <f t="shared" si="2"/>
        <v>1</v>
      </c>
      <c r="J11" s="270">
        <f t="shared" si="3"/>
        <v>1.5</v>
      </c>
      <c r="K11" s="88">
        <f t="shared" si="4"/>
        <v>0</v>
      </c>
      <c r="L11" s="88">
        <f t="shared" si="5"/>
        <v>0.5</v>
      </c>
    </row>
    <row r="12" spans="1:12" x14ac:dyDescent="0.25">
      <c r="A12" s="380" t="s">
        <v>19</v>
      </c>
      <c r="B12" s="98" t="s">
        <v>565</v>
      </c>
      <c r="C12" s="26">
        <v>1</v>
      </c>
      <c r="D12" s="26">
        <v>1</v>
      </c>
      <c r="E12" s="26">
        <v>1.5</v>
      </c>
      <c r="F12" s="26">
        <v>5</v>
      </c>
      <c r="G12" s="26">
        <v>50</v>
      </c>
      <c r="H12" s="270">
        <f t="shared" si="1"/>
        <v>2.5</v>
      </c>
      <c r="I12" s="270">
        <f t="shared" si="2"/>
        <v>2.5</v>
      </c>
      <c r="J12" s="270">
        <f t="shared" si="3"/>
        <v>5</v>
      </c>
      <c r="K12" s="88">
        <f t="shared" si="4"/>
        <v>2.5</v>
      </c>
      <c r="L12" s="88">
        <f t="shared" si="5"/>
        <v>0</v>
      </c>
    </row>
    <row r="13" spans="1:12" x14ac:dyDescent="0.25">
      <c r="A13" s="380"/>
      <c r="B13" s="90" t="s">
        <v>21</v>
      </c>
      <c r="C13" s="26">
        <v>1</v>
      </c>
      <c r="D13" s="26">
        <v>1</v>
      </c>
      <c r="E13" s="26">
        <v>1.5</v>
      </c>
      <c r="F13" s="26">
        <v>5</v>
      </c>
      <c r="G13" s="26">
        <v>50</v>
      </c>
      <c r="H13" s="270">
        <f t="shared" si="1"/>
        <v>2.5</v>
      </c>
      <c r="I13" s="270">
        <f t="shared" si="2"/>
        <v>2.5</v>
      </c>
      <c r="J13" s="270">
        <f t="shared" si="3"/>
        <v>5</v>
      </c>
      <c r="K13" s="88">
        <f t="shared" si="4"/>
        <v>2.5</v>
      </c>
      <c r="L13" s="88">
        <f t="shared" si="5"/>
        <v>0</v>
      </c>
    </row>
    <row r="14" spans="1:12" x14ac:dyDescent="0.25">
      <c r="A14" s="380"/>
      <c r="B14" s="98" t="s">
        <v>22</v>
      </c>
      <c r="C14" s="26">
        <v>1</v>
      </c>
      <c r="D14" s="26">
        <v>1</v>
      </c>
      <c r="E14" s="26">
        <v>1.5</v>
      </c>
      <c r="F14" s="26">
        <v>5</v>
      </c>
      <c r="G14" s="26">
        <v>50</v>
      </c>
      <c r="H14" s="270">
        <f t="shared" si="1"/>
        <v>2.5</v>
      </c>
      <c r="I14" s="270">
        <f t="shared" si="2"/>
        <v>2.5</v>
      </c>
      <c r="J14" s="270">
        <f t="shared" si="3"/>
        <v>5</v>
      </c>
      <c r="K14" s="88">
        <f t="shared" si="4"/>
        <v>2.5</v>
      </c>
      <c r="L14" s="88">
        <f t="shared" si="5"/>
        <v>0</v>
      </c>
    </row>
    <row r="15" spans="1:12" x14ac:dyDescent="0.25">
      <c r="A15" s="194"/>
      <c r="B15" s="98" t="s">
        <v>332</v>
      </c>
      <c r="C15" s="26">
        <v>1</v>
      </c>
      <c r="D15" s="26">
        <v>1</v>
      </c>
      <c r="E15" s="26">
        <v>1.5</v>
      </c>
      <c r="F15" s="26">
        <v>5</v>
      </c>
      <c r="G15" s="26">
        <v>50</v>
      </c>
      <c r="H15" s="270">
        <f t="shared" si="1"/>
        <v>2.5</v>
      </c>
      <c r="I15" s="270">
        <f t="shared" si="2"/>
        <v>2.5</v>
      </c>
      <c r="J15" s="270">
        <f t="shared" si="3"/>
        <v>5</v>
      </c>
      <c r="K15" s="88">
        <f t="shared" si="4"/>
        <v>2.5</v>
      </c>
      <c r="L15" s="88">
        <f t="shared" si="5"/>
        <v>0</v>
      </c>
    </row>
    <row r="16" spans="1:12" x14ac:dyDescent="0.25">
      <c r="A16" s="195"/>
      <c r="B16" s="98" t="s">
        <v>333</v>
      </c>
      <c r="C16" s="26">
        <v>1</v>
      </c>
      <c r="D16" s="26">
        <v>1</v>
      </c>
      <c r="E16" s="26">
        <v>1.5</v>
      </c>
      <c r="F16" s="26">
        <v>5</v>
      </c>
      <c r="G16" s="26">
        <v>50</v>
      </c>
      <c r="H16" s="270">
        <f t="shared" si="1"/>
        <v>2.5</v>
      </c>
      <c r="I16" s="270">
        <f t="shared" si="2"/>
        <v>2.5</v>
      </c>
      <c r="J16" s="270">
        <f t="shared" si="3"/>
        <v>5</v>
      </c>
      <c r="K16" s="88">
        <f t="shared" si="4"/>
        <v>2.5</v>
      </c>
      <c r="L16" s="88">
        <f t="shared" si="5"/>
        <v>0</v>
      </c>
    </row>
    <row r="17" spans="1:12" x14ac:dyDescent="0.25">
      <c r="A17" s="377" t="s">
        <v>25</v>
      </c>
      <c r="B17" s="98" t="s">
        <v>566</v>
      </c>
      <c r="C17" s="26">
        <v>3</v>
      </c>
      <c r="D17" s="26">
        <v>1.5</v>
      </c>
      <c r="E17" s="26">
        <v>4.5</v>
      </c>
      <c r="F17" s="26">
        <v>3</v>
      </c>
      <c r="G17" s="26">
        <v>50</v>
      </c>
      <c r="H17" s="270">
        <f t="shared" si="1"/>
        <v>1.5</v>
      </c>
      <c r="I17" s="270">
        <f t="shared" si="2"/>
        <v>1.5</v>
      </c>
      <c r="J17" s="270">
        <f t="shared" si="3"/>
        <v>4.5</v>
      </c>
      <c r="K17" s="88">
        <f t="shared" si="4"/>
        <v>1.5</v>
      </c>
      <c r="L17" s="88">
        <f t="shared" si="5"/>
        <v>1.5</v>
      </c>
    </row>
    <row r="18" spans="1:12" x14ac:dyDescent="0.25">
      <c r="A18" s="377"/>
      <c r="B18" s="98" t="s">
        <v>29</v>
      </c>
      <c r="C18" s="26">
        <v>3</v>
      </c>
      <c r="D18" s="26">
        <v>1.5</v>
      </c>
      <c r="E18" s="26">
        <v>4.5</v>
      </c>
      <c r="F18" s="26">
        <v>3</v>
      </c>
      <c r="G18" s="26">
        <v>50</v>
      </c>
      <c r="H18" s="270">
        <f t="shared" si="1"/>
        <v>1.5</v>
      </c>
      <c r="I18" s="270">
        <f t="shared" si="2"/>
        <v>1.5</v>
      </c>
      <c r="J18" s="270">
        <f t="shared" si="3"/>
        <v>4.5</v>
      </c>
      <c r="K18" s="88">
        <f t="shared" si="4"/>
        <v>1.5</v>
      </c>
      <c r="L18" s="88">
        <f t="shared" si="5"/>
        <v>1.5</v>
      </c>
    </row>
    <row r="19" spans="1:12" x14ac:dyDescent="0.25">
      <c r="A19" s="377"/>
      <c r="B19" s="98" t="s">
        <v>799</v>
      </c>
      <c r="C19" s="26">
        <v>3</v>
      </c>
      <c r="D19" s="26">
        <v>1.5</v>
      </c>
      <c r="E19" s="26">
        <v>4.5</v>
      </c>
      <c r="F19" s="26">
        <v>3</v>
      </c>
      <c r="G19" s="26">
        <v>50</v>
      </c>
      <c r="H19" s="270">
        <f t="shared" si="1"/>
        <v>1.5</v>
      </c>
      <c r="I19" s="270">
        <f t="shared" si="2"/>
        <v>1.5</v>
      </c>
      <c r="J19" s="270">
        <f t="shared" si="3"/>
        <v>4.5</v>
      </c>
      <c r="K19" s="88">
        <f t="shared" si="4"/>
        <v>1.5</v>
      </c>
      <c r="L19" s="88">
        <f t="shared" si="5"/>
        <v>1.5</v>
      </c>
    </row>
    <row r="20" spans="1:12" x14ac:dyDescent="0.25">
      <c r="A20" s="377"/>
      <c r="B20" s="98" t="s">
        <v>567</v>
      </c>
      <c r="C20" s="26">
        <v>5</v>
      </c>
      <c r="D20" s="26">
        <v>2.5</v>
      </c>
      <c r="E20" s="26">
        <v>5</v>
      </c>
      <c r="F20" s="26">
        <v>1</v>
      </c>
      <c r="G20" s="26">
        <v>50</v>
      </c>
      <c r="H20" s="270">
        <f t="shared" si="1"/>
        <v>0.5</v>
      </c>
      <c r="I20" s="270">
        <f t="shared" si="2"/>
        <v>1</v>
      </c>
      <c r="J20" s="270">
        <f t="shared" si="3"/>
        <v>1.5</v>
      </c>
      <c r="K20" s="88">
        <f t="shared" si="4"/>
        <v>0</v>
      </c>
      <c r="L20" s="88">
        <f t="shared" si="5"/>
        <v>0.5</v>
      </c>
    </row>
    <row r="21" spans="1:12" x14ac:dyDescent="0.25">
      <c r="A21" s="377"/>
      <c r="B21" s="98" t="s">
        <v>34</v>
      </c>
      <c r="C21" s="26">
        <v>5</v>
      </c>
      <c r="D21" s="26">
        <v>2.5</v>
      </c>
      <c r="E21" s="26">
        <v>5</v>
      </c>
      <c r="F21" s="26">
        <v>1</v>
      </c>
      <c r="G21" s="26">
        <v>50</v>
      </c>
      <c r="H21" s="270">
        <f t="shared" si="1"/>
        <v>0.5</v>
      </c>
      <c r="I21" s="270">
        <f t="shared" si="2"/>
        <v>1</v>
      </c>
      <c r="J21" s="270">
        <f t="shared" si="3"/>
        <v>1.5</v>
      </c>
      <c r="K21" s="88">
        <f t="shared" si="4"/>
        <v>0</v>
      </c>
      <c r="L21" s="88">
        <f t="shared" si="5"/>
        <v>0.5</v>
      </c>
    </row>
    <row r="22" spans="1:12" x14ac:dyDescent="0.25">
      <c r="A22" s="377"/>
      <c r="B22" s="98" t="s">
        <v>568</v>
      </c>
      <c r="C22" s="26">
        <v>5</v>
      </c>
      <c r="D22" s="26">
        <v>2.5</v>
      </c>
      <c r="E22" s="26">
        <v>5</v>
      </c>
      <c r="F22" s="26">
        <v>1</v>
      </c>
      <c r="G22" s="26">
        <v>50</v>
      </c>
      <c r="H22" s="270">
        <f t="shared" si="1"/>
        <v>0.5</v>
      </c>
      <c r="I22" s="270">
        <f t="shared" si="2"/>
        <v>1</v>
      </c>
      <c r="J22" s="270">
        <f t="shared" si="3"/>
        <v>1.5</v>
      </c>
      <c r="K22" s="88">
        <f t="shared" si="4"/>
        <v>0</v>
      </c>
      <c r="L22" s="88">
        <f t="shared" si="5"/>
        <v>0.5</v>
      </c>
    </row>
    <row r="23" spans="1:12" x14ac:dyDescent="0.25">
      <c r="A23" s="377"/>
      <c r="B23" s="98" t="s">
        <v>569</v>
      </c>
      <c r="C23" s="26">
        <v>5</v>
      </c>
      <c r="D23" s="26">
        <v>2.5</v>
      </c>
      <c r="E23" s="26">
        <v>5</v>
      </c>
      <c r="F23" s="26">
        <v>1</v>
      </c>
      <c r="G23" s="26">
        <v>50</v>
      </c>
      <c r="H23" s="270">
        <f t="shared" si="1"/>
        <v>0.5</v>
      </c>
      <c r="I23" s="270">
        <f t="shared" si="2"/>
        <v>1</v>
      </c>
      <c r="J23" s="270">
        <f t="shared" si="3"/>
        <v>1.5</v>
      </c>
      <c r="K23" s="88">
        <f t="shared" si="4"/>
        <v>0</v>
      </c>
      <c r="L23" s="88">
        <f t="shared" si="5"/>
        <v>0.5</v>
      </c>
    </row>
    <row r="24" spans="1:12" x14ac:dyDescent="0.25">
      <c r="A24" s="377"/>
      <c r="B24" s="98" t="s">
        <v>570</v>
      </c>
      <c r="C24" s="26">
        <v>5</v>
      </c>
      <c r="D24" s="26">
        <v>2.5</v>
      </c>
      <c r="E24" s="26">
        <v>5</v>
      </c>
      <c r="F24" s="26">
        <v>1</v>
      </c>
      <c r="G24" s="26">
        <v>50</v>
      </c>
      <c r="H24" s="270">
        <f t="shared" si="1"/>
        <v>0.5</v>
      </c>
      <c r="I24" s="270">
        <f t="shared" si="2"/>
        <v>1</v>
      </c>
      <c r="J24" s="270">
        <f t="shared" si="3"/>
        <v>1.5</v>
      </c>
      <c r="K24" s="88">
        <f t="shared" si="4"/>
        <v>0</v>
      </c>
      <c r="L24" s="88">
        <f t="shared" si="5"/>
        <v>0.5</v>
      </c>
    </row>
    <row r="25" spans="1:12" x14ac:dyDescent="0.25">
      <c r="A25" s="377"/>
      <c r="B25" s="98" t="s">
        <v>36</v>
      </c>
      <c r="C25" s="26">
        <v>5</v>
      </c>
      <c r="D25" s="26">
        <v>4.5</v>
      </c>
      <c r="E25" s="26">
        <v>5</v>
      </c>
      <c r="F25" s="26">
        <v>1</v>
      </c>
      <c r="G25" s="26">
        <v>10</v>
      </c>
      <c r="H25" s="270">
        <f t="shared" si="1"/>
        <v>0.1</v>
      </c>
      <c r="I25" s="270">
        <f t="shared" si="2"/>
        <v>1</v>
      </c>
      <c r="J25" s="270">
        <f t="shared" si="3"/>
        <v>1.1000000000000001</v>
      </c>
      <c r="K25" s="88">
        <f t="shared" si="4"/>
        <v>0</v>
      </c>
      <c r="L25" s="88">
        <f t="shared" si="5"/>
        <v>0.10000000000000009</v>
      </c>
    </row>
    <row r="26" spans="1:12" x14ac:dyDescent="0.25">
      <c r="A26" s="377"/>
      <c r="B26" s="98" t="s">
        <v>293</v>
      </c>
      <c r="C26" s="26">
        <v>5</v>
      </c>
      <c r="D26" s="26">
        <v>2.5</v>
      </c>
      <c r="E26" s="26">
        <v>5</v>
      </c>
      <c r="F26" s="26">
        <v>1</v>
      </c>
      <c r="G26" s="26">
        <v>50</v>
      </c>
      <c r="H26" s="270">
        <f t="shared" si="1"/>
        <v>0.5</v>
      </c>
      <c r="I26" s="270">
        <f t="shared" si="2"/>
        <v>1</v>
      </c>
      <c r="J26" s="270">
        <f t="shared" si="3"/>
        <v>1.5</v>
      </c>
      <c r="K26" s="88">
        <f t="shared" si="4"/>
        <v>0</v>
      </c>
      <c r="L26" s="88">
        <f t="shared" si="5"/>
        <v>0.5</v>
      </c>
    </row>
    <row r="27" spans="1:12" x14ac:dyDescent="0.25">
      <c r="A27" s="377"/>
      <c r="B27" s="98" t="s">
        <v>37</v>
      </c>
      <c r="C27" s="26">
        <v>5</v>
      </c>
      <c r="D27" s="26">
        <v>4.5</v>
      </c>
      <c r="E27" s="26">
        <v>5</v>
      </c>
      <c r="F27" s="26">
        <v>1</v>
      </c>
      <c r="G27" s="26">
        <v>10</v>
      </c>
      <c r="H27" s="270">
        <f t="shared" si="1"/>
        <v>0.1</v>
      </c>
      <c r="I27" s="270">
        <f t="shared" si="2"/>
        <v>1</v>
      </c>
      <c r="J27" s="270">
        <f t="shared" si="3"/>
        <v>1.1000000000000001</v>
      </c>
      <c r="K27" s="88">
        <f t="shared" si="4"/>
        <v>0</v>
      </c>
      <c r="L27" s="88">
        <f t="shared" si="5"/>
        <v>0.10000000000000009</v>
      </c>
    </row>
    <row r="28" spans="1:12" x14ac:dyDescent="0.25">
      <c r="A28" s="377"/>
      <c r="B28" s="98" t="s">
        <v>291</v>
      </c>
      <c r="C28" s="26">
        <v>5</v>
      </c>
      <c r="D28" s="26">
        <v>2.5</v>
      </c>
      <c r="E28" s="26">
        <v>5</v>
      </c>
      <c r="F28" s="26">
        <v>1</v>
      </c>
      <c r="G28" s="26">
        <v>50</v>
      </c>
      <c r="H28" s="270">
        <f t="shared" si="1"/>
        <v>0.5</v>
      </c>
      <c r="I28" s="270">
        <f t="shared" si="2"/>
        <v>1</v>
      </c>
      <c r="J28" s="270">
        <f t="shared" si="3"/>
        <v>1.5</v>
      </c>
      <c r="K28" s="88">
        <f t="shared" si="4"/>
        <v>0</v>
      </c>
      <c r="L28" s="88">
        <f t="shared" si="5"/>
        <v>0.5</v>
      </c>
    </row>
    <row r="29" spans="1:12" x14ac:dyDescent="0.25">
      <c r="A29" s="377"/>
      <c r="B29" s="98" t="s">
        <v>287</v>
      </c>
      <c r="C29" s="26">
        <v>5</v>
      </c>
      <c r="D29" s="26">
        <v>2.5</v>
      </c>
      <c r="E29" s="26">
        <v>5</v>
      </c>
      <c r="F29" s="26">
        <v>1</v>
      </c>
      <c r="G29" s="26">
        <v>50</v>
      </c>
      <c r="H29" s="270">
        <f t="shared" si="1"/>
        <v>0.5</v>
      </c>
      <c r="I29" s="270">
        <f t="shared" si="2"/>
        <v>1</v>
      </c>
      <c r="J29" s="270">
        <f t="shared" si="3"/>
        <v>1.5</v>
      </c>
      <c r="K29" s="88">
        <f t="shared" si="4"/>
        <v>0</v>
      </c>
      <c r="L29" s="88">
        <f t="shared" si="5"/>
        <v>0.5</v>
      </c>
    </row>
    <row r="30" spans="1:12" x14ac:dyDescent="0.25">
      <c r="A30" s="377"/>
      <c r="B30" s="98" t="s">
        <v>261</v>
      </c>
      <c r="C30" s="26">
        <v>5</v>
      </c>
      <c r="D30" s="26">
        <v>2.5</v>
      </c>
      <c r="E30" s="26">
        <v>5</v>
      </c>
      <c r="F30" s="26">
        <v>1</v>
      </c>
      <c r="G30" s="26">
        <v>50</v>
      </c>
      <c r="H30" s="270">
        <f t="shared" si="1"/>
        <v>0.5</v>
      </c>
      <c r="I30" s="270">
        <f t="shared" si="2"/>
        <v>1</v>
      </c>
      <c r="J30" s="270">
        <f t="shared" si="3"/>
        <v>1.5</v>
      </c>
      <c r="K30" s="88">
        <f t="shared" si="4"/>
        <v>0</v>
      </c>
      <c r="L30" s="88">
        <f t="shared" si="5"/>
        <v>0.5</v>
      </c>
    </row>
    <row r="31" spans="1:12" x14ac:dyDescent="0.25">
      <c r="A31" s="377"/>
      <c r="B31" s="98" t="s">
        <v>40</v>
      </c>
      <c r="C31" s="26">
        <v>5</v>
      </c>
      <c r="D31" s="26">
        <v>2.5</v>
      </c>
      <c r="E31" s="26">
        <v>5</v>
      </c>
      <c r="F31" s="26">
        <v>1</v>
      </c>
      <c r="G31" s="26">
        <v>50</v>
      </c>
      <c r="H31" s="270">
        <f t="shared" si="1"/>
        <v>0.5</v>
      </c>
      <c r="I31" s="270">
        <f t="shared" si="2"/>
        <v>1</v>
      </c>
      <c r="J31" s="270">
        <f t="shared" si="3"/>
        <v>1.5</v>
      </c>
      <c r="K31" s="88">
        <f t="shared" si="4"/>
        <v>0</v>
      </c>
      <c r="L31" s="88">
        <f t="shared" si="5"/>
        <v>0.5</v>
      </c>
    </row>
    <row r="32" spans="1:12" x14ac:dyDescent="0.25">
      <c r="A32" s="377"/>
      <c r="B32" s="98" t="s">
        <v>44</v>
      </c>
      <c r="C32" s="26">
        <v>5</v>
      </c>
      <c r="D32" s="26">
        <v>2.5</v>
      </c>
      <c r="E32" s="26">
        <v>5</v>
      </c>
      <c r="F32" s="26">
        <v>1</v>
      </c>
      <c r="G32" s="26">
        <v>50</v>
      </c>
      <c r="H32" s="270">
        <f t="shared" si="1"/>
        <v>0.5</v>
      </c>
      <c r="I32" s="270">
        <f t="shared" si="2"/>
        <v>1</v>
      </c>
      <c r="J32" s="270">
        <f t="shared" si="3"/>
        <v>1.5</v>
      </c>
      <c r="K32" s="88">
        <f t="shared" si="4"/>
        <v>0</v>
      </c>
      <c r="L32" s="88">
        <f t="shared" si="5"/>
        <v>0.5</v>
      </c>
    </row>
    <row r="33" spans="1:12" x14ac:dyDescent="0.25">
      <c r="A33" s="377"/>
      <c r="B33" s="98" t="s">
        <v>571</v>
      </c>
      <c r="C33" s="26">
        <v>5</v>
      </c>
      <c r="D33" s="26">
        <v>2.5</v>
      </c>
      <c r="E33" s="26">
        <v>5</v>
      </c>
      <c r="F33" s="26">
        <v>1</v>
      </c>
      <c r="G33" s="26">
        <v>50</v>
      </c>
      <c r="H33" s="270">
        <f t="shared" si="1"/>
        <v>0.5</v>
      </c>
      <c r="I33" s="270">
        <f t="shared" si="2"/>
        <v>1</v>
      </c>
      <c r="J33" s="270">
        <f t="shared" si="3"/>
        <v>1.5</v>
      </c>
      <c r="K33" s="88">
        <f t="shared" si="4"/>
        <v>0</v>
      </c>
      <c r="L33" s="88">
        <f t="shared" si="5"/>
        <v>0.5</v>
      </c>
    </row>
    <row r="34" spans="1:12" x14ac:dyDescent="0.25">
      <c r="A34" s="379"/>
      <c r="B34" s="98" t="s">
        <v>573</v>
      </c>
      <c r="C34" s="26">
        <v>5</v>
      </c>
      <c r="D34" s="26">
        <v>4.5</v>
      </c>
      <c r="E34" s="26">
        <v>5</v>
      </c>
      <c r="F34" s="26">
        <v>1</v>
      </c>
      <c r="G34" s="26">
        <v>10</v>
      </c>
      <c r="H34" s="270">
        <f t="shared" si="1"/>
        <v>0.1</v>
      </c>
      <c r="I34" s="270">
        <f t="shared" si="2"/>
        <v>1</v>
      </c>
      <c r="J34" s="270">
        <f t="shared" si="3"/>
        <v>1.1000000000000001</v>
      </c>
      <c r="K34" s="88">
        <f t="shared" si="4"/>
        <v>0</v>
      </c>
      <c r="L34" s="88">
        <f t="shared" si="5"/>
        <v>0.10000000000000009</v>
      </c>
    </row>
    <row r="35" spans="1:12" x14ac:dyDescent="0.25">
      <c r="A35" s="195"/>
      <c r="B35" s="98" t="s">
        <v>577</v>
      </c>
      <c r="C35" s="26">
        <v>5</v>
      </c>
      <c r="D35" s="26">
        <v>2.5</v>
      </c>
      <c r="E35" s="26">
        <v>5</v>
      </c>
      <c r="F35" s="26">
        <v>1</v>
      </c>
      <c r="G35" s="26">
        <v>50</v>
      </c>
      <c r="H35" s="270">
        <f t="shared" si="1"/>
        <v>0.5</v>
      </c>
      <c r="I35" s="270">
        <f t="shared" si="2"/>
        <v>1</v>
      </c>
      <c r="J35" s="270">
        <f t="shared" si="3"/>
        <v>1.5</v>
      </c>
      <c r="K35" s="88">
        <f t="shared" si="4"/>
        <v>0</v>
      </c>
      <c r="L35" s="88">
        <f t="shared" si="5"/>
        <v>0.5</v>
      </c>
    </row>
    <row r="36" spans="1:12" x14ac:dyDescent="0.25">
      <c r="A36" s="378" t="s">
        <v>46</v>
      </c>
      <c r="B36" s="98" t="s">
        <v>47</v>
      </c>
      <c r="C36" s="26">
        <v>1</v>
      </c>
      <c r="D36" s="26">
        <v>1</v>
      </c>
      <c r="E36" s="26">
        <v>1.5</v>
      </c>
      <c r="F36" s="26">
        <v>5</v>
      </c>
      <c r="G36" s="26">
        <v>50</v>
      </c>
      <c r="H36" s="270">
        <f t="shared" si="1"/>
        <v>2.5</v>
      </c>
      <c r="I36" s="270">
        <f t="shared" si="2"/>
        <v>2.5</v>
      </c>
      <c r="J36" s="270">
        <f t="shared" si="3"/>
        <v>5</v>
      </c>
      <c r="K36" s="88">
        <f t="shared" si="4"/>
        <v>2.5</v>
      </c>
      <c r="L36" s="88">
        <f t="shared" si="5"/>
        <v>0</v>
      </c>
    </row>
    <row r="37" spans="1:12" x14ac:dyDescent="0.25">
      <c r="A37" s="377"/>
      <c r="B37" s="90" t="s">
        <v>334</v>
      </c>
      <c r="C37" s="26">
        <v>1</v>
      </c>
      <c r="D37" s="26">
        <v>1</v>
      </c>
      <c r="E37" s="26">
        <v>1.5</v>
      </c>
      <c r="F37" s="26">
        <v>5</v>
      </c>
      <c r="G37" s="26">
        <v>50</v>
      </c>
      <c r="H37" s="270">
        <f t="shared" si="1"/>
        <v>2.5</v>
      </c>
      <c r="I37" s="270">
        <f t="shared" si="2"/>
        <v>2.5</v>
      </c>
      <c r="J37" s="270">
        <f t="shared" si="3"/>
        <v>5</v>
      </c>
      <c r="K37" s="88">
        <f t="shared" si="4"/>
        <v>2.5</v>
      </c>
      <c r="L37" s="88">
        <f t="shared" si="5"/>
        <v>0</v>
      </c>
    </row>
    <row r="38" spans="1:12" x14ac:dyDescent="0.25">
      <c r="A38" s="377" t="s">
        <v>51</v>
      </c>
      <c r="B38" s="90" t="s">
        <v>576</v>
      </c>
      <c r="C38" s="26">
        <v>3</v>
      </c>
      <c r="D38" s="26">
        <v>2.25</v>
      </c>
      <c r="E38" s="26">
        <v>3.75</v>
      </c>
      <c r="F38" s="26">
        <v>3</v>
      </c>
      <c r="G38" s="26">
        <v>25</v>
      </c>
      <c r="H38" s="270">
        <f t="shared" si="1"/>
        <v>0.75</v>
      </c>
      <c r="I38" s="270">
        <f t="shared" si="2"/>
        <v>2.25</v>
      </c>
      <c r="J38" s="270">
        <f t="shared" si="3"/>
        <v>3.75</v>
      </c>
      <c r="K38" s="88">
        <f t="shared" si="4"/>
        <v>0.75</v>
      </c>
      <c r="L38" s="88">
        <f t="shared" si="5"/>
        <v>0.75</v>
      </c>
    </row>
    <row r="39" spans="1:12" x14ac:dyDescent="0.25">
      <c r="A39" s="377"/>
      <c r="B39" s="74" t="s">
        <v>981</v>
      </c>
      <c r="C39" s="26">
        <v>3</v>
      </c>
      <c r="D39" s="26">
        <v>1.5</v>
      </c>
      <c r="E39" s="26">
        <v>4.5</v>
      </c>
      <c r="F39" s="26">
        <v>3</v>
      </c>
      <c r="G39" s="26">
        <v>50</v>
      </c>
      <c r="H39" s="270">
        <f t="shared" si="1"/>
        <v>1.5</v>
      </c>
      <c r="I39" s="270">
        <f t="shared" si="2"/>
        <v>1.5</v>
      </c>
      <c r="J39" s="270">
        <f t="shared" si="3"/>
        <v>4.5</v>
      </c>
      <c r="K39" s="88">
        <f t="shared" si="4"/>
        <v>1.5</v>
      </c>
      <c r="L39" s="88">
        <f t="shared" si="5"/>
        <v>1.5</v>
      </c>
    </row>
    <row r="40" spans="1:12" x14ac:dyDescent="0.25">
      <c r="A40" s="377"/>
      <c r="B40" s="90" t="s">
        <v>56</v>
      </c>
      <c r="C40" s="26">
        <v>3</v>
      </c>
      <c r="D40" s="26">
        <v>2.25</v>
      </c>
      <c r="E40" s="26">
        <v>3.75</v>
      </c>
      <c r="F40" s="26">
        <v>3</v>
      </c>
      <c r="G40" s="26">
        <v>25</v>
      </c>
      <c r="H40" s="270">
        <f t="shared" si="1"/>
        <v>0.75</v>
      </c>
      <c r="I40" s="270">
        <f t="shared" si="2"/>
        <v>2.25</v>
      </c>
      <c r="J40" s="270">
        <f t="shared" si="3"/>
        <v>3.75</v>
      </c>
      <c r="K40" s="88">
        <f t="shared" si="4"/>
        <v>0.75</v>
      </c>
      <c r="L40" s="88">
        <f t="shared" si="5"/>
        <v>0.75</v>
      </c>
    </row>
    <row r="41" spans="1:12" x14ac:dyDescent="0.25">
      <c r="A41" s="377" t="s">
        <v>135</v>
      </c>
      <c r="B41" s="90" t="s">
        <v>136</v>
      </c>
      <c r="C41" s="26">
        <v>5</v>
      </c>
      <c r="D41" s="26">
        <v>2.5</v>
      </c>
      <c r="E41" s="26">
        <v>5</v>
      </c>
      <c r="F41" s="26">
        <v>1</v>
      </c>
      <c r="G41" s="26">
        <v>50</v>
      </c>
      <c r="H41" s="270">
        <f t="shared" si="1"/>
        <v>0.5</v>
      </c>
      <c r="I41" s="270">
        <f t="shared" si="2"/>
        <v>1</v>
      </c>
      <c r="J41" s="270">
        <f t="shared" si="3"/>
        <v>1.5</v>
      </c>
      <c r="K41" s="88">
        <f t="shared" si="4"/>
        <v>0</v>
      </c>
      <c r="L41" s="88">
        <f t="shared" si="5"/>
        <v>0.5</v>
      </c>
    </row>
    <row r="42" spans="1:12" x14ac:dyDescent="0.25">
      <c r="A42" s="377"/>
      <c r="B42" s="90" t="s">
        <v>589</v>
      </c>
      <c r="C42" s="26">
        <v>5</v>
      </c>
      <c r="D42" s="26">
        <v>2.5</v>
      </c>
      <c r="E42" s="26">
        <v>5</v>
      </c>
      <c r="F42" s="26">
        <v>1</v>
      </c>
      <c r="G42" s="26">
        <v>50</v>
      </c>
      <c r="H42" s="270">
        <f t="shared" si="1"/>
        <v>0.5</v>
      </c>
      <c r="I42" s="270">
        <f t="shared" si="2"/>
        <v>1</v>
      </c>
      <c r="J42" s="270">
        <f t="shared" si="3"/>
        <v>1.5</v>
      </c>
      <c r="K42" s="88">
        <f t="shared" si="4"/>
        <v>0</v>
      </c>
      <c r="L42" s="88">
        <f t="shared" si="5"/>
        <v>0.5</v>
      </c>
    </row>
    <row r="43" spans="1:12" x14ac:dyDescent="0.25">
      <c r="A43" s="379" t="s">
        <v>69</v>
      </c>
      <c r="B43" s="90" t="s">
        <v>263</v>
      </c>
      <c r="C43" s="26">
        <v>1</v>
      </c>
      <c r="D43" s="26">
        <v>1</v>
      </c>
      <c r="E43" s="26">
        <v>1.25</v>
      </c>
      <c r="F43" s="26">
        <v>5</v>
      </c>
      <c r="G43" s="26">
        <v>25</v>
      </c>
      <c r="H43" s="270">
        <f t="shared" si="1"/>
        <v>1.25</v>
      </c>
      <c r="I43" s="270">
        <f t="shared" si="2"/>
        <v>3.75</v>
      </c>
      <c r="J43" s="270">
        <f t="shared" si="3"/>
        <v>5</v>
      </c>
      <c r="K43" s="88">
        <f t="shared" si="4"/>
        <v>1.25</v>
      </c>
      <c r="L43" s="88">
        <f t="shared" si="5"/>
        <v>0</v>
      </c>
    </row>
    <row r="44" spans="1:12" x14ac:dyDescent="0.25">
      <c r="A44" s="380"/>
      <c r="B44" s="90" t="s">
        <v>579</v>
      </c>
      <c r="C44" s="26">
        <v>1</v>
      </c>
      <c r="D44" s="26">
        <v>1</v>
      </c>
      <c r="E44" s="26">
        <v>1.25</v>
      </c>
      <c r="F44" s="26">
        <v>5</v>
      </c>
      <c r="G44" s="26">
        <v>25</v>
      </c>
      <c r="H44" s="270">
        <f t="shared" si="1"/>
        <v>1.25</v>
      </c>
      <c r="I44" s="270">
        <f t="shared" si="2"/>
        <v>3.75</v>
      </c>
      <c r="J44" s="270">
        <f t="shared" si="3"/>
        <v>5</v>
      </c>
      <c r="K44" s="88">
        <f t="shared" si="4"/>
        <v>1.25</v>
      </c>
      <c r="L44" s="88">
        <f t="shared" si="5"/>
        <v>0</v>
      </c>
    </row>
    <row r="45" spans="1:12" x14ac:dyDescent="0.25">
      <c r="A45" s="380"/>
      <c r="B45" s="90" t="s">
        <v>580</v>
      </c>
      <c r="C45" s="26">
        <v>1</v>
      </c>
      <c r="D45" s="26">
        <v>1</v>
      </c>
      <c r="E45" s="26">
        <v>1.25</v>
      </c>
      <c r="F45" s="26">
        <v>5</v>
      </c>
      <c r="G45" s="26">
        <v>25</v>
      </c>
      <c r="H45" s="270">
        <f t="shared" si="1"/>
        <v>1.25</v>
      </c>
      <c r="I45" s="270">
        <f t="shared" si="2"/>
        <v>3.75</v>
      </c>
      <c r="J45" s="270">
        <f t="shared" si="3"/>
        <v>5</v>
      </c>
      <c r="K45" s="88">
        <f t="shared" si="4"/>
        <v>1.25</v>
      </c>
      <c r="L45" s="88">
        <f t="shared" si="5"/>
        <v>0</v>
      </c>
    </row>
    <row r="46" spans="1:12" x14ac:dyDescent="0.25">
      <c r="A46" s="380"/>
      <c r="B46" s="90" t="s">
        <v>76</v>
      </c>
      <c r="C46" s="26">
        <v>1</v>
      </c>
      <c r="D46" s="26">
        <v>1</v>
      </c>
      <c r="E46" s="26">
        <v>1.25</v>
      </c>
      <c r="F46" s="26">
        <v>5</v>
      </c>
      <c r="G46" s="26">
        <v>25</v>
      </c>
      <c r="H46" s="270">
        <f t="shared" si="1"/>
        <v>1.25</v>
      </c>
      <c r="I46" s="270">
        <f t="shared" si="2"/>
        <v>3.75</v>
      </c>
      <c r="J46" s="270">
        <f t="shared" si="3"/>
        <v>5</v>
      </c>
      <c r="K46" s="88">
        <f t="shared" si="4"/>
        <v>1.25</v>
      </c>
      <c r="L46" s="88">
        <f t="shared" si="5"/>
        <v>0</v>
      </c>
    </row>
    <row r="47" spans="1:12" x14ac:dyDescent="0.25">
      <c r="A47" s="380"/>
      <c r="B47" s="90" t="s">
        <v>581</v>
      </c>
      <c r="C47" s="26">
        <v>1</v>
      </c>
      <c r="D47" s="26">
        <v>1</v>
      </c>
      <c r="E47" s="26">
        <v>1.25</v>
      </c>
      <c r="F47" s="26">
        <v>5</v>
      </c>
      <c r="G47" s="26">
        <v>25</v>
      </c>
      <c r="H47" s="270">
        <f t="shared" si="1"/>
        <v>1.25</v>
      </c>
      <c r="I47" s="270">
        <f t="shared" si="2"/>
        <v>3.75</v>
      </c>
      <c r="J47" s="270">
        <f t="shared" si="3"/>
        <v>5</v>
      </c>
      <c r="K47" s="88">
        <f t="shared" si="4"/>
        <v>1.25</v>
      </c>
      <c r="L47" s="88">
        <f t="shared" si="5"/>
        <v>0</v>
      </c>
    </row>
    <row r="48" spans="1:12" x14ac:dyDescent="0.25">
      <c r="A48" s="380"/>
      <c r="B48" s="90" t="s">
        <v>79</v>
      </c>
      <c r="C48" s="26">
        <v>1</v>
      </c>
      <c r="D48" s="26">
        <v>1</v>
      </c>
      <c r="E48" s="26">
        <v>1.25</v>
      </c>
      <c r="F48" s="26">
        <v>5</v>
      </c>
      <c r="G48" s="26">
        <v>25</v>
      </c>
      <c r="H48" s="270">
        <f t="shared" si="1"/>
        <v>1.25</v>
      </c>
      <c r="I48" s="270">
        <f t="shared" si="2"/>
        <v>3.75</v>
      </c>
      <c r="J48" s="270">
        <f t="shared" si="3"/>
        <v>5</v>
      </c>
      <c r="K48" s="88">
        <f t="shared" si="4"/>
        <v>1.25</v>
      </c>
      <c r="L48" s="88">
        <f t="shared" si="5"/>
        <v>0</v>
      </c>
    </row>
    <row r="49" spans="1:12" x14ac:dyDescent="0.25">
      <c r="A49" s="380"/>
      <c r="B49" s="90" t="s">
        <v>582</v>
      </c>
      <c r="C49" s="26">
        <v>1</v>
      </c>
      <c r="D49" s="26">
        <v>1</v>
      </c>
      <c r="E49" s="26">
        <v>1.25</v>
      </c>
      <c r="F49" s="26">
        <v>5</v>
      </c>
      <c r="G49" s="26">
        <v>25</v>
      </c>
      <c r="H49" s="270">
        <f t="shared" si="1"/>
        <v>1.25</v>
      </c>
      <c r="I49" s="270">
        <f t="shared" si="2"/>
        <v>3.75</v>
      </c>
      <c r="J49" s="270">
        <f t="shared" si="3"/>
        <v>5</v>
      </c>
      <c r="K49" s="88">
        <f t="shared" si="4"/>
        <v>1.25</v>
      </c>
      <c r="L49" s="88">
        <f t="shared" si="5"/>
        <v>0</v>
      </c>
    </row>
    <row r="50" spans="1:12" x14ac:dyDescent="0.25">
      <c r="A50" s="380"/>
      <c r="B50" s="98" t="s">
        <v>83</v>
      </c>
      <c r="C50" s="26">
        <v>1</v>
      </c>
      <c r="D50" s="26">
        <v>1</v>
      </c>
      <c r="E50" s="26">
        <v>1.1000000000000001</v>
      </c>
      <c r="F50" s="26">
        <v>5</v>
      </c>
      <c r="G50" s="26">
        <v>10</v>
      </c>
      <c r="H50" s="270">
        <f t="shared" si="1"/>
        <v>0.5</v>
      </c>
      <c r="I50" s="270">
        <f t="shared" si="2"/>
        <v>4.5</v>
      </c>
      <c r="J50" s="270">
        <f t="shared" si="3"/>
        <v>5</v>
      </c>
      <c r="K50" s="88">
        <f t="shared" si="4"/>
        <v>0.5</v>
      </c>
      <c r="L50" s="88">
        <f t="shared" si="5"/>
        <v>0</v>
      </c>
    </row>
    <row r="51" spans="1:12" x14ac:dyDescent="0.25">
      <c r="A51" s="380"/>
      <c r="B51" s="90" t="s">
        <v>583</v>
      </c>
      <c r="C51" s="26">
        <v>1</v>
      </c>
      <c r="D51" s="26">
        <v>1</v>
      </c>
      <c r="E51" s="26">
        <v>1.1000000000000001</v>
      </c>
      <c r="F51" s="26">
        <v>5</v>
      </c>
      <c r="G51" s="26">
        <v>10</v>
      </c>
      <c r="H51" s="270">
        <f t="shared" si="1"/>
        <v>0.5</v>
      </c>
      <c r="I51" s="270">
        <f t="shared" si="2"/>
        <v>4.5</v>
      </c>
      <c r="J51" s="270">
        <f t="shared" si="3"/>
        <v>5</v>
      </c>
      <c r="K51" s="88">
        <f t="shared" si="4"/>
        <v>0.5</v>
      </c>
      <c r="L51" s="88">
        <f t="shared" si="5"/>
        <v>0</v>
      </c>
    </row>
    <row r="52" spans="1:12" x14ac:dyDescent="0.25">
      <c r="A52" s="380"/>
      <c r="B52" s="90" t="s">
        <v>584</v>
      </c>
      <c r="C52" s="26">
        <v>1</v>
      </c>
      <c r="D52" s="26">
        <v>1</v>
      </c>
      <c r="E52" s="26">
        <v>1.1000000000000001</v>
      </c>
      <c r="F52" s="26">
        <v>5</v>
      </c>
      <c r="G52" s="26">
        <v>10</v>
      </c>
      <c r="H52" s="270">
        <f t="shared" si="1"/>
        <v>0.5</v>
      </c>
      <c r="I52" s="270">
        <f t="shared" si="2"/>
        <v>4.5</v>
      </c>
      <c r="J52" s="270">
        <f t="shared" si="3"/>
        <v>5</v>
      </c>
      <c r="K52" s="88">
        <f t="shared" si="4"/>
        <v>0.5</v>
      </c>
      <c r="L52" s="88">
        <f t="shared" si="5"/>
        <v>0</v>
      </c>
    </row>
    <row r="53" spans="1:12" x14ac:dyDescent="0.25">
      <c r="A53" s="380"/>
      <c r="B53" s="90" t="s">
        <v>87</v>
      </c>
      <c r="C53" s="26">
        <v>1</v>
      </c>
      <c r="D53" s="26">
        <v>1</v>
      </c>
      <c r="E53" s="26">
        <v>1.1000000000000001</v>
      </c>
      <c r="F53" s="26">
        <v>5</v>
      </c>
      <c r="G53" s="26">
        <v>10</v>
      </c>
      <c r="H53" s="270">
        <f t="shared" si="1"/>
        <v>0.5</v>
      </c>
      <c r="I53" s="270">
        <f t="shared" si="2"/>
        <v>4.5</v>
      </c>
      <c r="J53" s="270">
        <f t="shared" si="3"/>
        <v>5</v>
      </c>
      <c r="K53" s="88">
        <f t="shared" si="4"/>
        <v>0.5</v>
      </c>
      <c r="L53" s="88">
        <f t="shared" si="5"/>
        <v>0</v>
      </c>
    </row>
    <row r="54" spans="1:12" x14ac:dyDescent="0.25">
      <c r="A54" s="380"/>
      <c r="B54" s="90" t="s">
        <v>89</v>
      </c>
      <c r="C54" s="26">
        <v>1</v>
      </c>
      <c r="D54" s="26">
        <v>1</v>
      </c>
      <c r="E54" s="26">
        <v>1.5</v>
      </c>
      <c r="F54" s="26">
        <v>5</v>
      </c>
      <c r="G54" s="26">
        <v>50</v>
      </c>
      <c r="H54" s="270">
        <f t="shared" si="1"/>
        <v>2.5</v>
      </c>
      <c r="I54" s="270">
        <f t="shared" si="2"/>
        <v>2.5</v>
      </c>
      <c r="J54" s="270">
        <f t="shared" si="3"/>
        <v>5</v>
      </c>
      <c r="K54" s="88">
        <f t="shared" si="4"/>
        <v>2.5</v>
      </c>
      <c r="L54" s="88">
        <f t="shared" si="5"/>
        <v>0</v>
      </c>
    </row>
    <row r="55" spans="1:12" x14ac:dyDescent="0.25">
      <c r="A55" s="380"/>
      <c r="B55" s="90" t="s">
        <v>92</v>
      </c>
      <c r="C55" s="26">
        <v>1</v>
      </c>
      <c r="D55" s="26">
        <v>1</v>
      </c>
      <c r="E55" s="26">
        <v>1.5</v>
      </c>
      <c r="F55" s="26">
        <v>5</v>
      </c>
      <c r="G55" s="26">
        <v>50</v>
      </c>
      <c r="H55" s="270">
        <f t="shared" si="1"/>
        <v>2.5</v>
      </c>
      <c r="I55" s="270">
        <f t="shared" si="2"/>
        <v>2.5</v>
      </c>
      <c r="J55" s="270">
        <f t="shared" si="3"/>
        <v>5</v>
      </c>
      <c r="K55" s="88">
        <f t="shared" si="4"/>
        <v>2.5</v>
      </c>
      <c r="L55" s="88">
        <f t="shared" si="5"/>
        <v>0</v>
      </c>
    </row>
    <row r="56" spans="1:12" x14ac:dyDescent="0.25">
      <c r="A56" s="380"/>
      <c r="B56" s="90" t="s">
        <v>94</v>
      </c>
      <c r="C56" s="26">
        <v>1</v>
      </c>
      <c r="D56" s="26">
        <v>1</v>
      </c>
      <c r="E56" s="26">
        <v>1.5</v>
      </c>
      <c r="F56" s="26">
        <v>5</v>
      </c>
      <c r="G56" s="26">
        <v>50</v>
      </c>
      <c r="H56" s="270">
        <f t="shared" si="1"/>
        <v>2.5</v>
      </c>
      <c r="I56" s="270">
        <f t="shared" si="2"/>
        <v>2.5</v>
      </c>
      <c r="J56" s="270">
        <f t="shared" si="3"/>
        <v>5</v>
      </c>
      <c r="K56" s="88">
        <f t="shared" si="4"/>
        <v>2.5</v>
      </c>
      <c r="L56" s="88">
        <f t="shared" si="5"/>
        <v>0</v>
      </c>
    </row>
    <row r="57" spans="1:12" x14ac:dyDescent="0.25">
      <c r="A57" s="380"/>
      <c r="B57" s="90" t="s">
        <v>96</v>
      </c>
      <c r="C57" s="26">
        <v>1</v>
      </c>
      <c r="D57" s="26">
        <v>1</v>
      </c>
      <c r="E57" s="26">
        <v>1.5</v>
      </c>
      <c r="F57" s="26">
        <v>5</v>
      </c>
      <c r="G57" s="26">
        <v>50</v>
      </c>
      <c r="H57" s="270">
        <f t="shared" si="1"/>
        <v>2.5</v>
      </c>
      <c r="I57" s="270">
        <f t="shared" si="2"/>
        <v>2.5</v>
      </c>
      <c r="J57" s="270">
        <f t="shared" si="3"/>
        <v>5</v>
      </c>
      <c r="K57" s="88">
        <f t="shared" si="4"/>
        <v>2.5</v>
      </c>
      <c r="L57" s="88">
        <f t="shared" si="5"/>
        <v>0</v>
      </c>
    </row>
    <row r="58" spans="1:12" x14ac:dyDescent="0.25">
      <c r="A58" s="380"/>
      <c r="B58" s="90" t="s">
        <v>99</v>
      </c>
      <c r="C58" s="26">
        <v>1</v>
      </c>
      <c r="D58" s="26">
        <v>1</v>
      </c>
      <c r="E58" s="26">
        <v>1.5</v>
      </c>
      <c r="F58" s="26">
        <v>5</v>
      </c>
      <c r="G58" s="26">
        <v>50</v>
      </c>
      <c r="H58" s="270">
        <f t="shared" si="1"/>
        <v>2.5</v>
      </c>
      <c r="I58" s="270">
        <f t="shared" si="2"/>
        <v>2.5</v>
      </c>
      <c r="J58" s="270">
        <f t="shared" si="3"/>
        <v>5</v>
      </c>
      <c r="K58" s="88">
        <f t="shared" si="4"/>
        <v>2.5</v>
      </c>
      <c r="L58" s="88">
        <f t="shared" si="5"/>
        <v>0</v>
      </c>
    </row>
    <row r="59" spans="1:12" x14ac:dyDescent="0.25">
      <c r="A59" s="380"/>
      <c r="B59" s="90" t="s">
        <v>148</v>
      </c>
      <c r="C59" s="26">
        <v>1</v>
      </c>
      <c r="D59" s="26">
        <v>1</v>
      </c>
      <c r="E59" s="26">
        <v>1.5</v>
      </c>
      <c r="F59" s="26">
        <v>5</v>
      </c>
      <c r="G59" s="26">
        <v>50</v>
      </c>
      <c r="H59" s="270">
        <f t="shared" si="1"/>
        <v>2.5</v>
      </c>
      <c r="I59" s="270">
        <f t="shared" si="2"/>
        <v>2.5</v>
      </c>
      <c r="J59" s="270">
        <f t="shared" si="3"/>
        <v>5</v>
      </c>
      <c r="K59" s="88">
        <f t="shared" si="4"/>
        <v>2.5</v>
      </c>
      <c r="L59" s="88">
        <f t="shared" si="5"/>
        <v>0</v>
      </c>
    </row>
    <row r="60" spans="1:12" x14ac:dyDescent="0.25">
      <c r="A60" s="380"/>
      <c r="B60" s="90" t="s">
        <v>102</v>
      </c>
      <c r="C60" s="26">
        <v>1</v>
      </c>
      <c r="D60" s="26">
        <v>1</v>
      </c>
      <c r="E60" s="26">
        <v>1.25</v>
      </c>
      <c r="F60" s="26">
        <v>5</v>
      </c>
      <c r="G60" s="26">
        <v>25</v>
      </c>
      <c r="H60" s="270">
        <f t="shared" si="1"/>
        <v>1.25</v>
      </c>
      <c r="I60" s="270">
        <f t="shared" si="2"/>
        <v>3.75</v>
      </c>
      <c r="J60" s="270">
        <f t="shared" si="3"/>
        <v>5</v>
      </c>
      <c r="K60" s="88">
        <f t="shared" si="4"/>
        <v>1.25</v>
      </c>
      <c r="L60" s="88">
        <f t="shared" si="5"/>
        <v>0</v>
      </c>
    </row>
    <row r="61" spans="1:12" x14ac:dyDescent="0.25">
      <c r="A61" s="194"/>
      <c r="B61" s="98" t="s">
        <v>325</v>
      </c>
      <c r="C61" s="26">
        <v>1</v>
      </c>
      <c r="D61" s="26">
        <v>1</v>
      </c>
      <c r="E61" s="26">
        <v>1.5</v>
      </c>
      <c r="F61" s="26">
        <v>5</v>
      </c>
      <c r="G61" s="26">
        <v>50</v>
      </c>
      <c r="H61" s="270">
        <f t="shared" si="1"/>
        <v>2.5</v>
      </c>
      <c r="I61" s="270">
        <f t="shared" si="2"/>
        <v>2.5</v>
      </c>
      <c r="J61" s="270">
        <f t="shared" si="3"/>
        <v>5</v>
      </c>
      <c r="K61" s="88">
        <f t="shared" si="4"/>
        <v>2.5</v>
      </c>
      <c r="L61" s="88">
        <f t="shared" si="5"/>
        <v>0</v>
      </c>
    </row>
    <row r="62" spans="1:12" x14ac:dyDescent="0.25">
      <c r="A62" s="195"/>
      <c r="B62" s="98" t="s">
        <v>294</v>
      </c>
      <c r="C62" s="26">
        <v>1</v>
      </c>
      <c r="D62" s="26">
        <v>1</v>
      </c>
      <c r="E62" s="26">
        <v>1.5</v>
      </c>
      <c r="F62" s="26">
        <v>5</v>
      </c>
      <c r="G62" s="26">
        <v>50</v>
      </c>
      <c r="H62" s="270">
        <f t="shared" si="1"/>
        <v>2.5</v>
      </c>
      <c r="I62" s="270">
        <f t="shared" si="2"/>
        <v>2.5</v>
      </c>
      <c r="J62" s="270">
        <f t="shared" si="3"/>
        <v>5</v>
      </c>
      <c r="K62" s="88">
        <f t="shared" si="4"/>
        <v>2.5</v>
      </c>
      <c r="L62" s="88">
        <f t="shared" si="5"/>
        <v>0</v>
      </c>
    </row>
    <row r="63" spans="1:12" x14ac:dyDescent="0.25">
      <c r="A63" s="378" t="s">
        <v>105</v>
      </c>
      <c r="B63" s="90" t="s">
        <v>585</v>
      </c>
      <c r="C63" s="26">
        <v>1</v>
      </c>
      <c r="D63" s="26">
        <v>1</v>
      </c>
      <c r="E63" s="26">
        <v>1.25</v>
      </c>
      <c r="F63" s="26">
        <v>5</v>
      </c>
      <c r="G63" s="26">
        <v>25</v>
      </c>
      <c r="H63" s="270">
        <f t="shared" si="1"/>
        <v>1.25</v>
      </c>
      <c r="I63" s="270">
        <f t="shared" si="2"/>
        <v>3.75</v>
      </c>
      <c r="J63" s="270">
        <f t="shared" si="3"/>
        <v>5</v>
      </c>
      <c r="K63" s="88">
        <f t="shared" si="4"/>
        <v>1.25</v>
      </c>
      <c r="L63" s="88">
        <f t="shared" si="5"/>
        <v>0</v>
      </c>
    </row>
    <row r="64" spans="1:12" x14ac:dyDescent="0.25">
      <c r="A64" s="377"/>
      <c r="B64" s="90" t="s">
        <v>108</v>
      </c>
      <c r="C64" s="26">
        <v>1</v>
      </c>
      <c r="D64" s="26">
        <v>1</v>
      </c>
      <c r="E64" s="26">
        <v>1.25</v>
      </c>
      <c r="F64" s="26">
        <v>5</v>
      </c>
      <c r="G64" s="26">
        <v>25</v>
      </c>
      <c r="H64" s="270">
        <f t="shared" si="1"/>
        <v>1.25</v>
      </c>
      <c r="I64" s="270">
        <f t="shared" si="2"/>
        <v>3.75</v>
      </c>
      <c r="J64" s="270">
        <f t="shared" si="3"/>
        <v>5</v>
      </c>
      <c r="K64" s="88">
        <f t="shared" si="4"/>
        <v>1.25</v>
      </c>
      <c r="L64" s="88">
        <f t="shared" si="5"/>
        <v>0</v>
      </c>
    </row>
    <row r="65" spans="1:12" x14ac:dyDescent="0.25">
      <c r="A65" s="377"/>
      <c r="B65" s="90" t="s">
        <v>111</v>
      </c>
      <c r="C65" s="26">
        <v>1</v>
      </c>
      <c r="D65" s="26">
        <v>1</v>
      </c>
      <c r="E65" s="26">
        <v>1.25</v>
      </c>
      <c r="F65" s="26">
        <v>5</v>
      </c>
      <c r="G65" s="26">
        <v>25</v>
      </c>
      <c r="H65" s="270">
        <f t="shared" si="1"/>
        <v>1.25</v>
      </c>
      <c r="I65" s="270">
        <f t="shared" si="2"/>
        <v>3.75</v>
      </c>
      <c r="J65" s="270">
        <f t="shared" si="3"/>
        <v>5</v>
      </c>
      <c r="K65" s="88">
        <f t="shared" si="4"/>
        <v>1.25</v>
      </c>
      <c r="L65" s="88">
        <f t="shared" si="5"/>
        <v>0</v>
      </c>
    </row>
    <row r="66" spans="1:12" x14ac:dyDescent="0.25">
      <c r="A66" s="377"/>
      <c r="B66" s="90" t="s">
        <v>114</v>
      </c>
      <c r="C66" s="26">
        <v>3</v>
      </c>
      <c r="D66" s="26">
        <v>1.5</v>
      </c>
      <c r="E66" s="26">
        <v>4.5</v>
      </c>
      <c r="F66" s="26">
        <v>3</v>
      </c>
      <c r="G66" s="26">
        <v>50</v>
      </c>
      <c r="H66" s="270">
        <f t="shared" si="1"/>
        <v>1.5</v>
      </c>
      <c r="I66" s="270">
        <f t="shared" si="2"/>
        <v>1.5</v>
      </c>
      <c r="J66" s="270">
        <f t="shared" si="3"/>
        <v>4.5</v>
      </c>
      <c r="K66" s="88">
        <f t="shared" si="4"/>
        <v>1.5</v>
      </c>
      <c r="L66" s="88">
        <f t="shared" si="5"/>
        <v>1.5</v>
      </c>
    </row>
    <row r="67" spans="1:12" x14ac:dyDescent="0.25">
      <c r="A67" s="371" t="s">
        <v>117</v>
      </c>
      <c r="B67" s="90" t="s">
        <v>118</v>
      </c>
      <c r="C67" s="26">
        <v>5</v>
      </c>
      <c r="D67" s="26">
        <v>2.5</v>
      </c>
      <c r="E67" s="26">
        <v>5</v>
      </c>
      <c r="F67" s="26">
        <v>1</v>
      </c>
      <c r="G67" s="26">
        <v>50</v>
      </c>
      <c r="H67" s="270">
        <f t="shared" ref="H67:H76" si="6">(G67/100)*F67</f>
        <v>0.5</v>
      </c>
      <c r="I67" s="270">
        <f t="shared" ref="I67:I76" si="7">IF((F67-H67)&lt;1,1,F67-H67)</f>
        <v>1</v>
      </c>
      <c r="J67" s="270">
        <f t="shared" ref="J67:J76" si="8">IF((F67+H67)&gt;5,5,F67+H67)</f>
        <v>1.5</v>
      </c>
      <c r="K67" s="88">
        <f t="shared" ref="K67:K76" si="9">F67-I67</f>
        <v>0</v>
      </c>
      <c r="L67" s="88">
        <f t="shared" ref="L67:L76" si="10">J67-F67</f>
        <v>0.5</v>
      </c>
    </row>
    <row r="68" spans="1:12" x14ac:dyDescent="0.25">
      <c r="A68" s="372"/>
      <c r="B68" s="90" t="s">
        <v>123</v>
      </c>
      <c r="C68" s="26">
        <v>5</v>
      </c>
      <c r="D68" s="26">
        <v>2.5</v>
      </c>
      <c r="E68" s="26">
        <v>5</v>
      </c>
      <c r="F68" s="26">
        <v>1</v>
      </c>
      <c r="G68" s="26">
        <v>50</v>
      </c>
      <c r="H68" s="270">
        <f t="shared" si="6"/>
        <v>0.5</v>
      </c>
      <c r="I68" s="270">
        <f t="shared" si="7"/>
        <v>1</v>
      </c>
      <c r="J68" s="270">
        <f t="shared" si="8"/>
        <v>1.5</v>
      </c>
      <c r="K68" s="88">
        <f t="shared" si="9"/>
        <v>0</v>
      </c>
      <c r="L68" s="88">
        <f t="shared" si="10"/>
        <v>0.5</v>
      </c>
    </row>
    <row r="69" spans="1:12" x14ac:dyDescent="0.25">
      <c r="A69" s="372"/>
      <c r="B69" s="90" t="s">
        <v>587</v>
      </c>
      <c r="C69" s="26">
        <v>5</v>
      </c>
      <c r="D69" s="26">
        <v>2.5</v>
      </c>
      <c r="E69" s="26">
        <v>5</v>
      </c>
      <c r="F69" s="26">
        <v>1</v>
      </c>
      <c r="G69" s="26">
        <v>50</v>
      </c>
      <c r="H69" s="270">
        <f t="shared" si="6"/>
        <v>0.5</v>
      </c>
      <c r="I69" s="270">
        <f t="shared" si="7"/>
        <v>1</v>
      </c>
      <c r="J69" s="270">
        <f t="shared" si="8"/>
        <v>1.5</v>
      </c>
      <c r="K69" s="88">
        <f t="shared" si="9"/>
        <v>0</v>
      </c>
      <c r="L69" s="88">
        <f t="shared" si="10"/>
        <v>0.5</v>
      </c>
    </row>
    <row r="70" spans="1:12" x14ac:dyDescent="0.25">
      <c r="A70" s="372"/>
      <c r="B70" s="98" t="s">
        <v>703</v>
      </c>
      <c r="C70" s="26">
        <v>5</v>
      </c>
      <c r="D70" s="26">
        <v>2.5</v>
      </c>
      <c r="E70" s="26">
        <v>5</v>
      </c>
      <c r="F70" s="26">
        <v>1</v>
      </c>
      <c r="G70" s="26">
        <v>50</v>
      </c>
      <c r="H70" s="270">
        <f t="shared" si="6"/>
        <v>0.5</v>
      </c>
      <c r="I70" s="270">
        <f t="shared" si="7"/>
        <v>1</v>
      </c>
      <c r="J70" s="270">
        <f t="shared" si="8"/>
        <v>1.5</v>
      </c>
      <c r="K70" s="88">
        <f t="shared" si="9"/>
        <v>0</v>
      </c>
      <c r="L70" s="88">
        <f t="shared" si="10"/>
        <v>0.5</v>
      </c>
    </row>
    <row r="71" spans="1:12" x14ac:dyDescent="0.25">
      <c r="A71" s="372"/>
      <c r="B71" s="90" t="s">
        <v>127</v>
      </c>
      <c r="C71" s="26">
        <v>5</v>
      </c>
      <c r="D71" s="26">
        <v>2.5</v>
      </c>
      <c r="E71" s="26">
        <v>5</v>
      </c>
      <c r="F71" s="26">
        <v>1</v>
      </c>
      <c r="G71" s="26">
        <v>50</v>
      </c>
      <c r="H71" s="270">
        <f t="shared" si="6"/>
        <v>0.5</v>
      </c>
      <c r="I71" s="270">
        <f t="shared" si="7"/>
        <v>1</v>
      </c>
      <c r="J71" s="270">
        <f t="shared" si="8"/>
        <v>1.5</v>
      </c>
      <c r="K71" s="88">
        <f t="shared" si="9"/>
        <v>0</v>
      </c>
      <c r="L71" s="88">
        <f t="shared" si="10"/>
        <v>0.5</v>
      </c>
    </row>
    <row r="72" spans="1:12" x14ac:dyDescent="0.25">
      <c r="A72" s="372"/>
      <c r="B72" s="90" t="s">
        <v>131</v>
      </c>
      <c r="C72" s="26">
        <v>5</v>
      </c>
      <c r="D72" s="26">
        <v>2.5</v>
      </c>
      <c r="E72" s="26">
        <v>5</v>
      </c>
      <c r="F72" s="26">
        <v>1</v>
      </c>
      <c r="G72" s="26">
        <v>50</v>
      </c>
      <c r="H72" s="270">
        <f>(G72/100)*F72</f>
        <v>0.5</v>
      </c>
      <c r="I72" s="270">
        <f>IF((F72-H72)&lt;1,1,F72-H72)</f>
        <v>1</v>
      </c>
      <c r="J72" s="270">
        <f>IF((F72+H72)&gt;5,5,F72+H72)</f>
        <v>1.5</v>
      </c>
      <c r="K72" s="88">
        <f>F72-I72</f>
        <v>0</v>
      </c>
      <c r="L72" s="88">
        <f>J72-F72</f>
        <v>0.5</v>
      </c>
    </row>
    <row r="73" spans="1:12" x14ac:dyDescent="0.25">
      <c r="A73" s="372"/>
      <c r="B73" s="90" t="s">
        <v>588</v>
      </c>
      <c r="C73" s="26">
        <v>5</v>
      </c>
      <c r="D73" s="26">
        <v>2.5</v>
      </c>
      <c r="E73" s="26">
        <v>5</v>
      </c>
      <c r="F73" s="26">
        <v>1</v>
      </c>
      <c r="G73" s="26">
        <v>50</v>
      </c>
      <c r="H73" s="270">
        <f t="shared" si="6"/>
        <v>0.5</v>
      </c>
      <c r="I73" s="270">
        <f t="shared" si="7"/>
        <v>1</v>
      </c>
      <c r="J73" s="270">
        <f t="shared" si="8"/>
        <v>1.5</v>
      </c>
      <c r="K73" s="88">
        <f t="shared" si="9"/>
        <v>0</v>
      </c>
      <c r="L73" s="88">
        <f t="shared" si="10"/>
        <v>0.5</v>
      </c>
    </row>
    <row r="74" spans="1:12" x14ac:dyDescent="0.25">
      <c r="A74" s="372"/>
      <c r="B74" s="90" t="s">
        <v>129</v>
      </c>
      <c r="C74" s="26">
        <v>5</v>
      </c>
      <c r="D74" s="26">
        <v>2.5</v>
      </c>
      <c r="E74" s="26">
        <v>5</v>
      </c>
      <c r="F74" s="26">
        <v>1</v>
      </c>
      <c r="G74" s="26">
        <v>50</v>
      </c>
      <c r="H74" s="270">
        <f t="shared" si="6"/>
        <v>0.5</v>
      </c>
      <c r="I74" s="270">
        <f t="shared" si="7"/>
        <v>1</v>
      </c>
      <c r="J74" s="270">
        <f t="shared" si="8"/>
        <v>1.5</v>
      </c>
      <c r="K74" s="88">
        <f t="shared" si="9"/>
        <v>0</v>
      </c>
      <c r="L74" s="88">
        <f t="shared" si="10"/>
        <v>0.5</v>
      </c>
    </row>
    <row r="75" spans="1:12" x14ac:dyDescent="0.25">
      <c r="A75" s="372"/>
      <c r="B75" s="90" t="s">
        <v>133</v>
      </c>
      <c r="C75" s="26">
        <v>5</v>
      </c>
      <c r="D75" s="26">
        <v>2.5</v>
      </c>
      <c r="E75" s="26">
        <v>5</v>
      </c>
      <c r="F75" s="26">
        <v>1</v>
      </c>
      <c r="G75" s="26">
        <v>50</v>
      </c>
      <c r="H75" s="270">
        <f>(G75/100)*F75</f>
        <v>0.5</v>
      </c>
      <c r="I75" s="270">
        <f>IF((F75-H75)&lt;1,1,F75-H75)</f>
        <v>1</v>
      </c>
      <c r="J75" s="270">
        <f>IF((F75+H75)&gt;5,5,F75+H75)</f>
        <v>1.5</v>
      </c>
      <c r="K75" s="88">
        <f>F75-I75</f>
        <v>0</v>
      </c>
      <c r="L75" s="88">
        <f>J75-F75</f>
        <v>0.5</v>
      </c>
    </row>
    <row r="76" spans="1:12" x14ac:dyDescent="0.25">
      <c r="A76" s="372"/>
      <c r="B76" s="98" t="s">
        <v>288</v>
      </c>
      <c r="C76" s="26">
        <v>5</v>
      </c>
      <c r="D76" s="26">
        <v>2.5</v>
      </c>
      <c r="E76" s="26">
        <v>5</v>
      </c>
      <c r="F76" s="26">
        <v>1</v>
      </c>
      <c r="G76" s="26">
        <v>50</v>
      </c>
      <c r="H76" s="270">
        <f t="shared" si="6"/>
        <v>0.5</v>
      </c>
      <c r="I76" s="270">
        <f t="shared" si="7"/>
        <v>1</v>
      </c>
      <c r="J76" s="270">
        <f t="shared" si="8"/>
        <v>1.5</v>
      </c>
      <c r="K76" s="88">
        <f t="shared" si="9"/>
        <v>0</v>
      </c>
      <c r="L76" s="88">
        <f t="shared" si="10"/>
        <v>0.5</v>
      </c>
    </row>
    <row r="77" spans="1:12" x14ac:dyDescent="0.25">
      <c r="A77" s="372"/>
      <c r="B77" s="90" t="s">
        <v>586</v>
      </c>
      <c r="C77" s="26">
        <v>5</v>
      </c>
      <c r="D77" s="26">
        <v>2.5</v>
      </c>
      <c r="E77" s="26">
        <v>5</v>
      </c>
      <c r="F77" s="26">
        <v>1</v>
      </c>
      <c r="G77" s="26">
        <v>50</v>
      </c>
      <c r="H77" s="270">
        <f>(G77/100)*F77</f>
        <v>0.5</v>
      </c>
      <c r="I77" s="270">
        <f>IF((F77-H77)&lt;1,1,F77-H77)</f>
        <v>1</v>
      </c>
      <c r="J77" s="270">
        <f>IF((F77+H77)&gt;5,5,F77+H77)</f>
        <v>1.5</v>
      </c>
      <c r="K77" s="88">
        <f>F77-I77</f>
        <v>0</v>
      </c>
      <c r="L77" s="88">
        <f>J77-F77</f>
        <v>0.5</v>
      </c>
    </row>
  </sheetData>
  <mergeCells count="10">
    <mergeCell ref="A41:A42"/>
    <mergeCell ref="A43:A60"/>
    <mergeCell ref="A63:A66"/>
    <mergeCell ref="A67:A77"/>
    <mergeCell ref="A2:A7"/>
    <mergeCell ref="A8:A10"/>
    <mergeCell ref="A12:A14"/>
    <mergeCell ref="A17:A34"/>
    <mergeCell ref="A36:A37"/>
    <mergeCell ref="A38:A40"/>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2" ySplit="1" topLeftCell="C41" activePane="bottomRight" state="frozen"/>
      <selection pane="topRight" activeCell="C1" sqref="C1"/>
      <selection pane="bottomLeft" activeCell="A2" sqref="A2"/>
      <selection pane="bottomRight" activeCell="H82" sqref="H82"/>
    </sheetView>
  </sheetViews>
  <sheetFormatPr defaultRowHeight="15.75" x14ac:dyDescent="0.25"/>
  <cols>
    <col min="2" max="2" width="19.875" customWidth="1"/>
    <col min="4" max="5" width="0" hidden="1" customWidth="1"/>
  </cols>
  <sheetData>
    <row r="1" spans="1:7" ht="30" x14ac:dyDescent="0.25">
      <c r="A1" s="149" t="s">
        <v>146</v>
      </c>
      <c r="B1" s="327" t="s">
        <v>147</v>
      </c>
      <c r="C1" s="29" t="s">
        <v>977</v>
      </c>
      <c r="F1" s="29" t="s">
        <v>968</v>
      </c>
      <c r="G1" s="29" t="s">
        <v>969</v>
      </c>
    </row>
    <row r="2" spans="1:7" x14ac:dyDescent="0.25">
      <c r="A2" s="377" t="s">
        <v>58</v>
      </c>
      <c r="B2" s="90" t="s">
        <v>59</v>
      </c>
      <c r="C2" s="234">
        <v>5</v>
      </c>
      <c r="D2" s="234">
        <v>3.75</v>
      </c>
      <c r="E2" s="234">
        <v>5</v>
      </c>
      <c r="F2">
        <f>C2-D2</f>
        <v>1.25</v>
      </c>
      <c r="G2">
        <f>E2-C2</f>
        <v>0</v>
      </c>
    </row>
    <row r="3" spans="1:7" x14ac:dyDescent="0.25">
      <c r="A3" s="377"/>
      <c r="B3" s="90" t="s">
        <v>61</v>
      </c>
      <c r="C3" s="30">
        <v>5</v>
      </c>
      <c r="D3" s="30">
        <v>3.75</v>
      </c>
      <c r="E3" s="30">
        <v>5</v>
      </c>
      <c r="F3" s="88">
        <f t="shared" ref="F3:F66" si="0">C3-D3</f>
        <v>1.25</v>
      </c>
      <c r="G3" s="88">
        <f t="shared" ref="G3:G66" si="1">E3-C3</f>
        <v>0</v>
      </c>
    </row>
    <row r="4" spans="1:7" x14ac:dyDescent="0.25">
      <c r="A4" s="377"/>
      <c r="B4" s="90" t="s">
        <v>574</v>
      </c>
      <c r="C4" s="30">
        <v>5</v>
      </c>
      <c r="D4" s="30">
        <v>3.75</v>
      </c>
      <c r="E4" s="30">
        <v>5</v>
      </c>
      <c r="F4" s="88">
        <f t="shared" si="0"/>
        <v>1.25</v>
      </c>
      <c r="G4" s="88">
        <f t="shared" si="1"/>
        <v>0</v>
      </c>
    </row>
    <row r="5" spans="1:7" x14ac:dyDescent="0.25">
      <c r="A5" s="377"/>
      <c r="B5" s="90" t="s">
        <v>64</v>
      </c>
      <c r="C5" s="30">
        <v>5</v>
      </c>
      <c r="D5" s="30">
        <v>3.75</v>
      </c>
      <c r="E5" s="30">
        <v>5</v>
      </c>
      <c r="F5" s="88">
        <f t="shared" si="0"/>
        <v>1.25</v>
      </c>
      <c r="G5" s="88">
        <f t="shared" si="1"/>
        <v>0</v>
      </c>
    </row>
    <row r="6" spans="1:7" x14ac:dyDescent="0.25">
      <c r="A6" s="377"/>
      <c r="B6" s="90" t="s">
        <v>65</v>
      </c>
      <c r="C6" s="30">
        <v>4</v>
      </c>
      <c r="D6" s="30">
        <v>2</v>
      </c>
      <c r="E6" s="30">
        <v>5</v>
      </c>
      <c r="F6" s="88">
        <f t="shared" si="0"/>
        <v>2</v>
      </c>
      <c r="G6" s="88">
        <f t="shared" si="1"/>
        <v>1</v>
      </c>
    </row>
    <row r="7" spans="1:7" x14ac:dyDescent="0.25">
      <c r="A7" s="379"/>
      <c r="B7" s="90" t="s">
        <v>578</v>
      </c>
      <c r="C7" s="30">
        <v>4</v>
      </c>
      <c r="D7" s="30">
        <v>2</v>
      </c>
      <c r="E7" s="30">
        <v>5</v>
      </c>
      <c r="F7" s="88">
        <f t="shared" si="0"/>
        <v>2</v>
      </c>
      <c r="G7" s="88">
        <f t="shared" si="1"/>
        <v>1</v>
      </c>
    </row>
    <row r="8" spans="1:7" x14ac:dyDescent="0.25">
      <c r="A8" s="381" t="s">
        <v>8</v>
      </c>
      <c r="B8" s="90" t="s">
        <v>9</v>
      </c>
      <c r="C8" s="30">
        <v>5</v>
      </c>
      <c r="D8" s="30">
        <v>4.5</v>
      </c>
      <c r="E8" s="30">
        <v>5</v>
      </c>
      <c r="F8" s="88">
        <f t="shared" si="0"/>
        <v>0.5</v>
      </c>
      <c r="G8" s="88">
        <f t="shared" si="1"/>
        <v>0</v>
      </c>
    </row>
    <row r="9" spans="1:7" x14ac:dyDescent="0.25">
      <c r="A9" s="382"/>
      <c r="B9" s="90" t="s">
        <v>14</v>
      </c>
      <c r="C9" s="30">
        <v>5</v>
      </c>
      <c r="D9" s="30">
        <v>4.5</v>
      </c>
      <c r="E9" s="30">
        <v>5</v>
      </c>
      <c r="F9" s="88">
        <f t="shared" si="0"/>
        <v>0.5</v>
      </c>
      <c r="G9" s="88">
        <f t="shared" si="1"/>
        <v>0</v>
      </c>
    </row>
    <row r="10" spans="1:7" x14ac:dyDescent="0.25">
      <c r="A10" s="382"/>
      <c r="B10" s="98" t="s">
        <v>572</v>
      </c>
      <c r="C10" s="30">
        <v>5</v>
      </c>
      <c r="D10" s="30">
        <v>4.5</v>
      </c>
      <c r="E10" s="30">
        <v>5</v>
      </c>
      <c r="F10" s="88">
        <f t="shared" si="0"/>
        <v>0.5</v>
      </c>
      <c r="G10" s="88">
        <f t="shared" si="1"/>
        <v>0</v>
      </c>
    </row>
    <row r="11" spans="1:7" x14ac:dyDescent="0.25">
      <c r="A11" s="195"/>
      <c r="B11" s="98" t="s">
        <v>331</v>
      </c>
      <c r="C11" s="30">
        <v>5</v>
      </c>
      <c r="D11" s="30">
        <v>4.5</v>
      </c>
      <c r="E11" s="30">
        <v>5</v>
      </c>
      <c r="F11" s="88">
        <f t="shared" si="0"/>
        <v>0.5</v>
      </c>
      <c r="G11" s="88">
        <f t="shared" si="1"/>
        <v>0</v>
      </c>
    </row>
    <row r="12" spans="1:7" x14ac:dyDescent="0.25">
      <c r="A12" s="380" t="s">
        <v>19</v>
      </c>
      <c r="B12" s="98" t="s">
        <v>565</v>
      </c>
      <c r="C12" s="30">
        <v>5</v>
      </c>
      <c r="D12" s="30">
        <v>2.5</v>
      </c>
      <c r="E12" s="30">
        <v>5</v>
      </c>
      <c r="F12" s="88">
        <f t="shared" si="0"/>
        <v>2.5</v>
      </c>
      <c r="G12" s="88">
        <f t="shared" si="1"/>
        <v>0</v>
      </c>
    </row>
    <row r="13" spans="1:7" x14ac:dyDescent="0.25">
      <c r="A13" s="380"/>
      <c r="B13" s="90" t="s">
        <v>21</v>
      </c>
      <c r="C13" s="30">
        <v>5</v>
      </c>
      <c r="D13" s="30">
        <v>2.5</v>
      </c>
      <c r="E13" s="30">
        <v>5</v>
      </c>
      <c r="F13" s="88">
        <f t="shared" si="0"/>
        <v>2.5</v>
      </c>
      <c r="G13" s="88">
        <f t="shared" si="1"/>
        <v>0</v>
      </c>
    </row>
    <row r="14" spans="1:7" x14ac:dyDescent="0.25">
      <c r="A14" s="380"/>
      <c r="B14" s="98" t="s">
        <v>22</v>
      </c>
      <c r="C14" s="30">
        <v>5</v>
      </c>
      <c r="D14" s="30">
        <v>2.5</v>
      </c>
      <c r="E14" s="30">
        <v>5</v>
      </c>
      <c r="F14" s="88">
        <f t="shared" si="0"/>
        <v>2.5</v>
      </c>
      <c r="G14" s="88">
        <f t="shared" si="1"/>
        <v>0</v>
      </c>
    </row>
    <row r="15" spans="1:7" x14ac:dyDescent="0.25">
      <c r="A15" s="194"/>
      <c r="B15" s="98" t="s">
        <v>332</v>
      </c>
      <c r="C15" s="30">
        <v>5</v>
      </c>
      <c r="D15" s="30">
        <v>2.5</v>
      </c>
      <c r="E15" s="30">
        <v>5</v>
      </c>
      <c r="F15" s="88">
        <f t="shared" si="0"/>
        <v>2.5</v>
      </c>
      <c r="G15" s="88">
        <f t="shared" si="1"/>
        <v>0</v>
      </c>
    </row>
    <row r="16" spans="1:7" x14ac:dyDescent="0.25">
      <c r="A16" s="195"/>
      <c r="B16" s="98" t="s">
        <v>333</v>
      </c>
      <c r="C16" s="30">
        <v>5</v>
      </c>
      <c r="D16" s="30">
        <v>2.5</v>
      </c>
      <c r="E16" s="30">
        <v>5</v>
      </c>
      <c r="F16" s="88">
        <f t="shared" si="0"/>
        <v>2.5</v>
      </c>
      <c r="G16" s="88">
        <f t="shared" si="1"/>
        <v>0</v>
      </c>
    </row>
    <row r="17" spans="1:7" x14ac:dyDescent="0.25">
      <c r="A17" s="377" t="s">
        <v>25</v>
      </c>
      <c r="B17" s="98" t="s">
        <v>566</v>
      </c>
      <c r="C17" s="30">
        <v>5</v>
      </c>
      <c r="D17" s="30">
        <v>2.5</v>
      </c>
      <c r="E17" s="30">
        <v>5</v>
      </c>
      <c r="F17" s="88">
        <f t="shared" si="0"/>
        <v>2.5</v>
      </c>
      <c r="G17" s="88">
        <f t="shared" si="1"/>
        <v>0</v>
      </c>
    </row>
    <row r="18" spans="1:7" x14ac:dyDescent="0.25">
      <c r="A18" s="377"/>
      <c r="B18" s="98" t="s">
        <v>29</v>
      </c>
      <c r="C18" s="30">
        <v>5</v>
      </c>
      <c r="D18" s="30">
        <v>2.5</v>
      </c>
      <c r="E18" s="30">
        <v>5</v>
      </c>
      <c r="F18" s="88">
        <f t="shared" si="0"/>
        <v>2.5</v>
      </c>
      <c r="G18" s="88">
        <f t="shared" si="1"/>
        <v>0</v>
      </c>
    </row>
    <row r="19" spans="1:7" x14ac:dyDescent="0.25">
      <c r="A19" s="377"/>
      <c r="B19" s="98" t="s">
        <v>799</v>
      </c>
      <c r="C19" s="30">
        <v>5</v>
      </c>
      <c r="D19" s="30">
        <v>2.5</v>
      </c>
      <c r="E19" s="30">
        <v>5</v>
      </c>
      <c r="F19" s="88">
        <f t="shared" si="0"/>
        <v>2.5</v>
      </c>
      <c r="G19" s="88">
        <f t="shared" si="1"/>
        <v>0</v>
      </c>
    </row>
    <row r="20" spans="1:7" x14ac:dyDescent="0.25">
      <c r="A20" s="377"/>
      <c r="B20" s="98" t="s">
        <v>567</v>
      </c>
      <c r="C20" s="30">
        <v>5</v>
      </c>
      <c r="D20" s="30">
        <v>2.5</v>
      </c>
      <c r="E20" s="30">
        <v>5</v>
      </c>
      <c r="F20" s="88">
        <f t="shared" si="0"/>
        <v>2.5</v>
      </c>
      <c r="G20" s="88">
        <f t="shared" si="1"/>
        <v>0</v>
      </c>
    </row>
    <row r="21" spans="1:7" x14ac:dyDescent="0.25">
      <c r="A21" s="377"/>
      <c r="B21" s="98" t="s">
        <v>34</v>
      </c>
      <c r="C21" s="30">
        <v>5</v>
      </c>
      <c r="D21" s="30">
        <v>3.75</v>
      </c>
      <c r="E21" s="30">
        <v>5</v>
      </c>
      <c r="F21" s="88">
        <f t="shared" si="0"/>
        <v>1.25</v>
      </c>
      <c r="G21" s="88">
        <f t="shared" si="1"/>
        <v>0</v>
      </c>
    </row>
    <row r="22" spans="1:7" x14ac:dyDescent="0.25">
      <c r="A22" s="377"/>
      <c r="B22" s="98" t="s">
        <v>568</v>
      </c>
      <c r="C22" s="30">
        <v>5</v>
      </c>
      <c r="D22" s="30">
        <v>2.5</v>
      </c>
      <c r="E22" s="30">
        <v>5</v>
      </c>
      <c r="F22" s="88">
        <f t="shared" si="0"/>
        <v>2.5</v>
      </c>
      <c r="G22" s="88">
        <f t="shared" si="1"/>
        <v>0</v>
      </c>
    </row>
    <row r="23" spans="1:7" x14ac:dyDescent="0.25">
      <c r="A23" s="377"/>
      <c r="B23" s="98" t="s">
        <v>569</v>
      </c>
      <c r="C23" s="30">
        <v>5</v>
      </c>
      <c r="D23" s="30">
        <v>2.5</v>
      </c>
      <c r="E23" s="30">
        <v>5</v>
      </c>
      <c r="F23" s="88">
        <f t="shared" si="0"/>
        <v>2.5</v>
      </c>
      <c r="G23" s="88">
        <f t="shared" si="1"/>
        <v>0</v>
      </c>
    </row>
    <row r="24" spans="1:7" x14ac:dyDescent="0.25">
      <c r="A24" s="377"/>
      <c r="B24" s="98" t="s">
        <v>570</v>
      </c>
      <c r="C24" s="30">
        <v>5</v>
      </c>
      <c r="D24" s="30">
        <v>2.5</v>
      </c>
      <c r="E24" s="30">
        <v>5</v>
      </c>
      <c r="F24" s="88">
        <f t="shared" si="0"/>
        <v>2.5</v>
      </c>
      <c r="G24" s="88">
        <f t="shared" si="1"/>
        <v>0</v>
      </c>
    </row>
    <row r="25" spans="1:7" x14ac:dyDescent="0.25">
      <c r="A25" s="377"/>
      <c r="B25" s="98" t="s">
        <v>36</v>
      </c>
      <c r="C25" s="30">
        <v>5</v>
      </c>
      <c r="D25" s="30">
        <v>3.75</v>
      </c>
      <c r="E25" s="30">
        <v>5</v>
      </c>
      <c r="F25" s="88">
        <f t="shared" si="0"/>
        <v>1.25</v>
      </c>
      <c r="G25" s="88">
        <f t="shared" si="1"/>
        <v>0</v>
      </c>
    </row>
    <row r="26" spans="1:7" x14ac:dyDescent="0.25">
      <c r="A26" s="377"/>
      <c r="B26" s="98" t="s">
        <v>293</v>
      </c>
      <c r="C26" s="30">
        <v>5</v>
      </c>
      <c r="D26" s="30">
        <v>2.5</v>
      </c>
      <c r="E26" s="30">
        <v>5</v>
      </c>
      <c r="F26" s="88">
        <f t="shared" si="0"/>
        <v>2.5</v>
      </c>
      <c r="G26" s="88">
        <f t="shared" si="1"/>
        <v>0</v>
      </c>
    </row>
    <row r="27" spans="1:7" x14ac:dyDescent="0.25">
      <c r="A27" s="377"/>
      <c r="B27" s="98" t="s">
        <v>37</v>
      </c>
      <c r="C27" s="30">
        <v>5</v>
      </c>
      <c r="D27" s="30">
        <v>3.75</v>
      </c>
      <c r="E27" s="30">
        <v>5</v>
      </c>
      <c r="F27" s="88">
        <f t="shared" si="0"/>
        <v>1.25</v>
      </c>
      <c r="G27" s="88">
        <f t="shared" si="1"/>
        <v>0</v>
      </c>
    </row>
    <row r="28" spans="1:7" x14ac:dyDescent="0.25">
      <c r="A28" s="377"/>
      <c r="B28" s="98" t="s">
        <v>291</v>
      </c>
      <c r="C28" s="30">
        <v>5</v>
      </c>
      <c r="D28" s="30">
        <v>2.5</v>
      </c>
      <c r="E28" s="30">
        <v>5</v>
      </c>
      <c r="F28" s="88">
        <f t="shared" si="0"/>
        <v>2.5</v>
      </c>
      <c r="G28" s="88">
        <f t="shared" si="1"/>
        <v>0</v>
      </c>
    </row>
    <row r="29" spans="1:7" x14ac:dyDescent="0.25">
      <c r="A29" s="377"/>
      <c r="B29" s="98" t="s">
        <v>287</v>
      </c>
      <c r="C29" s="30">
        <v>5</v>
      </c>
      <c r="D29" s="30">
        <v>2.5</v>
      </c>
      <c r="E29" s="30">
        <v>5</v>
      </c>
      <c r="F29" s="88">
        <f t="shared" si="0"/>
        <v>2.5</v>
      </c>
      <c r="G29" s="88">
        <f t="shared" si="1"/>
        <v>0</v>
      </c>
    </row>
    <row r="30" spans="1:7" x14ac:dyDescent="0.25">
      <c r="A30" s="377"/>
      <c r="B30" s="98" t="s">
        <v>261</v>
      </c>
      <c r="C30" s="30">
        <v>5</v>
      </c>
      <c r="D30" s="30">
        <v>2.5</v>
      </c>
      <c r="E30" s="30">
        <v>5</v>
      </c>
      <c r="F30" s="88">
        <f t="shared" si="0"/>
        <v>2.5</v>
      </c>
      <c r="G30" s="88">
        <f t="shared" si="1"/>
        <v>0</v>
      </c>
    </row>
    <row r="31" spans="1:7" x14ac:dyDescent="0.25">
      <c r="A31" s="377"/>
      <c r="B31" s="98" t="s">
        <v>40</v>
      </c>
      <c r="C31" s="30">
        <v>5</v>
      </c>
      <c r="D31" s="30">
        <v>2.5</v>
      </c>
      <c r="E31" s="30">
        <v>5</v>
      </c>
      <c r="F31" s="88">
        <f t="shared" si="0"/>
        <v>2.5</v>
      </c>
      <c r="G31" s="88">
        <f t="shared" si="1"/>
        <v>0</v>
      </c>
    </row>
    <row r="32" spans="1:7" x14ac:dyDescent="0.25">
      <c r="A32" s="377"/>
      <c r="B32" s="98" t="s">
        <v>44</v>
      </c>
      <c r="C32" s="30">
        <v>5</v>
      </c>
      <c r="D32" s="30">
        <v>2.5</v>
      </c>
      <c r="E32" s="30">
        <v>5</v>
      </c>
      <c r="F32" s="88">
        <f t="shared" si="0"/>
        <v>2.5</v>
      </c>
      <c r="G32" s="88">
        <f t="shared" si="1"/>
        <v>0</v>
      </c>
    </row>
    <row r="33" spans="1:7" x14ac:dyDescent="0.25">
      <c r="A33" s="377"/>
      <c r="B33" s="98" t="s">
        <v>571</v>
      </c>
      <c r="C33" s="30">
        <v>5</v>
      </c>
      <c r="D33" s="30">
        <v>2.5</v>
      </c>
      <c r="E33" s="30">
        <v>5</v>
      </c>
      <c r="F33" s="88">
        <f t="shared" si="0"/>
        <v>2.5</v>
      </c>
      <c r="G33" s="88">
        <f t="shared" si="1"/>
        <v>0</v>
      </c>
    </row>
    <row r="34" spans="1:7" x14ac:dyDescent="0.25">
      <c r="A34" s="379"/>
      <c r="B34" s="98" t="s">
        <v>573</v>
      </c>
      <c r="C34" s="30">
        <v>5</v>
      </c>
      <c r="D34" s="30">
        <v>3.75</v>
      </c>
      <c r="E34" s="30">
        <v>5</v>
      </c>
      <c r="F34" s="88">
        <f t="shared" si="0"/>
        <v>1.25</v>
      </c>
      <c r="G34" s="88">
        <f t="shared" si="1"/>
        <v>0</v>
      </c>
    </row>
    <row r="35" spans="1:7" x14ac:dyDescent="0.25">
      <c r="A35" s="195"/>
      <c r="B35" s="98" t="s">
        <v>577</v>
      </c>
      <c r="C35" s="30">
        <v>5</v>
      </c>
      <c r="D35" s="30">
        <v>3.75</v>
      </c>
      <c r="E35" s="30">
        <v>5</v>
      </c>
      <c r="F35" s="88">
        <f t="shared" si="0"/>
        <v>1.25</v>
      </c>
      <c r="G35" s="88">
        <f t="shared" si="1"/>
        <v>0</v>
      </c>
    </row>
    <row r="36" spans="1:7" x14ac:dyDescent="0.25">
      <c r="A36" s="378" t="s">
        <v>46</v>
      </c>
      <c r="B36" s="98" t="s">
        <v>47</v>
      </c>
      <c r="C36" s="30">
        <v>1</v>
      </c>
      <c r="D36" s="30">
        <v>1</v>
      </c>
      <c r="E36" s="30">
        <v>1.5</v>
      </c>
      <c r="F36" s="88">
        <f t="shared" si="0"/>
        <v>0</v>
      </c>
      <c r="G36" s="88">
        <f t="shared" si="1"/>
        <v>0.5</v>
      </c>
    </row>
    <row r="37" spans="1:7" x14ac:dyDescent="0.25">
      <c r="A37" s="377"/>
      <c r="B37" s="90" t="s">
        <v>982</v>
      </c>
      <c r="C37" s="30">
        <v>1</v>
      </c>
      <c r="D37" s="30">
        <v>1</v>
      </c>
      <c r="E37" s="30">
        <v>1.5</v>
      </c>
      <c r="F37" s="88">
        <f t="shared" si="0"/>
        <v>0</v>
      </c>
      <c r="G37" s="88">
        <f t="shared" si="1"/>
        <v>0.5</v>
      </c>
    </row>
    <row r="38" spans="1:7" x14ac:dyDescent="0.25">
      <c r="A38" s="377" t="s">
        <v>51</v>
      </c>
      <c r="B38" s="90" t="s">
        <v>576</v>
      </c>
      <c r="C38" s="30">
        <v>3</v>
      </c>
      <c r="D38" s="30">
        <v>1.5</v>
      </c>
      <c r="E38" s="30">
        <v>4.5</v>
      </c>
      <c r="F38" s="88">
        <f t="shared" si="0"/>
        <v>1.5</v>
      </c>
      <c r="G38" s="88">
        <f t="shared" si="1"/>
        <v>1.5</v>
      </c>
    </row>
    <row r="39" spans="1:7" x14ac:dyDescent="0.25">
      <c r="A39" s="377"/>
      <c r="B39" s="74" t="s">
        <v>981</v>
      </c>
      <c r="C39" s="30">
        <v>3</v>
      </c>
      <c r="D39" s="30">
        <v>1.5</v>
      </c>
      <c r="E39" s="30">
        <v>4.5</v>
      </c>
      <c r="F39" s="88">
        <f t="shared" si="0"/>
        <v>1.5</v>
      </c>
      <c r="G39" s="88">
        <f t="shared" si="1"/>
        <v>1.5</v>
      </c>
    </row>
    <row r="40" spans="1:7" x14ac:dyDescent="0.25">
      <c r="A40" s="377"/>
      <c r="B40" s="90" t="s">
        <v>56</v>
      </c>
      <c r="C40" s="30">
        <v>3</v>
      </c>
      <c r="D40" s="30">
        <v>1.5</v>
      </c>
      <c r="E40" s="30">
        <v>4.5</v>
      </c>
      <c r="F40" s="88">
        <f t="shared" si="0"/>
        <v>1.5</v>
      </c>
      <c r="G40" s="88">
        <f t="shared" si="1"/>
        <v>1.5</v>
      </c>
    </row>
    <row r="41" spans="1:7" x14ac:dyDescent="0.25">
      <c r="A41" s="377" t="s">
        <v>135</v>
      </c>
      <c r="B41" s="90" t="s">
        <v>136</v>
      </c>
      <c r="C41" s="30">
        <v>3</v>
      </c>
      <c r="D41" s="30">
        <v>1.5</v>
      </c>
      <c r="E41" s="30">
        <v>4.5</v>
      </c>
      <c r="F41" s="88">
        <f t="shared" si="0"/>
        <v>1.5</v>
      </c>
      <c r="G41" s="88">
        <f t="shared" si="1"/>
        <v>1.5</v>
      </c>
    </row>
    <row r="42" spans="1:7" x14ac:dyDescent="0.25">
      <c r="A42" s="377"/>
      <c r="B42" s="90" t="s">
        <v>589</v>
      </c>
      <c r="C42" s="30">
        <v>3</v>
      </c>
      <c r="D42" s="30">
        <v>1.5</v>
      </c>
      <c r="E42" s="30">
        <v>4.5</v>
      </c>
      <c r="F42" s="88">
        <f t="shared" si="0"/>
        <v>1.5</v>
      </c>
      <c r="G42" s="88">
        <f t="shared" si="1"/>
        <v>1.5</v>
      </c>
    </row>
    <row r="43" spans="1:7" x14ac:dyDescent="0.25">
      <c r="A43" s="379" t="s">
        <v>69</v>
      </c>
      <c r="B43" s="90" t="s">
        <v>263</v>
      </c>
      <c r="C43" s="30">
        <v>4</v>
      </c>
      <c r="D43" s="30">
        <v>2</v>
      </c>
      <c r="E43" s="30">
        <v>5</v>
      </c>
      <c r="F43" s="88">
        <f t="shared" si="0"/>
        <v>2</v>
      </c>
      <c r="G43" s="88">
        <f t="shared" si="1"/>
        <v>1</v>
      </c>
    </row>
    <row r="44" spans="1:7" x14ac:dyDescent="0.25">
      <c r="A44" s="380"/>
      <c r="B44" s="90" t="s">
        <v>579</v>
      </c>
      <c r="C44" s="30">
        <v>4</v>
      </c>
      <c r="D44" s="30">
        <v>2</v>
      </c>
      <c r="E44" s="30">
        <v>5</v>
      </c>
      <c r="F44" s="88">
        <f t="shared" si="0"/>
        <v>2</v>
      </c>
      <c r="G44" s="88">
        <f t="shared" si="1"/>
        <v>1</v>
      </c>
    </row>
    <row r="45" spans="1:7" x14ac:dyDescent="0.25">
      <c r="A45" s="380"/>
      <c r="B45" s="90" t="s">
        <v>580</v>
      </c>
      <c r="C45" s="30">
        <v>4</v>
      </c>
      <c r="D45" s="30">
        <v>2</v>
      </c>
      <c r="E45" s="30">
        <v>5</v>
      </c>
      <c r="F45" s="88">
        <f t="shared" si="0"/>
        <v>2</v>
      </c>
      <c r="G45" s="88">
        <f t="shared" si="1"/>
        <v>1</v>
      </c>
    </row>
    <row r="46" spans="1:7" x14ac:dyDescent="0.25">
      <c r="A46" s="380"/>
      <c r="B46" s="90" t="s">
        <v>76</v>
      </c>
      <c r="C46" s="30">
        <v>4</v>
      </c>
      <c r="D46" s="30">
        <v>2</v>
      </c>
      <c r="E46" s="30">
        <v>5</v>
      </c>
      <c r="F46" s="88">
        <f t="shared" si="0"/>
        <v>2</v>
      </c>
      <c r="G46" s="88">
        <f t="shared" si="1"/>
        <v>1</v>
      </c>
    </row>
    <row r="47" spans="1:7" x14ac:dyDescent="0.25">
      <c r="A47" s="380"/>
      <c r="B47" s="90" t="s">
        <v>581</v>
      </c>
      <c r="C47" s="30">
        <v>4</v>
      </c>
      <c r="D47" s="30">
        <v>2</v>
      </c>
      <c r="E47" s="30">
        <v>5</v>
      </c>
      <c r="F47" s="88">
        <f t="shared" si="0"/>
        <v>2</v>
      </c>
      <c r="G47" s="88">
        <f t="shared" si="1"/>
        <v>1</v>
      </c>
    </row>
    <row r="48" spans="1:7" x14ac:dyDescent="0.25">
      <c r="A48" s="380"/>
      <c r="B48" s="90" t="s">
        <v>79</v>
      </c>
      <c r="C48" s="30">
        <v>4</v>
      </c>
      <c r="D48" s="30">
        <v>2</v>
      </c>
      <c r="E48" s="30">
        <v>5</v>
      </c>
      <c r="F48" s="88">
        <f t="shared" si="0"/>
        <v>2</v>
      </c>
      <c r="G48" s="88">
        <f t="shared" si="1"/>
        <v>1</v>
      </c>
    </row>
    <row r="49" spans="1:7" x14ac:dyDescent="0.25">
      <c r="A49" s="380"/>
      <c r="B49" s="90" t="s">
        <v>582</v>
      </c>
      <c r="C49" s="30">
        <v>4</v>
      </c>
      <c r="D49" s="30">
        <v>2</v>
      </c>
      <c r="E49" s="30">
        <v>5</v>
      </c>
      <c r="F49" s="88">
        <f t="shared" si="0"/>
        <v>2</v>
      </c>
      <c r="G49" s="88">
        <f t="shared" si="1"/>
        <v>1</v>
      </c>
    </row>
    <row r="50" spans="1:7" x14ac:dyDescent="0.25">
      <c r="A50" s="380"/>
      <c r="B50" s="98" t="s">
        <v>83</v>
      </c>
      <c r="C50" s="30">
        <v>4</v>
      </c>
      <c r="D50" s="30">
        <v>2</v>
      </c>
      <c r="E50" s="30">
        <v>5</v>
      </c>
      <c r="F50" s="88">
        <f t="shared" si="0"/>
        <v>2</v>
      </c>
      <c r="G50" s="88">
        <f t="shared" si="1"/>
        <v>1</v>
      </c>
    </row>
    <row r="51" spans="1:7" x14ac:dyDescent="0.25">
      <c r="A51" s="380"/>
      <c r="B51" s="90" t="s">
        <v>583</v>
      </c>
      <c r="C51" s="30">
        <v>4</v>
      </c>
      <c r="D51" s="30">
        <v>2</v>
      </c>
      <c r="E51" s="30">
        <v>5</v>
      </c>
      <c r="F51" s="88">
        <f t="shared" si="0"/>
        <v>2</v>
      </c>
      <c r="G51" s="88">
        <f t="shared" si="1"/>
        <v>1</v>
      </c>
    </row>
    <row r="52" spans="1:7" x14ac:dyDescent="0.25">
      <c r="A52" s="380"/>
      <c r="B52" s="90" t="s">
        <v>584</v>
      </c>
      <c r="C52" s="30">
        <v>4</v>
      </c>
      <c r="D52" s="30">
        <v>2</v>
      </c>
      <c r="E52" s="30">
        <v>5</v>
      </c>
      <c r="F52" s="88">
        <f t="shared" si="0"/>
        <v>2</v>
      </c>
      <c r="G52" s="88">
        <f t="shared" si="1"/>
        <v>1</v>
      </c>
    </row>
    <row r="53" spans="1:7" x14ac:dyDescent="0.25">
      <c r="A53" s="380"/>
      <c r="B53" s="90" t="s">
        <v>87</v>
      </c>
      <c r="C53" s="30">
        <v>4</v>
      </c>
      <c r="D53" s="30">
        <v>2</v>
      </c>
      <c r="E53" s="30">
        <v>5</v>
      </c>
      <c r="F53" s="88">
        <f t="shared" si="0"/>
        <v>2</v>
      </c>
      <c r="G53" s="88">
        <f t="shared" si="1"/>
        <v>1</v>
      </c>
    </row>
    <row r="54" spans="1:7" x14ac:dyDescent="0.25">
      <c r="A54" s="380"/>
      <c r="B54" s="90" t="s">
        <v>89</v>
      </c>
      <c r="C54" s="30">
        <v>5</v>
      </c>
      <c r="D54" s="30">
        <v>2.5</v>
      </c>
      <c r="E54" s="30">
        <v>5</v>
      </c>
      <c r="F54" s="88">
        <f t="shared" si="0"/>
        <v>2.5</v>
      </c>
      <c r="G54" s="88">
        <f t="shared" si="1"/>
        <v>0</v>
      </c>
    </row>
    <row r="55" spans="1:7" x14ac:dyDescent="0.25">
      <c r="A55" s="380"/>
      <c r="B55" s="90" t="s">
        <v>92</v>
      </c>
      <c r="C55" s="30">
        <v>5</v>
      </c>
      <c r="D55" s="30">
        <v>2.5</v>
      </c>
      <c r="E55" s="30">
        <v>5</v>
      </c>
      <c r="F55" s="88">
        <f t="shared" si="0"/>
        <v>2.5</v>
      </c>
      <c r="G55" s="88">
        <f t="shared" si="1"/>
        <v>0</v>
      </c>
    </row>
    <row r="56" spans="1:7" x14ac:dyDescent="0.25">
      <c r="A56" s="380"/>
      <c r="B56" s="90" t="s">
        <v>94</v>
      </c>
      <c r="C56" s="30">
        <v>5</v>
      </c>
      <c r="D56" s="30">
        <v>2.5</v>
      </c>
      <c r="E56" s="30">
        <v>5</v>
      </c>
      <c r="F56" s="88">
        <f t="shared" si="0"/>
        <v>2.5</v>
      </c>
      <c r="G56" s="88">
        <f t="shared" si="1"/>
        <v>0</v>
      </c>
    </row>
    <row r="57" spans="1:7" x14ac:dyDescent="0.25">
      <c r="A57" s="380"/>
      <c r="B57" s="90" t="s">
        <v>96</v>
      </c>
      <c r="C57" s="30">
        <v>5</v>
      </c>
      <c r="D57" s="30">
        <v>2.5</v>
      </c>
      <c r="E57" s="30">
        <v>5</v>
      </c>
      <c r="F57" s="88">
        <f t="shared" si="0"/>
        <v>2.5</v>
      </c>
      <c r="G57" s="88">
        <f t="shared" si="1"/>
        <v>0</v>
      </c>
    </row>
    <row r="58" spans="1:7" x14ac:dyDescent="0.25">
      <c r="A58" s="380"/>
      <c r="B58" s="90" t="s">
        <v>99</v>
      </c>
      <c r="C58" s="30">
        <v>5</v>
      </c>
      <c r="D58" s="30">
        <v>2.5</v>
      </c>
      <c r="E58" s="30">
        <v>5</v>
      </c>
      <c r="F58" s="88">
        <f t="shared" si="0"/>
        <v>2.5</v>
      </c>
      <c r="G58" s="88">
        <f t="shared" si="1"/>
        <v>0</v>
      </c>
    </row>
    <row r="59" spans="1:7" x14ac:dyDescent="0.25">
      <c r="A59" s="380"/>
      <c r="B59" s="90" t="s">
        <v>148</v>
      </c>
      <c r="C59" s="30">
        <v>5</v>
      </c>
      <c r="D59" s="30">
        <v>2.5</v>
      </c>
      <c r="E59" s="30">
        <v>5</v>
      </c>
      <c r="F59" s="88">
        <f t="shared" si="0"/>
        <v>2.5</v>
      </c>
      <c r="G59" s="88">
        <f t="shared" si="1"/>
        <v>0</v>
      </c>
    </row>
    <row r="60" spans="1:7" x14ac:dyDescent="0.25">
      <c r="A60" s="380"/>
      <c r="B60" s="90" t="s">
        <v>102</v>
      </c>
      <c r="C60" s="30">
        <v>5</v>
      </c>
      <c r="D60" s="30">
        <v>2.5</v>
      </c>
      <c r="E60" s="30">
        <v>5</v>
      </c>
      <c r="F60" s="88">
        <f t="shared" si="0"/>
        <v>2.5</v>
      </c>
      <c r="G60" s="88">
        <f t="shared" si="1"/>
        <v>0</v>
      </c>
    </row>
    <row r="61" spans="1:7" x14ac:dyDescent="0.25">
      <c r="A61" s="194"/>
      <c r="B61" s="98" t="s">
        <v>325</v>
      </c>
      <c r="C61" s="30">
        <v>5</v>
      </c>
      <c r="D61" s="30">
        <v>2.5</v>
      </c>
      <c r="E61" s="30">
        <v>5</v>
      </c>
      <c r="F61" s="88">
        <f t="shared" si="0"/>
        <v>2.5</v>
      </c>
      <c r="G61" s="88">
        <f t="shared" si="1"/>
        <v>0</v>
      </c>
    </row>
    <row r="62" spans="1:7" x14ac:dyDescent="0.25">
      <c r="A62" s="195"/>
      <c r="B62" s="98" t="s">
        <v>294</v>
      </c>
      <c r="C62" s="30">
        <v>5</v>
      </c>
      <c r="D62" s="30">
        <v>2.5</v>
      </c>
      <c r="E62" s="30">
        <v>5</v>
      </c>
      <c r="F62" s="88">
        <f t="shared" si="0"/>
        <v>2.5</v>
      </c>
      <c r="G62" s="88">
        <f t="shared" si="1"/>
        <v>0</v>
      </c>
    </row>
    <row r="63" spans="1:7" x14ac:dyDescent="0.25">
      <c r="A63" s="378" t="s">
        <v>105</v>
      </c>
      <c r="B63" s="90" t="s">
        <v>585</v>
      </c>
      <c r="C63" s="30">
        <v>1</v>
      </c>
      <c r="D63" s="30">
        <v>1</v>
      </c>
      <c r="E63" s="30">
        <v>1.25</v>
      </c>
      <c r="F63" s="88">
        <f t="shared" si="0"/>
        <v>0</v>
      </c>
      <c r="G63" s="88">
        <f t="shared" si="1"/>
        <v>0.25</v>
      </c>
    </row>
    <row r="64" spans="1:7" x14ac:dyDescent="0.25">
      <c r="A64" s="377"/>
      <c r="B64" s="90" t="s">
        <v>108</v>
      </c>
      <c r="C64" s="30">
        <v>1</v>
      </c>
      <c r="D64" s="30">
        <v>1</v>
      </c>
      <c r="E64" s="30">
        <v>1.25</v>
      </c>
      <c r="F64" s="88">
        <f t="shared" si="0"/>
        <v>0</v>
      </c>
      <c r="G64" s="88">
        <f t="shared" si="1"/>
        <v>0.25</v>
      </c>
    </row>
    <row r="65" spans="1:7" x14ac:dyDescent="0.25">
      <c r="A65" s="377"/>
      <c r="B65" s="90" t="s">
        <v>111</v>
      </c>
      <c r="C65" s="30">
        <v>1</v>
      </c>
      <c r="D65" s="30">
        <v>1</v>
      </c>
      <c r="E65" s="30">
        <v>1.25</v>
      </c>
      <c r="F65" s="88">
        <f t="shared" si="0"/>
        <v>0</v>
      </c>
      <c r="G65" s="88">
        <f t="shared" si="1"/>
        <v>0.25</v>
      </c>
    </row>
    <row r="66" spans="1:7" x14ac:dyDescent="0.25">
      <c r="A66" s="377"/>
      <c r="B66" s="90" t="s">
        <v>114</v>
      </c>
      <c r="C66" s="30">
        <v>1</v>
      </c>
      <c r="D66" s="30">
        <v>1</v>
      </c>
      <c r="E66" s="30">
        <v>1.5</v>
      </c>
      <c r="F66" s="88">
        <f t="shared" si="0"/>
        <v>0</v>
      </c>
      <c r="G66" s="88">
        <f t="shared" si="1"/>
        <v>0.5</v>
      </c>
    </row>
    <row r="67" spans="1:7" x14ac:dyDescent="0.25">
      <c r="A67" s="383" t="s">
        <v>117</v>
      </c>
      <c r="B67" s="90" t="s">
        <v>118</v>
      </c>
      <c r="C67" s="30">
        <v>5</v>
      </c>
      <c r="D67" s="30">
        <v>3.75</v>
      </c>
      <c r="E67" s="30">
        <v>5</v>
      </c>
      <c r="F67" s="88">
        <f t="shared" ref="F67:F76" si="2">C67-D67</f>
        <v>1.25</v>
      </c>
      <c r="G67" s="88">
        <f t="shared" ref="G67:G76" si="3">E67-C67</f>
        <v>0</v>
      </c>
    </row>
    <row r="68" spans="1:7" x14ac:dyDescent="0.25">
      <c r="A68" s="383"/>
      <c r="B68" s="90" t="s">
        <v>123</v>
      </c>
      <c r="C68" s="30">
        <v>5</v>
      </c>
      <c r="D68" s="30">
        <v>3.75</v>
      </c>
      <c r="E68" s="30">
        <v>5</v>
      </c>
      <c r="F68" s="88">
        <f t="shared" si="2"/>
        <v>1.25</v>
      </c>
      <c r="G68" s="88">
        <f t="shared" si="3"/>
        <v>0</v>
      </c>
    </row>
    <row r="69" spans="1:7" x14ac:dyDescent="0.25">
      <c r="A69" s="383"/>
      <c r="B69" s="90" t="s">
        <v>587</v>
      </c>
      <c r="C69" s="30">
        <v>5</v>
      </c>
      <c r="D69" s="30">
        <v>3.75</v>
      </c>
      <c r="E69" s="30">
        <v>5</v>
      </c>
      <c r="F69" s="88">
        <f t="shared" si="2"/>
        <v>1.25</v>
      </c>
      <c r="G69" s="88">
        <f t="shared" si="3"/>
        <v>0</v>
      </c>
    </row>
    <row r="70" spans="1:7" x14ac:dyDescent="0.25">
      <c r="A70" s="383"/>
      <c r="B70" s="98" t="s">
        <v>703</v>
      </c>
      <c r="C70" s="30">
        <v>5</v>
      </c>
      <c r="D70" s="30">
        <v>3.75</v>
      </c>
      <c r="E70" s="30">
        <v>5</v>
      </c>
      <c r="F70" s="88">
        <f t="shared" si="2"/>
        <v>1.25</v>
      </c>
      <c r="G70" s="88">
        <f t="shared" si="3"/>
        <v>0</v>
      </c>
    </row>
    <row r="71" spans="1:7" x14ac:dyDescent="0.25">
      <c r="A71" s="383"/>
      <c r="B71" s="90" t="s">
        <v>127</v>
      </c>
      <c r="C71" s="30">
        <v>5</v>
      </c>
      <c r="D71" s="30">
        <v>4.5</v>
      </c>
      <c r="E71" s="30">
        <v>5</v>
      </c>
      <c r="F71" s="88">
        <f t="shared" si="2"/>
        <v>0.5</v>
      </c>
      <c r="G71" s="88">
        <f t="shared" si="3"/>
        <v>0</v>
      </c>
    </row>
    <row r="72" spans="1:7" x14ac:dyDescent="0.25">
      <c r="A72" s="383"/>
      <c r="B72" s="90" t="s">
        <v>131</v>
      </c>
      <c r="C72" s="30">
        <v>5</v>
      </c>
      <c r="D72" s="30">
        <v>3.75</v>
      </c>
      <c r="E72" s="30">
        <v>5</v>
      </c>
      <c r="F72" s="88">
        <f>C72-D72</f>
        <v>1.25</v>
      </c>
      <c r="G72" s="88">
        <f>E72-C72</f>
        <v>0</v>
      </c>
    </row>
    <row r="73" spans="1:7" x14ac:dyDescent="0.25">
      <c r="A73" s="383"/>
      <c r="B73" s="90" t="s">
        <v>588</v>
      </c>
      <c r="C73" s="30">
        <v>5</v>
      </c>
      <c r="D73" s="30">
        <v>3.75</v>
      </c>
      <c r="E73" s="30">
        <v>5</v>
      </c>
      <c r="F73" s="88">
        <f t="shared" si="2"/>
        <v>1.25</v>
      </c>
      <c r="G73" s="88">
        <f t="shared" si="3"/>
        <v>0</v>
      </c>
    </row>
    <row r="74" spans="1:7" x14ac:dyDescent="0.25">
      <c r="A74" s="383"/>
      <c r="B74" s="90" t="s">
        <v>129</v>
      </c>
      <c r="C74" s="30">
        <v>5</v>
      </c>
      <c r="D74" s="30">
        <v>3.75</v>
      </c>
      <c r="E74" s="30">
        <v>5</v>
      </c>
      <c r="F74" s="88">
        <f t="shared" si="2"/>
        <v>1.25</v>
      </c>
      <c r="G74" s="88">
        <f t="shared" si="3"/>
        <v>0</v>
      </c>
    </row>
    <row r="75" spans="1:7" x14ac:dyDescent="0.25">
      <c r="A75" s="383"/>
      <c r="B75" s="90" t="s">
        <v>133</v>
      </c>
      <c r="C75" s="30">
        <v>5</v>
      </c>
      <c r="D75" s="30">
        <v>2.5</v>
      </c>
      <c r="E75" s="30">
        <v>5</v>
      </c>
      <c r="F75" s="88">
        <f t="shared" ref="F75" si="4">C75-D75</f>
        <v>2.5</v>
      </c>
      <c r="G75" s="88">
        <f t="shared" ref="G75" si="5">E75-C75</f>
        <v>0</v>
      </c>
    </row>
    <row r="76" spans="1:7" x14ac:dyDescent="0.25">
      <c r="A76" s="383"/>
      <c r="B76" s="98" t="s">
        <v>288</v>
      </c>
      <c r="C76" s="30">
        <v>5</v>
      </c>
      <c r="D76" s="30">
        <v>3.75</v>
      </c>
      <c r="E76" s="30">
        <v>5</v>
      </c>
      <c r="F76" s="88">
        <f t="shared" si="2"/>
        <v>1.25</v>
      </c>
      <c r="G76" s="88">
        <f t="shared" si="3"/>
        <v>0</v>
      </c>
    </row>
    <row r="77" spans="1:7" x14ac:dyDescent="0.25">
      <c r="A77" s="383"/>
      <c r="B77" s="90" t="s">
        <v>586</v>
      </c>
      <c r="C77" s="30">
        <v>5</v>
      </c>
      <c r="D77" s="30">
        <v>3.75</v>
      </c>
      <c r="E77" s="30">
        <v>5</v>
      </c>
      <c r="F77" s="88">
        <f>C77-D77</f>
        <v>1.25</v>
      </c>
      <c r="G77" s="88">
        <f>E77-C77</f>
        <v>0</v>
      </c>
    </row>
    <row r="78" spans="1:7" x14ac:dyDescent="0.25">
      <c r="A78" s="88"/>
      <c r="B78" s="88"/>
    </row>
    <row r="79" spans="1:7" x14ac:dyDescent="0.25">
      <c r="A79" s="88"/>
      <c r="B79" s="88"/>
    </row>
    <row r="80" spans="1:7" x14ac:dyDescent="0.25">
      <c r="A80" s="88"/>
      <c r="B80" s="88"/>
    </row>
    <row r="81" spans="1:2" x14ac:dyDescent="0.25">
      <c r="A81" s="88"/>
      <c r="B81" s="88"/>
    </row>
    <row r="82" spans="1:2" x14ac:dyDescent="0.25">
      <c r="A82" s="88"/>
      <c r="B82" s="88"/>
    </row>
    <row r="83" spans="1:2" x14ac:dyDescent="0.25">
      <c r="A83" s="88"/>
      <c r="B83" s="88"/>
    </row>
    <row r="84" spans="1:2" x14ac:dyDescent="0.25">
      <c r="A84" s="88"/>
      <c r="B84" s="88"/>
    </row>
    <row r="85" spans="1:2" x14ac:dyDescent="0.25">
      <c r="A85" s="88"/>
      <c r="B85" s="88"/>
    </row>
    <row r="86" spans="1:2" x14ac:dyDescent="0.25">
      <c r="A86" s="88"/>
      <c r="B86" s="88"/>
    </row>
    <row r="87" spans="1:2" x14ac:dyDescent="0.25">
      <c r="A87" s="88"/>
      <c r="B87" s="88"/>
    </row>
    <row r="88" spans="1:2" x14ac:dyDescent="0.25">
      <c r="A88" s="88"/>
      <c r="B88" s="88"/>
    </row>
    <row r="89" spans="1:2" x14ac:dyDescent="0.25">
      <c r="A89" s="88"/>
      <c r="B89" s="88"/>
    </row>
    <row r="90" spans="1:2" x14ac:dyDescent="0.25">
      <c r="A90" s="88"/>
      <c r="B90" s="88"/>
    </row>
    <row r="91" spans="1:2" x14ac:dyDescent="0.25">
      <c r="A91" s="88"/>
      <c r="B91" s="88"/>
    </row>
    <row r="92" spans="1:2" x14ac:dyDescent="0.25">
      <c r="A92" s="88"/>
      <c r="B92" s="88"/>
    </row>
    <row r="93" spans="1:2" x14ac:dyDescent="0.25">
      <c r="A93" s="88"/>
      <c r="B93" s="88"/>
    </row>
    <row r="94" spans="1:2" x14ac:dyDescent="0.25">
      <c r="A94" s="88"/>
      <c r="B94" s="88"/>
    </row>
    <row r="95" spans="1:2" x14ac:dyDescent="0.25">
      <c r="A95" s="88"/>
      <c r="B95" s="88"/>
    </row>
    <row r="96" spans="1:2" x14ac:dyDescent="0.25">
      <c r="A96" s="88"/>
      <c r="B96" s="88"/>
    </row>
    <row r="97" spans="1:2" x14ac:dyDescent="0.25">
      <c r="A97" s="88"/>
      <c r="B97" s="88"/>
    </row>
    <row r="98" spans="1:2" x14ac:dyDescent="0.25">
      <c r="A98" s="88"/>
      <c r="B98" s="88"/>
    </row>
    <row r="99" spans="1:2" x14ac:dyDescent="0.25">
      <c r="A99" s="88"/>
      <c r="B99" s="88"/>
    </row>
    <row r="100" spans="1:2" x14ac:dyDescent="0.25">
      <c r="A100" s="88"/>
      <c r="B100" s="88"/>
    </row>
    <row r="101" spans="1:2" x14ac:dyDescent="0.25">
      <c r="A101" s="88"/>
      <c r="B101" s="88"/>
    </row>
    <row r="102" spans="1:2" x14ac:dyDescent="0.25">
      <c r="A102" s="88"/>
      <c r="B102" s="88"/>
    </row>
    <row r="103" spans="1:2" x14ac:dyDescent="0.25">
      <c r="A103" s="88"/>
      <c r="B103" s="88"/>
    </row>
    <row r="104" spans="1:2" x14ac:dyDescent="0.25">
      <c r="A104" s="88"/>
      <c r="B104" s="88"/>
    </row>
    <row r="105" spans="1:2" x14ac:dyDescent="0.25">
      <c r="A105" s="88"/>
      <c r="B105" s="88"/>
    </row>
    <row r="106" spans="1:2" x14ac:dyDescent="0.25">
      <c r="A106" s="88"/>
      <c r="B106" s="88"/>
    </row>
    <row r="107" spans="1:2" x14ac:dyDescent="0.25">
      <c r="A107" s="88"/>
      <c r="B107" s="88"/>
    </row>
    <row r="108" spans="1:2" x14ac:dyDescent="0.25">
      <c r="A108" s="88"/>
      <c r="B108" s="88"/>
    </row>
    <row r="109" spans="1:2" x14ac:dyDescent="0.25">
      <c r="A109" s="88"/>
      <c r="B109" s="88"/>
    </row>
    <row r="110" spans="1:2" x14ac:dyDescent="0.25">
      <c r="A110" s="88"/>
      <c r="B110" s="88"/>
    </row>
    <row r="111" spans="1:2" x14ac:dyDescent="0.25">
      <c r="A111" s="88"/>
      <c r="B111" s="88"/>
    </row>
    <row r="112" spans="1:2" x14ac:dyDescent="0.25">
      <c r="A112" s="88"/>
      <c r="B112" s="88"/>
    </row>
    <row r="113" spans="1:2" x14ac:dyDescent="0.25">
      <c r="A113" s="88"/>
      <c r="B113" s="88"/>
    </row>
    <row r="114" spans="1:2" x14ac:dyDescent="0.25">
      <c r="A114" s="88"/>
      <c r="B114" s="88"/>
    </row>
    <row r="115" spans="1:2" x14ac:dyDescent="0.25">
      <c r="A115" s="88"/>
      <c r="B115" s="88"/>
    </row>
    <row r="116" spans="1:2" x14ac:dyDescent="0.25">
      <c r="A116" s="88"/>
      <c r="B116" s="88"/>
    </row>
    <row r="117" spans="1:2" x14ac:dyDescent="0.25">
      <c r="A117" s="88"/>
      <c r="B117" s="88"/>
    </row>
    <row r="118" spans="1:2" x14ac:dyDescent="0.25">
      <c r="A118" s="88"/>
      <c r="B118" s="88"/>
    </row>
    <row r="119" spans="1:2" x14ac:dyDescent="0.25">
      <c r="A119" s="88"/>
      <c r="B119" s="88"/>
    </row>
    <row r="120" spans="1:2" x14ac:dyDescent="0.25">
      <c r="A120" s="88"/>
      <c r="B120" s="88"/>
    </row>
    <row r="121" spans="1:2" x14ac:dyDescent="0.25">
      <c r="A121" s="88"/>
      <c r="B121" s="88"/>
    </row>
    <row r="122" spans="1:2" x14ac:dyDescent="0.25">
      <c r="A122" s="88"/>
      <c r="B122" s="88"/>
    </row>
    <row r="123" spans="1:2" x14ac:dyDescent="0.25">
      <c r="A123" s="88"/>
      <c r="B123" s="88"/>
    </row>
    <row r="124" spans="1:2" x14ac:dyDescent="0.25">
      <c r="A124" s="88"/>
      <c r="B124" s="88"/>
    </row>
    <row r="125" spans="1:2" x14ac:dyDescent="0.25">
      <c r="A125" s="88"/>
      <c r="B125" s="88"/>
    </row>
    <row r="126" spans="1:2" x14ac:dyDescent="0.25">
      <c r="A126" s="88"/>
      <c r="B126" s="88"/>
    </row>
    <row r="127" spans="1:2" x14ac:dyDescent="0.25">
      <c r="A127" s="88"/>
      <c r="B127" s="88"/>
    </row>
    <row r="128" spans="1:2" x14ac:dyDescent="0.25">
      <c r="A128" s="88"/>
      <c r="B128" s="88"/>
    </row>
    <row r="129" spans="1:2" x14ac:dyDescent="0.25">
      <c r="A129" s="88"/>
      <c r="B129" s="88"/>
    </row>
    <row r="130" spans="1:2" x14ac:dyDescent="0.25">
      <c r="A130" s="88"/>
      <c r="B130" s="88"/>
    </row>
    <row r="131" spans="1:2" x14ac:dyDescent="0.25">
      <c r="A131" s="88"/>
      <c r="B131" s="88"/>
    </row>
  </sheetData>
  <mergeCells count="10">
    <mergeCell ref="A41:A42"/>
    <mergeCell ref="A43:A60"/>
    <mergeCell ref="A63:A66"/>
    <mergeCell ref="A67:A77"/>
    <mergeCell ref="A2:A7"/>
    <mergeCell ref="A8:A10"/>
    <mergeCell ref="A12:A14"/>
    <mergeCell ref="A17:A34"/>
    <mergeCell ref="A36:A37"/>
    <mergeCell ref="A38:A4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6</vt:i4>
      </vt:variant>
    </vt:vector>
  </HeadingPairs>
  <TitlesOfParts>
    <vt:vector size="17" baseType="lpstr">
      <vt:lpstr>Population Vulnerability</vt:lpstr>
      <vt:lpstr>Collision Vulnerability</vt:lpstr>
      <vt:lpstr>Displacement Vulnerability</vt:lpstr>
      <vt:lpstr>Analysis1</vt:lpstr>
      <vt:lpstr>Analysis2</vt:lpstr>
      <vt:lpstr>NFR.DFR.graphs</vt:lpstr>
      <vt:lpstr>HF.graphs</vt:lpstr>
      <vt:lpstr>RSZ.graphs</vt:lpstr>
      <vt:lpstr>MacroAvoid</vt:lpstr>
      <vt:lpstr>Terms</vt:lpstr>
      <vt:lpstr>Addtional Species</vt:lpstr>
      <vt:lpstr>finalScores_tax</vt:lpstr>
      <vt:lpstr>PS.circle</vt:lpstr>
      <vt:lpstr>CS.DS.circle</vt:lpstr>
      <vt:lpstr>finalPopScore</vt:lpstr>
      <vt:lpstr>MacroAvoidScores</vt:lpstr>
      <vt:lpstr>HabFlexScore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Kelsey</dc:creator>
  <cp:lastModifiedBy>Emma Cashman Kelsey</cp:lastModifiedBy>
  <cp:lastPrinted>2014-10-30T18:09:09Z</cp:lastPrinted>
  <dcterms:created xsi:type="dcterms:W3CDTF">2014-07-14T22:27:06Z</dcterms:created>
  <dcterms:modified xsi:type="dcterms:W3CDTF">2015-05-15T20:15:50Z</dcterms:modified>
</cp:coreProperties>
</file>