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Verification\"/>
    </mc:Choice>
  </mc:AlternateContent>
  <xr:revisionPtr revIDLastSave="0" documentId="13_ncr:1_{972CE370-3C17-4C7A-A861-42AB533FC30D}" xr6:coauthVersionLast="36" xr6:coauthVersionMax="36" xr10:uidLastSave="{00000000-0000-0000-0000-000000000000}"/>
  <bookViews>
    <workbookView xWindow="0" yWindow="0" windowWidth="28800" windowHeight="11625" activeTab="1" xr2:uid="{415DFDB1-2AE9-458B-9DDF-45580D1108E3}"/>
  </bookViews>
  <sheets>
    <sheet name="rev1_UDLfor_beamlength=LOS" sheetId="1" r:id="rId1"/>
    <sheet name="rev2_UDL=LOS_beamlen=fou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F7" i="2"/>
  <c r="F5" i="2"/>
  <c r="F3" i="2"/>
  <c r="J4" i="2"/>
  <c r="K4" i="2" s="1"/>
  <c r="J11" i="2"/>
  <c r="K11" i="2" s="1"/>
  <c r="J12" i="2"/>
  <c r="K12" i="2" s="1"/>
  <c r="J19" i="2"/>
  <c r="K19" i="2" s="1"/>
  <c r="J20" i="2"/>
  <c r="K20" i="2" s="1"/>
  <c r="I5" i="2"/>
  <c r="J5" i="2" s="1"/>
  <c r="K5" i="2" s="1"/>
  <c r="I6" i="2"/>
  <c r="J6" i="2" s="1"/>
  <c r="K6" i="2" s="1"/>
  <c r="I7" i="2"/>
  <c r="I8" i="2"/>
  <c r="I9" i="2"/>
  <c r="J9" i="2" s="1"/>
  <c r="K9" i="2" s="1"/>
  <c r="I10" i="2"/>
  <c r="J10" i="2" s="1"/>
  <c r="K10" i="2" s="1"/>
  <c r="I11" i="2"/>
  <c r="L11" i="2" s="1"/>
  <c r="M11" i="2" s="1"/>
  <c r="I12" i="2"/>
  <c r="L12" i="2" s="1"/>
  <c r="M12" i="2" s="1"/>
  <c r="I13" i="2"/>
  <c r="J13" i="2" s="1"/>
  <c r="K13" i="2" s="1"/>
  <c r="I14" i="2"/>
  <c r="J14" i="2" s="1"/>
  <c r="K14" i="2" s="1"/>
  <c r="I15" i="2"/>
  <c r="I16" i="2"/>
  <c r="J16" i="2" s="1"/>
  <c r="K16" i="2" s="1"/>
  <c r="I17" i="2"/>
  <c r="J17" i="2" s="1"/>
  <c r="K17" i="2" s="1"/>
  <c r="I18" i="2"/>
  <c r="J18" i="2" s="1"/>
  <c r="K18" i="2" s="1"/>
  <c r="I19" i="2"/>
  <c r="I20" i="2"/>
  <c r="L20" i="2" s="1"/>
  <c r="M20" i="2" s="1"/>
  <c r="I21" i="2"/>
  <c r="J21" i="2" s="1"/>
  <c r="K21" i="2" s="1"/>
  <c r="I22" i="2"/>
  <c r="J22" i="2" s="1"/>
  <c r="K22" i="2" s="1"/>
  <c r="I4" i="2"/>
  <c r="L4" i="2" s="1"/>
  <c r="M4" i="2" s="1"/>
  <c r="H17" i="2"/>
  <c r="H18" i="2"/>
  <c r="H19" i="2"/>
  <c r="H20" i="2"/>
  <c r="H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L8" i="2" l="1"/>
  <c r="M8" i="2" s="1"/>
  <c r="L15" i="2"/>
  <c r="M15" i="2" s="1"/>
  <c r="L7" i="2"/>
  <c r="M7" i="2" s="1"/>
  <c r="L19" i="2"/>
  <c r="M19" i="2" s="1"/>
  <c r="L10" i="2"/>
  <c r="M10" i="2" s="1"/>
  <c r="L16" i="2"/>
  <c r="M16" i="2" s="1"/>
  <c r="J8" i="2"/>
  <c r="K8" i="2" s="1"/>
  <c r="L22" i="2"/>
  <c r="M22" i="2" s="1"/>
  <c r="L14" i="2"/>
  <c r="M14" i="2" s="1"/>
  <c r="L6" i="2"/>
  <c r="M6" i="2" s="1"/>
  <c r="L18" i="2"/>
  <c r="M18" i="2" s="1"/>
  <c r="L9" i="2"/>
  <c r="M9" i="2" s="1"/>
  <c r="J15" i="2"/>
  <c r="K15" i="2" s="1"/>
  <c r="J7" i="2"/>
  <c r="K7" i="2" s="1"/>
  <c r="L21" i="2"/>
  <c r="M21" i="2" s="1"/>
  <c r="L13" i="2"/>
  <c r="M13" i="2" s="1"/>
  <c r="L5" i="2"/>
  <c r="M5" i="2" s="1"/>
  <c r="L17" i="2"/>
  <c r="M17" i="2" s="1"/>
  <c r="C7" i="2"/>
  <c r="D3" i="2"/>
  <c r="C3" i="2"/>
  <c r="AU6" i="1" l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5" i="1"/>
  <c r="AV5" i="1"/>
  <c r="AT3" i="1"/>
  <c r="AR7" i="1"/>
  <c r="AR8" i="1"/>
  <c r="AR9" i="1"/>
  <c r="AR10" i="1"/>
  <c r="AR11" i="1"/>
  <c r="AR12" i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6" i="1"/>
  <c r="AT9" i="1" l="1"/>
  <c r="AY46" i="1" l="1"/>
  <c r="AW46" i="1"/>
  <c r="AS46" i="1"/>
  <c r="AY45" i="1"/>
  <c r="AW45" i="1"/>
  <c r="AS45" i="1"/>
  <c r="AQ45" i="1"/>
  <c r="AY44" i="1"/>
  <c r="AW44" i="1"/>
  <c r="AS44" i="1"/>
  <c r="AQ44" i="1"/>
  <c r="AY43" i="1"/>
  <c r="AW43" i="1"/>
  <c r="AS43" i="1"/>
  <c r="AO43" i="1"/>
  <c r="AO42" i="1" s="1"/>
  <c r="AN43" i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Y42" i="1"/>
  <c r="AW42" i="1"/>
  <c r="AS42" i="1"/>
  <c r="AY41" i="1"/>
  <c r="AW41" i="1"/>
  <c r="AS41" i="1"/>
  <c r="AY40" i="1"/>
  <c r="AW40" i="1"/>
  <c r="AS40" i="1"/>
  <c r="AY39" i="1"/>
  <c r="AW39" i="1"/>
  <c r="AS39" i="1"/>
  <c r="AY38" i="1"/>
  <c r="AW38" i="1"/>
  <c r="AS38" i="1"/>
  <c r="AY37" i="1"/>
  <c r="AW37" i="1"/>
  <c r="AS37" i="1"/>
  <c r="AY36" i="1"/>
  <c r="AW36" i="1"/>
  <c r="AS36" i="1"/>
  <c r="AY35" i="1"/>
  <c r="AW35" i="1"/>
  <c r="AS35" i="1"/>
  <c r="AY34" i="1"/>
  <c r="AW34" i="1"/>
  <c r="AS34" i="1"/>
  <c r="AY33" i="1"/>
  <c r="AW33" i="1"/>
  <c r="AS33" i="1"/>
  <c r="AY32" i="1"/>
  <c r="AW32" i="1"/>
  <c r="AS32" i="1"/>
  <c r="AY31" i="1"/>
  <c r="AW31" i="1"/>
  <c r="AS31" i="1"/>
  <c r="AY30" i="1"/>
  <c r="AW30" i="1"/>
  <c r="AS30" i="1"/>
  <c r="AY29" i="1"/>
  <c r="AW29" i="1"/>
  <c r="AS29" i="1"/>
  <c r="AY28" i="1"/>
  <c r="AW28" i="1"/>
  <c r="AS28" i="1"/>
  <c r="AY27" i="1"/>
  <c r="AM46" i="1"/>
  <c r="AK46" i="1"/>
  <c r="AG46" i="1"/>
  <c r="AM45" i="1"/>
  <c r="AK45" i="1"/>
  <c r="AG45" i="1"/>
  <c r="AE45" i="1"/>
  <c r="AM44" i="1"/>
  <c r="AK44" i="1"/>
  <c r="AG44" i="1"/>
  <c r="AE44" i="1"/>
  <c r="AM43" i="1"/>
  <c r="AK43" i="1"/>
  <c r="AG43" i="1"/>
  <c r="AE43" i="1"/>
  <c r="AC43" i="1"/>
  <c r="AB43" i="1"/>
  <c r="AM42" i="1"/>
  <c r="AK42" i="1"/>
  <c r="AG42" i="1"/>
  <c r="AE42" i="1"/>
  <c r="AC42" i="1"/>
  <c r="AB42" i="1"/>
  <c r="AM41" i="1"/>
  <c r="AK41" i="1"/>
  <c r="AG41" i="1"/>
  <c r="AC41" i="1"/>
  <c r="AB41" i="1"/>
  <c r="AE41" i="1" s="1"/>
  <c r="AM40" i="1"/>
  <c r="AK40" i="1"/>
  <c r="AG40" i="1"/>
  <c r="AC40" i="1"/>
  <c r="AM39" i="1"/>
  <c r="AK39" i="1"/>
  <c r="AG39" i="1"/>
  <c r="AC39" i="1"/>
  <c r="AC38" i="1" s="1"/>
  <c r="AM38" i="1"/>
  <c r="AK38" i="1"/>
  <c r="AG38" i="1"/>
  <c r="AM37" i="1"/>
  <c r="AK37" i="1"/>
  <c r="AG37" i="1"/>
  <c r="AM36" i="1"/>
  <c r="AK36" i="1"/>
  <c r="AG36" i="1"/>
  <c r="AM35" i="1"/>
  <c r="AK35" i="1"/>
  <c r="AG35" i="1"/>
  <c r="AM34" i="1"/>
  <c r="AK34" i="1"/>
  <c r="AG34" i="1"/>
  <c r="AM33" i="1"/>
  <c r="AK33" i="1"/>
  <c r="AG33" i="1"/>
  <c r="AM32" i="1"/>
  <c r="AK32" i="1"/>
  <c r="AG32" i="1"/>
  <c r="AM31" i="1"/>
  <c r="AK31" i="1"/>
  <c r="AG31" i="1"/>
  <c r="AM30" i="1"/>
  <c r="AK30" i="1"/>
  <c r="AG30" i="1"/>
  <c r="AM29" i="1"/>
  <c r="AK29" i="1"/>
  <c r="AG29" i="1"/>
  <c r="AM28" i="1"/>
  <c r="AK28" i="1"/>
  <c r="AG28" i="1"/>
  <c r="AM27" i="1"/>
  <c r="AQ42" i="1" l="1"/>
  <c r="AO41" i="1"/>
  <c r="AQ43" i="1"/>
  <c r="AC37" i="1"/>
  <c r="AB40" i="1"/>
  <c r="AB39" i="1" s="1"/>
  <c r="AB38" i="1" s="1"/>
  <c r="AB37" i="1" s="1"/>
  <c r="AB36" i="1" s="1"/>
  <c r="AB35" i="1" s="1"/>
  <c r="AB34" i="1" s="1"/>
  <c r="AB33" i="1" s="1"/>
  <c r="AB32" i="1" s="1"/>
  <c r="AB31" i="1" s="1"/>
  <c r="AB30" i="1" s="1"/>
  <c r="AB29" i="1" s="1"/>
  <c r="AB28" i="1" s="1"/>
  <c r="AB27" i="1" s="1"/>
  <c r="AE39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5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R70" i="1"/>
  <c r="R71" i="1"/>
  <c r="R72" i="1"/>
  <c r="R73" i="1"/>
  <c r="R74" i="1"/>
  <c r="R75" i="1"/>
  <c r="R76" i="1"/>
  <c r="R77" i="1"/>
  <c r="R78" i="1"/>
  <c r="R79" i="1"/>
  <c r="R69" i="1"/>
  <c r="AQ56" i="1"/>
  <c r="AQ57" i="1"/>
  <c r="AQ58" i="1"/>
  <c r="AQ59" i="1"/>
  <c r="AQ55" i="1"/>
  <c r="AD59" i="1"/>
  <c r="AD60" i="1"/>
  <c r="AD61" i="1"/>
  <c r="AD62" i="1"/>
  <c r="AD63" i="1"/>
  <c r="AD64" i="1"/>
  <c r="AD65" i="1"/>
  <c r="AD66" i="1"/>
  <c r="AD67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E71" i="1"/>
  <c r="E72" i="1"/>
  <c r="E73" i="1"/>
  <c r="E74" i="1"/>
  <c r="E75" i="1"/>
  <c r="E76" i="1"/>
  <c r="E77" i="1" s="1"/>
  <c r="E78" i="1" s="1"/>
  <c r="E79" i="1" s="1"/>
  <c r="E70" i="1"/>
  <c r="P70" i="1"/>
  <c r="P71" i="1"/>
  <c r="P72" i="1"/>
  <c r="P73" i="1"/>
  <c r="P74" i="1"/>
  <c r="P75" i="1"/>
  <c r="P76" i="1"/>
  <c r="P77" i="1"/>
  <c r="P78" i="1"/>
  <c r="P79" i="1"/>
  <c r="P69" i="1"/>
  <c r="N70" i="1"/>
  <c r="N71" i="1"/>
  <c r="N72" i="1"/>
  <c r="N73" i="1"/>
  <c r="N74" i="1"/>
  <c r="N75" i="1"/>
  <c r="N76" i="1"/>
  <c r="N77" i="1"/>
  <c r="N78" i="1"/>
  <c r="N79" i="1"/>
  <c r="N69" i="1"/>
  <c r="K70" i="1"/>
  <c r="K71" i="1"/>
  <c r="K72" i="1"/>
  <c r="K73" i="1"/>
  <c r="K74" i="1"/>
  <c r="K75" i="1"/>
  <c r="K76" i="1"/>
  <c r="K77" i="1"/>
  <c r="K78" i="1"/>
  <c r="K79" i="1"/>
  <c r="K69" i="1"/>
  <c r="I70" i="1"/>
  <c r="I71" i="1"/>
  <c r="I72" i="1"/>
  <c r="I73" i="1"/>
  <c r="I74" i="1"/>
  <c r="I75" i="1"/>
  <c r="I76" i="1"/>
  <c r="I77" i="1"/>
  <c r="I78" i="1"/>
  <c r="I79" i="1"/>
  <c r="I69" i="1"/>
  <c r="C78" i="1"/>
  <c r="C7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AE23" i="1"/>
  <c r="M69" i="1"/>
  <c r="M68" i="1"/>
  <c r="AQ41" i="1" l="1"/>
  <c r="AO40" i="1"/>
  <c r="AE38" i="1"/>
  <c r="AE37" i="1"/>
  <c r="AC36" i="1"/>
  <c r="AE40" i="1"/>
  <c r="M71" i="1"/>
  <c r="M70" i="1"/>
  <c r="AO39" i="1" l="1"/>
  <c r="AQ40" i="1"/>
  <c r="AC35" i="1"/>
  <c r="AE36" i="1"/>
  <c r="M72" i="1"/>
  <c r="AO38" i="1" l="1"/>
  <c r="AQ39" i="1"/>
  <c r="AC34" i="1"/>
  <c r="AE35" i="1"/>
  <c r="M73" i="1"/>
  <c r="AQ38" i="1" l="1"/>
  <c r="AO37" i="1"/>
  <c r="AC33" i="1"/>
  <c r="AE34" i="1"/>
  <c r="M74" i="1"/>
  <c r="AO36" i="1" l="1"/>
  <c r="AQ37" i="1"/>
  <c r="AE33" i="1"/>
  <c r="AC32" i="1"/>
  <c r="M75" i="1"/>
  <c r="AO35" i="1" l="1"/>
  <c r="AQ36" i="1"/>
  <c r="AC31" i="1"/>
  <c r="AE32" i="1"/>
  <c r="M76" i="1"/>
  <c r="AO34" i="1" l="1"/>
  <c r="AQ35" i="1"/>
  <c r="AC30" i="1"/>
  <c r="AE31" i="1"/>
  <c r="M77" i="1"/>
  <c r="AQ34" i="1" l="1"/>
  <c r="AO33" i="1"/>
  <c r="AC29" i="1"/>
  <c r="AE30" i="1"/>
  <c r="M78" i="1"/>
  <c r="AO32" i="1" l="1"/>
  <c r="AQ33" i="1"/>
  <c r="AE29" i="1"/>
  <c r="AC28" i="1"/>
  <c r="M79" i="1"/>
  <c r="AA62" i="1"/>
  <c r="AA63" i="1"/>
  <c r="AA64" i="1"/>
  <c r="AA65" i="1"/>
  <c r="V62" i="1"/>
  <c r="V63" i="1"/>
  <c r="V64" i="1"/>
  <c r="V65" i="1"/>
  <c r="R48" i="1"/>
  <c r="W48" i="1" s="1"/>
  <c r="AB48" i="1" s="1"/>
  <c r="AH48" i="1" s="1"/>
  <c r="AO48" i="1" s="1"/>
  <c r="AT48" i="1" s="1"/>
  <c r="S4" i="1"/>
  <c r="T4" i="1" s="1"/>
  <c r="M49" i="1"/>
  <c r="M48" i="1"/>
  <c r="H51" i="1"/>
  <c r="H50" i="1"/>
  <c r="C3" i="1"/>
  <c r="AQ32" i="1" l="1"/>
  <c r="AO31" i="1"/>
  <c r="AC27" i="1"/>
  <c r="AE27" i="1" s="1"/>
  <c r="AE28" i="1"/>
  <c r="H52" i="1"/>
  <c r="M51" i="1"/>
  <c r="M50" i="1"/>
  <c r="R49" i="1"/>
  <c r="AO30" i="1" l="1"/>
  <c r="AQ31" i="1"/>
  <c r="H53" i="1"/>
  <c r="M52" i="1"/>
  <c r="R50" i="1"/>
  <c r="W49" i="1"/>
  <c r="R51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5" i="1"/>
  <c r="AN22" i="1" l="1"/>
  <c r="AV22" i="1"/>
  <c r="AN21" i="1"/>
  <c r="AV21" i="1"/>
  <c r="AN20" i="1"/>
  <c r="AV20" i="1"/>
  <c r="AN19" i="1"/>
  <c r="AV19" i="1"/>
  <c r="AN18" i="1"/>
  <c r="AV18" i="1"/>
  <c r="AN17" i="1"/>
  <c r="AV17" i="1"/>
  <c r="AN16" i="1"/>
  <c r="AV16" i="1"/>
  <c r="AN15" i="1"/>
  <c r="AV15" i="1"/>
  <c r="AN14" i="1"/>
  <c r="AV14" i="1"/>
  <c r="AN13" i="1"/>
  <c r="AV13" i="1"/>
  <c r="AN12" i="1"/>
  <c r="AV12" i="1"/>
  <c r="AN11" i="1"/>
  <c r="AV11" i="1"/>
  <c r="AN10" i="1"/>
  <c r="AV10" i="1"/>
  <c r="AN9" i="1"/>
  <c r="AV9" i="1"/>
  <c r="AN8" i="1"/>
  <c r="AV8" i="1"/>
  <c r="AN7" i="1"/>
  <c r="AV7" i="1"/>
  <c r="AN6" i="1"/>
  <c r="AV6" i="1"/>
  <c r="AN5" i="1"/>
  <c r="AQ30" i="1"/>
  <c r="AO29" i="1"/>
  <c r="R52" i="1"/>
  <c r="W51" i="1"/>
  <c r="AB49" i="1"/>
  <c r="M53" i="1"/>
  <c r="H54" i="1"/>
  <c r="W50" i="1"/>
  <c r="S5" i="1"/>
  <c r="T5" i="1" s="1"/>
  <c r="K4" i="1"/>
  <c r="D3" i="1"/>
  <c r="U4" i="1"/>
  <c r="AE21" i="1"/>
  <c r="AE22" i="1"/>
  <c r="AE24" i="1"/>
  <c r="AB20" i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B4" i="1" s="1"/>
  <c r="AC20" i="1"/>
  <c r="AE20" i="1" s="1"/>
  <c r="R5" i="1"/>
  <c r="C7" i="1"/>
  <c r="H5" i="1"/>
  <c r="AO28" i="1" l="1"/>
  <c r="AQ29" i="1"/>
  <c r="AH49" i="1"/>
  <c r="AB50" i="1"/>
  <c r="AB51" i="1"/>
  <c r="N4" i="1"/>
  <c r="O4" i="1" s="1"/>
  <c r="X4" i="1"/>
  <c r="Y4" i="1" s="1"/>
  <c r="M54" i="1"/>
  <c r="H55" i="1"/>
  <c r="W52" i="1"/>
  <c r="R53" i="1"/>
  <c r="R6" i="1"/>
  <c r="X5" i="1"/>
  <c r="Y5" i="1" s="1"/>
  <c r="AC19" i="1"/>
  <c r="U6" i="1"/>
  <c r="U5" i="1"/>
  <c r="W4" i="1"/>
  <c r="M4" i="1"/>
  <c r="W6" i="1"/>
  <c r="H6" i="1"/>
  <c r="M6" i="1" s="1"/>
  <c r="N5" i="1"/>
  <c r="O5" i="1" s="1"/>
  <c r="W5" i="1"/>
  <c r="R7" i="1"/>
  <c r="X7" i="1" s="1"/>
  <c r="Y7" i="1" s="1"/>
  <c r="K6" i="1"/>
  <c r="K5" i="1"/>
  <c r="M5" i="1"/>
  <c r="AO27" i="1" l="1"/>
  <c r="AQ27" i="1" s="1"/>
  <c r="AQ28" i="1"/>
  <c r="AH51" i="1"/>
  <c r="W53" i="1"/>
  <c r="AB52" i="1"/>
  <c r="R54" i="1"/>
  <c r="AH50" i="1"/>
  <c r="M55" i="1"/>
  <c r="H56" i="1"/>
  <c r="S6" i="1"/>
  <c r="T6" i="1" s="1"/>
  <c r="X6" i="1"/>
  <c r="Y6" i="1" s="1"/>
  <c r="AO49" i="1"/>
  <c r="H7" i="1"/>
  <c r="N6" i="1"/>
  <c r="O6" i="1" s="1"/>
  <c r="S7" i="1"/>
  <c r="T7" i="1" s="1"/>
  <c r="W7" i="1"/>
  <c r="U7" i="1"/>
  <c r="AC18" i="1"/>
  <c r="AE19" i="1"/>
  <c r="R8" i="1"/>
  <c r="X8" i="1" s="1"/>
  <c r="Y8" i="1" s="1"/>
  <c r="AH52" i="1" l="1"/>
  <c r="R55" i="1"/>
  <c r="H57" i="1"/>
  <c r="M56" i="1"/>
  <c r="AT49" i="1"/>
  <c r="W54" i="1"/>
  <c r="AB53" i="1"/>
  <c r="AO50" i="1"/>
  <c r="AO51" i="1"/>
  <c r="U8" i="1"/>
  <c r="S8" i="1"/>
  <c r="T8" i="1" s="1"/>
  <c r="W8" i="1"/>
  <c r="AC17" i="1"/>
  <c r="AE18" i="1"/>
  <c r="H8" i="1"/>
  <c r="N7" i="1"/>
  <c r="O7" i="1" s="1"/>
  <c r="M7" i="1"/>
  <c r="K7" i="1"/>
  <c r="R9" i="1"/>
  <c r="X9" i="1" s="1"/>
  <c r="Y9" i="1" s="1"/>
  <c r="AB54" i="1" l="1"/>
  <c r="H58" i="1"/>
  <c r="M57" i="1"/>
  <c r="R56" i="1"/>
  <c r="AH53" i="1"/>
  <c r="AT51" i="1"/>
  <c r="W55" i="1"/>
  <c r="AT50" i="1"/>
  <c r="AO52" i="1"/>
  <c r="AC16" i="1"/>
  <c r="AE17" i="1"/>
  <c r="H9" i="1"/>
  <c r="N8" i="1"/>
  <c r="O8" i="1" s="1"/>
  <c r="M8" i="1"/>
  <c r="K8" i="1"/>
  <c r="U9" i="1"/>
  <c r="W9" i="1"/>
  <c r="S9" i="1"/>
  <c r="T9" i="1" s="1"/>
  <c r="R10" i="1"/>
  <c r="X10" i="1" s="1"/>
  <c r="Y10" i="1" s="1"/>
  <c r="R57" i="1" l="1"/>
  <c r="AO53" i="1"/>
  <c r="H59" i="1"/>
  <c r="M58" i="1"/>
  <c r="AT52" i="1"/>
  <c r="AR52" i="1"/>
  <c r="AS52" i="1" s="1"/>
  <c r="AB55" i="1"/>
  <c r="W56" i="1"/>
  <c r="AH54" i="1"/>
  <c r="U10" i="1"/>
  <c r="W10" i="1"/>
  <c r="S10" i="1"/>
  <c r="T10" i="1" s="1"/>
  <c r="H10" i="1"/>
  <c r="N9" i="1"/>
  <c r="O9" i="1" s="1"/>
  <c r="K9" i="1"/>
  <c r="M9" i="1"/>
  <c r="AC15" i="1"/>
  <c r="AE16" i="1"/>
  <c r="R11" i="1"/>
  <c r="X11" i="1" s="1"/>
  <c r="Y11" i="1" s="1"/>
  <c r="H60" i="1" l="1"/>
  <c r="M59" i="1"/>
  <c r="AP49" i="1"/>
  <c r="AQ49" i="1" s="1"/>
  <c r="AT53" i="1"/>
  <c r="AW52" i="1" s="1"/>
  <c r="AX52" i="1" s="1"/>
  <c r="AR53" i="1"/>
  <c r="AS53" i="1" s="1"/>
  <c r="AP50" i="1"/>
  <c r="AQ50" i="1" s="1"/>
  <c r="AP51" i="1"/>
  <c r="AQ51" i="1" s="1"/>
  <c r="AP52" i="1"/>
  <c r="AQ52" i="1" s="1"/>
  <c r="AP53" i="1"/>
  <c r="AQ53" i="1" s="1"/>
  <c r="AR49" i="1"/>
  <c r="AS49" i="1" s="1"/>
  <c r="AR50" i="1"/>
  <c r="AS50" i="1" s="1"/>
  <c r="AR51" i="1"/>
  <c r="AS51" i="1" s="1"/>
  <c r="AH55" i="1"/>
  <c r="W57" i="1"/>
  <c r="AB56" i="1"/>
  <c r="R58" i="1"/>
  <c r="U11" i="1"/>
  <c r="W11" i="1"/>
  <c r="S11" i="1"/>
  <c r="T11" i="1" s="1"/>
  <c r="H11" i="1"/>
  <c r="N10" i="1"/>
  <c r="O10" i="1" s="1"/>
  <c r="K10" i="1"/>
  <c r="M10" i="1"/>
  <c r="AC14" i="1"/>
  <c r="AE15" i="1"/>
  <c r="R12" i="1"/>
  <c r="X12" i="1" s="1"/>
  <c r="Y12" i="1" s="1"/>
  <c r="R59" i="1" l="1"/>
  <c r="AW53" i="1"/>
  <c r="AX53" i="1" s="1"/>
  <c r="AU50" i="1"/>
  <c r="AV50" i="1" s="1"/>
  <c r="AU51" i="1"/>
  <c r="AV51" i="1" s="1"/>
  <c r="AU52" i="1"/>
  <c r="AV52" i="1" s="1"/>
  <c r="AU53" i="1"/>
  <c r="AV53" i="1" s="1"/>
  <c r="AU49" i="1"/>
  <c r="AV49" i="1" s="1"/>
  <c r="AW49" i="1"/>
  <c r="AX49" i="1" s="1"/>
  <c r="AW51" i="1"/>
  <c r="AX51" i="1" s="1"/>
  <c r="AW50" i="1"/>
  <c r="AX50" i="1" s="1"/>
  <c r="AH56" i="1"/>
  <c r="AB57" i="1"/>
  <c r="AE56" i="1" s="1"/>
  <c r="AG56" i="1" s="1"/>
  <c r="W58" i="1"/>
  <c r="H61" i="1"/>
  <c r="M60" i="1"/>
  <c r="H12" i="1"/>
  <c r="K12" i="1" s="1"/>
  <c r="N11" i="1"/>
  <c r="O11" i="1" s="1"/>
  <c r="K11" i="1"/>
  <c r="M11" i="1"/>
  <c r="S12" i="1"/>
  <c r="T12" i="1" s="1"/>
  <c r="W12" i="1"/>
  <c r="U12" i="1"/>
  <c r="AC13" i="1"/>
  <c r="AE14" i="1"/>
  <c r="R13" i="1"/>
  <c r="X13" i="1" s="1"/>
  <c r="Y13" i="1" s="1"/>
  <c r="R60" i="1" l="1"/>
  <c r="AE57" i="1"/>
  <c r="AH57" i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E49" i="1"/>
  <c r="AG49" i="1" s="1"/>
  <c r="AE51" i="1"/>
  <c r="AG51" i="1" s="1"/>
  <c r="AE50" i="1"/>
  <c r="AG50" i="1" s="1"/>
  <c r="AC55" i="1"/>
  <c r="AD55" i="1" s="1"/>
  <c r="AE52" i="1"/>
  <c r="AG52" i="1" s="1"/>
  <c r="AC56" i="1"/>
  <c r="AD56" i="1" s="1"/>
  <c r="AE53" i="1"/>
  <c r="AG53" i="1" s="1"/>
  <c r="AC57" i="1"/>
  <c r="AD57" i="1" s="1"/>
  <c r="AE54" i="1"/>
  <c r="AG54" i="1" s="1"/>
  <c r="AE55" i="1"/>
  <c r="AG55" i="1" s="1"/>
  <c r="AK56" i="1"/>
  <c r="AN56" i="1" s="1"/>
  <c r="M61" i="1"/>
  <c r="H62" i="1"/>
  <c r="W59" i="1"/>
  <c r="W13" i="1"/>
  <c r="S13" i="1"/>
  <c r="T13" i="1" s="1"/>
  <c r="U13" i="1"/>
  <c r="AC12" i="1"/>
  <c r="AE13" i="1"/>
  <c r="H13" i="1"/>
  <c r="N12" i="1"/>
  <c r="O12" i="1" s="1"/>
  <c r="M12" i="1"/>
  <c r="R14" i="1"/>
  <c r="X14" i="1" s="1"/>
  <c r="Y14" i="1" s="1"/>
  <c r="M62" i="1" l="1"/>
  <c r="H63" i="1"/>
  <c r="AI50" i="1"/>
  <c r="AJ50" i="1" s="1"/>
  <c r="AI51" i="1"/>
  <c r="AJ51" i="1" s="1"/>
  <c r="AK57" i="1"/>
  <c r="AN57" i="1" s="1"/>
  <c r="AI52" i="1"/>
  <c r="AJ52" i="1" s="1"/>
  <c r="AI53" i="1"/>
  <c r="AJ53" i="1" s="1"/>
  <c r="AI56" i="1"/>
  <c r="AJ56" i="1" s="1"/>
  <c r="AI54" i="1"/>
  <c r="AJ54" i="1" s="1"/>
  <c r="AI49" i="1"/>
  <c r="AJ49" i="1" s="1"/>
  <c r="AI55" i="1"/>
  <c r="AJ55" i="1" s="1"/>
  <c r="AI57" i="1"/>
  <c r="AJ57" i="1" s="1"/>
  <c r="AK49" i="1"/>
  <c r="AN49" i="1" s="1"/>
  <c r="AK50" i="1"/>
  <c r="AN50" i="1" s="1"/>
  <c r="AK51" i="1"/>
  <c r="AN51" i="1" s="1"/>
  <c r="AK52" i="1"/>
  <c r="AN52" i="1" s="1"/>
  <c r="AK53" i="1"/>
  <c r="AN53" i="1" s="1"/>
  <c r="AK54" i="1"/>
  <c r="AN54" i="1" s="1"/>
  <c r="AK55" i="1"/>
  <c r="AN55" i="1" s="1"/>
  <c r="U60" i="1"/>
  <c r="V60" i="1" s="1"/>
  <c r="W60" i="1"/>
  <c r="R61" i="1"/>
  <c r="S14" i="1"/>
  <c r="T14" i="1" s="1"/>
  <c r="W14" i="1"/>
  <c r="U14" i="1"/>
  <c r="H14" i="1"/>
  <c r="N13" i="1"/>
  <c r="O13" i="1" s="1"/>
  <c r="K13" i="1"/>
  <c r="M13" i="1"/>
  <c r="AC11" i="1"/>
  <c r="AE12" i="1"/>
  <c r="R15" i="1"/>
  <c r="X15" i="1" s="1"/>
  <c r="Y15" i="1" s="1"/>
  <c r="M63" i="1" l="1"/>
  <c r="H64" i="1"/>
  <c r="W61" i="1"/>
  <c r="S49" i="1"/>
  <c r="T49" i="1" s="1"/>
  <c r="U61" i="1"/>
  <c r="V61" i="1" s="1"/>
  <c r="S50" i="1"/>
  <c r="T50" i="1" s="1"/>
  <c r="S51" i="1"/>
  <c r="T51" i="1" s="1"/>
  <c r="S52" i="1"/>
  <c r="T52" i="1" s="1"/>
  <c r="U50" i="1"/>
  <c r="V50" i="1" s="1"/>
  <c r="S53" i="1"/>
  <c r="T53" i="1" s="1"/>
  <c r="U51" i="1"/>
  <c r="V51" i="1" s="1"/>
  <c r="S54" i="1"/>
  <c r="T54" i="1" s="1"/>
  <c r="U49" i="1"/>
  <c r="V49" i="1" s="1"/>
  <c r="U52" i="1"/>
  <c r="V52" i="1" s="1"/>
  <c r="U53" i="1"/>
  <c r="V53" i="1" s="1"/>
  <c r="S55" i="1"/>
  <c r="T55" i="1" s="1"/>
  <c r="S56" i="1"/>
  <c r="T56" i="1" s="1"/>
  <c r="U54" i="1"/>
  <c r="V54" i="1" s="1"/>
  <c r="S57" i="1"/>
  <c r="T57" i="1" s="1"/>
  <c r="U55" i="1"/>
  <c r="V55" i="1" s="1"/>
  <c r="U56" i="1"/>
  <c r="V56" i="1" s="1"/>
  <c r="S58" i="1"/>
  <c r="T58" i="1" s="1"/>
  <c r="U57" i="1"/>
  <c r="V57" i="1" s="1"/>
  <c r="S59" i="1"/>
  <c r="T59" i="1" s="1"/>
  <c r="S60" i="1"/>
  <c r="T60" i="1" s="1"/>
  <c r="U58" i="1"/>
  <c r="V58" i="1" s="1"/>
  <c r="S61" i="1"/>
  <c r="T61" i="1" s="1"/>
  <c r="U59" i="1"/>
  <c r="V59" i="1" s="1"/>
  <c r="H15" i="1"/>
  <c r="N14" i="1"/>
  <c r="O14" i="1" s="1"/>
  <c r="M14" i="1"/>
  <c r="K14" i="1"/>
  <c r="S15" i="1"/>
  <c r="T15" i="1" s="1"/>
  <c r="U15" i="1"/>
  <c r="W15" i="1"/>
  <c r="AC10" i="1"/>
  <c r="AE11" i="1"/>
  <c r="R16" i="1"/>
  <c r="X16" i="1" s="1"/>
  <c r="Y16" i="1" s="1"/>
  <c r="X49" i="1" l="1"/>
  <c r="Y49" i="1" s="1"/>
  <c r="X51" i="1"/>
  <c r="Y51" i="1" s="1"/>
  <c r="X59" i="1"/>
  <c r="Y59" i="1" s="1"/>
  <c r="Z61" i="1"/>
  <c r="AA61" i="1" s="1"/>
  <c r="X52" i="1"/>
  <c r="Y52" i="1" s="1"/>
  <c r="X60" i="1"/>
  <c r="Y60" i="1" s="1"/>
  <c r="X53" i="1"/>
  <c r="Y53" i="1" s="1"/>
  <c r="X61" i="1"/>
  <c r="Y61" i="1" s="1"/>
  <c r="X57" i="1"/>
  <c r="Y57" i="1" s="1"/>
  <c r="X54" i="1"/>
  <c r="Y54" i="1" s="1"/>
  <c r="X50" i="1"/>
  <c r="Y50" i="1" s="1"/>
  <c r="X55" i="1"/>
  <c r="Y55" i="1" s="1"/>
  <c r="X56" i="1"/>
  <c r="Y56" i="1" s="1"/>
  <c r="X58" i="1"/>
  <c r="Y5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H65" i="1"/>
  <c r="M64" i="1"/>
  <c r="K64" i="1"/>
  <c r="L64" i="1" s="1"/>
  <c r="I64" i="1"/>
  <c r="J64" i="1" s="1"/>
  <c r="Z60" i="1"/>
  <c r="AA60" i="1" s="1"/>
  <c r="W16" i="1"/>
  <c r="S16" i="1"/>
  <c r="T16" i="1" s="1"/>
  <c r="U16" i="1"/>
  <c r="AC9" i="1"/>
  <c r="AE10" i="1"/>
  <c r="H16" i="1"/>
  <c r="N15" i="1"/>
  <c r="O15" i="1" s="1"/>
  <c r="M15" i="1"/>
  <c r="K15" i="1"/>
  <c r="R17" i="1"/>
  <c r="X17" i="1" s="1"/>
  <c r="Y17" i="1" s="1"/>
  <c r="J69" i="1" l="1"/>
  <c r="J71" i="1"/>
  <c r="J70" i="1"/>
  <c r="J72" i="1"/>
  <c r="J73" i="1"/>
  <c r="J74" i="1"/>
  <c r="J75" i="1"/>
  <c r="J76" i="1"/>
  <c r="J77" i="1"/>
  <c r="J78" i="1"/>
  <c r="I65" i="1"/>
  <c r="J65" i="1" s="1"/>
  <c r="I49" i="1"/>
  <c r="J49" i="1" s="1"/>
  <c r="J79" i="1"/>
  <c r="M65" i="1"/>
  <c r="K65" i="1"/>
  <c r="L65" i="1" s="1"/>
  <c r="I50" i="1"/>
  <c r="J50" i="1" s="1"/>
  <c r="I51" i="1"/>
  <c r="J51" i="1" s="1"/>
  <c r="I52" i="1"/>
  <c r="J52" i="1" s="1"/>
  <c r="I53" i="1"/>
  <c r="J53" i="1" s="1"/>
  <c r="K50" i="1"/>
  <c r="L50" i="1" s="1"/>
  <c r="L75" i="1"/>
  <c r="L79" i="1"/>
  <c r="L76" i="1"/>
  <c r="K51" i="1"/>
  <c r="L51" i="1" s="1"/>
  <c r="L72" i="1"/>
  <c r="K54" i="1"/>
  <c r="L54" i="1" s="1"/>
  <c r="K52" i="1"/>
  <c r="L52" i="1" s="1"/>
  <c r="K53" i="1"/>
  <c r="L53" i="1" s="1"/>
  <c r="L77" i="1"/>
  <c r="L69" i="1"/>
  <c r="L78" i="1"/>
  <c r="I54" i="1"/>
  <c r="J54" i="1" s="1"/>
  <c r="L73" i="1"/>
  <c r="K49" i="1"/>
  <c r="L49" i="1" s="1"/>
  <c r="L74" i="1"/>
  <c r="L71" i="1"/>
  <c r="L70" i="1"/>
  <c r="I55" i="1"/>
  <c r="J55" i="1" s="1"/>
  <c r="K55" i="1"/>
  <c r="L55" i="1" s="1"/>
  <c r="K56" i="1"/>
  <c r="L56" i="1" s="1"/>
  <c r="I56" i="1"/>
  <c r="J56" i="1" s="1"/>
  <c r="I57" i="1"/>
  <c r="J57" i="1" s="1"/>
  <c r="K57" i="1"/>
  <c r="L57" i="1" s="1"/>
  <c r="K58" i="1"/>
  <c r="L58" i="1" s="1"/>
  <c r="I58" i="1"/>
  <c r="J58" i="1" s="1"/>
  <c r="K59" i="1"/>
  <c r="L59" i="1" s="1"/>
  <c r="I59" i="1"/>
  <c r="J59" i="1" s="1"/>
  <c r="K60" i="1"/>
  <c r="L60" i="1" s="1"/>
  <c r="I60" i="1"/>
  <c r="J60" i="1" s="1"/>
  <c r="K61" i="1"/>
  <c r="L61" i="1" s="1"/>
  <c r="I61" i="1"/>
  <c r="J61" i="1" s="1"/>
  <c r="K62" i="1"/>
  <c r="L62" i="1" s="1"/>
  <c r="I62" i="1"/>
  <c r="J62" i="1" s="1"/>
  <c r="I63" i="1"/>
  <c r="J63" i="1" s="1"/>
  <c r="K63" i="1"/>
  <c r="L63" i="1" s="1"/>
  <c r="U17" i="1"/>
  <c r="S17" i="1"/>
  <c r="T17" i="1" s="1"/>
  <c r="W17" i="1"/>
  <c r="H17" i="1"/>
  <c r="N16" i="1"/>
  <c r="O16" i="1" s="1"/>
  <c r="K16" i="1"/>
  <c r="M16" i="1"/>
  <c r="AC8" i="1"/>
  <c r="AE9" i="1"/>
  <c r="R18" i="1"/>
  <c r="X18" i="1" s="1"/>
  <c r="Y18" i="1" s="1"/>
  <c r="O69" i="1" l="1"/>
  <c r="O71" i="1"/>
  <c r="O70" i="1"/>
  <c r="O72" i="1"/>
  <c r="O73" i="1"/>
  <c r="O74" i="1"/>
  <c r="O75" i="1"/>
  <c r="O76" i="1"/>
  <c r="O77" i="1"/>
  <c r="O78" i="1"/>
  <c r="P65" i="1"/>
  <c r="Q65" i="1" s="1"/>
  <c r="N55" i="1"/>
  <c r="O55" i="1" s="1"/>
  <c r="N63" i="1"/>
  <c r="O63" i="1" s="1"/>
  <c r="N56" i="1"/>
  <c r="O56" i="1" s="1"/>
  <c r="N64" i="1"/>
  <c r="O64" i="1" s="1"/>
  <c r="N57" i="1"/>
  <c r="O57" i="1" s="1"/>
  <c r="N65" i="1"/>
  <c r="O65" i="1" s="1"/>
  <c r="N53" i="1"/>
  <c r="O53" i="1" s="1"/>
  <c r="N49" i="1"/>
  <c r="O49" i="1" s="1"/>
  <c r="N50" i="1"/>
  <c r="O50" i="1" s="1"/>
  <c r="N58" i="1"/>
  <c r="O58" i="1" s="1"/>
  <c r="N61" i="1"/>
  <c r="O61" i="1" s="1"/>
  <c r="N51" i="1"/>
  <c r="O51" i="1" s="1"/>
  <c r="N59" i="1"/>
  <c r="O59" i="1" s="1"/>
  <c r="N52" i="1"/>
  <c r="O52" i="1" s="1"/>
  <c r="N60" i="1"/>
  <c r="O60" i="1" s="1"/>
  <c r="N54" i="1"/>
  <c r="O54" i="1" s="1"/>
  <c r="N62" i="1"/>
  <c r="O62" i="1" s="1"/>
  <c r="O79" i="1"/>
  <c r="P53" i="1"/>
  <c r="Q53" i="1" s="1"/>
  <c r="Q73" i="1"/>
  <c r="Q78" i="1"/>
  <c r="Q75" i="1"/>
  <c r="Q70" i="1"/>
  <c r="Q72" i="1"/>
  <c r="P49" i="1"/>
  <c r="Q49" i="1" s="1"/>
  <c r="Q69" i="1"/>
  <c r="P52" i="1"/>
  <c r="Q52" i="1" s="1"/>
  <c r="Q77" i="1"/>
  <c r="Q76" i="1"/>
  <c r="Q74" i="1"/>
  <c r="P50" i="1"/>
  <c r="Q50" i="1" s="1"/>
  <c r="Q79" i="1"/>
  <c r="P51" i="1"/>
  <c r="Q51" i="1" s="1"/>
  <c r="Q71" i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U18" i="1"/>
  <c r="S18" i="1"/>
  <c r="T18" i="1" s="1"/>
  <c r="W18" i="1"/>
  <c r="H18" i="1"/>
  <c r="N17" i="1"/>
  <c r="O17" i="1" s="1"/>
  <c r="M17" i="1"/>
  <c r="K17" i="1"/>
  <c r="AC7" i="1"/>
  <c r="AE8" i="1"/>
  <c r="R19" i="1"/>
  <c r="X19" i="1" s="1"/>
  <c r="Y19" i="1" s="1"/>
  <c r="U19" i="1" l="1"/>
  <c r="W19" i="1"/>
  <c r="S19" i="1"/>
  <c r="T19" i="1" s="1"/>
  <c r="H19" i="1"/>
  <c r="N18" i="1"/>
  <c r="O18" i="1" s="1"/>
  <c r="K18" i="1"/>
  <c r="M18" i="1"/>
  <c r="AC6" i="1"/>
  <c r="AE7" i="1"/>
  <c r="R20" i="1"/>
  <c r="X20" i="1" s="1"/>
  <c r="Y20" i="1" s="1"/>
  <c r="U20" i="1" l="1"/>
  <c r="W20" i="1"/>
  <c r="S20" i="1"/>
  <c r="T20" i="1" s="1"/>
  <c r="H20" i="1"/>
  <c r="N19" i="1"/>
  <c r="O19" i="1" s="1"/>
  <c r="M19" i="1"/>
  <c r="K19" i="1"/>
  <c r="AC5" i="1"/>
  <c r="AE6" i="1"/>
  <c r="R21" i="1"/>
  <c r="X21" i="1" s="1"/>
  <c r="Y21" i="1" s="1"/>
  <c r="W21" i="1" l="1"/>
  <c r="U21" i="1"/>
  <c r="S21" i="1"/>
  <c r="T21" i="1" s="1"/>
  <c r="H21" i="1"/>
  <c r="N20" i="1"/>
  <c r="O20" i="1" s="1"/>
  <c r="M20" i="1"/>
  <c r="K20" i="1"/>
  <c r="AC4" i="1"/>
  <c r="AE4" i="1" s="1"/>
  <c r="AE5" i="1"/>
  <c r="R22" i="1"/>
  <c r="X22" i="1" s="1"/>
  <c r="Y22" i="1" s="1"/>
  <c r="H22" i="1" l="1"/>
  <c r="N21" i="1"/>
  <c r="O21" i="1" s="1"/>
  <c r="K21" i="1"/>
  <c r="M21" i="1"/>
  <c r="S22" i="1"/>
  <c r="T22" i="1" s="1"/>
  <c r="W22" i="1"/>
  <c r="U22" i="1"/>
  <c r="R23" i="1"/>
  <c r="X23" i="1" s="1"/>
  <c r="Y23" i="1" s="1"/>
  <c r="S23" i="1" l="1"/>
  <c r="T23" i="1" s="1"/>
  <c r="W23" i="1"/>
  <c r="U23" i="1"/>
  <c r="H23" i="1"/>
  <c r="N22" i="1"/>
  <c r="O22" i="1" s="1"/>
  <c r="M22" i="1"/>
  <c r="K22" i="1"/>
  <c r="R24" i="1"/>
  <c r="X24" i="1" s="1"/>
  <c r="Y24" i="1" s="1"/>
  <c r="H24" i="1" l="1"/>
  <c r="N23" i="1"/>
  <c r="O23" i="1" s="1"/>
  <c r="I23" i="1"/>
  <c r="J23" i="1" s="1"/>
  <c r="K23" i="1"/>
  <c r="M23" i="1"/>
  <c r="U24" i="1"/>
  <c r="S24" i="1"/>
  <c r="T24" i="1" s="1"/>
  <c r="W24" i="1"/>
  <c r="I4" i="1" l="1"/>
  <c r="J4" i="1" s="1"/>
  <c r="M24" i="1"/>
  <c r="N24" i="1"/>
  <c r="O24" i="1" s="1"/>
  <c r="I24" i="1"/>
  <c r="J24" i="1" s="1"/>
  <c r="K2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</calcChain>
</file>

<file path=xl/sharedStrings.xml><?xml version="1.0" encoding="utf-8"?>
<sst xmlns="http://schemas.openxmlformats.org/spreadsheetml/2006/main" count="151" uniqueCount="81">
  <si>
    <t>Pinned-Pinned</t>
  </si>
  <si>
    <t>L [m]</t>
  </si>
  <si>
    <t>House Load [kN/m]</t>
  </si>
  <si>
    <t>f'c [Mpa]</t>
  </si>
  <si>
    <t>h [m]</t>
  </si>
  <si>
    <t>b [m]</t>
  </si>
  <si>
    <t>I [m^4]</t>
  </si>
  <si>
    <t>Ec [Mpa]</t>
  </si>
  <si>
    <t>Mpa = 1N/mm^2</t>
  </si>
  <si>
    <t>Delta [m]</t>
  </si>
  <si>
    <t>Fixed - Fixed</t>
  </si>
  <si>
    <t>M_max [kNm]</t>
  </si>
  <si>
    <t>L_start</t>
  </si>
  <si>
    <t>L_finish</t>
  </si>
  <si>
    <t>M_max [kNm] elastic</t>
  </si>
  <si>
    <t>M_max [kNm] inelastic</t>
  </si>
  <si>
    <t>M</t>
  </si>
  <si>
    <t>Delta_cont</t>
  </si>
  <si>
    <t>Delta_mod</t>
  </si>
  <si>
    <t>Noyr</t>
  </si>
  <si>
    <t>Delta_ mm</t>
  </si>
  <si>
    <t>Delta_minus initial settlement</t>
  </si>
  <si>
    <t>M (x)</t>
  </si>
  <si>
    <t>M (x) - [Nm]</t>
  </si>
  <si>
    <t>Delta [mm]</t>
  </si>
  <si>
    <t>D_(x) [m]</t>
  </si>
  <si>
    <t>M(x)</t>
  </si>
  <si>
    <t>M(x) Nm</t>
  </si>
  <si>
    <t>D_x (mm)</t>
  </si>
  <si>
    <t>D_x[m]</t>
  </si>
  <si>
    <t>Pin-Pin continuous 8m long beam</t>
  </si>
  <si>
    <t>D_x[mm]]</t>
  </si>
  <si>
    <t>Fix-Fix continuous 8m long beam</t>
  </si>
  <si>
    <t>D_x mm</t>
  </si>
  <si>
    <t>D_x [m]</t>
  </si>
  <si>
    <t>Pin-Pin continuous 6m long beam</t>
  </si>
  <si>
    <t>M(x) kNm</t>
  </si>
  <si>
    <t>D_x[mm]</t>
  </si>
  <si>
    <t>Fix fix cont. 6m beam</t>
  </si>
  <si>
    <t>D_x [mm]</t>
  </si>
  <si>
    <t>pin cont. 4m beam</t>
  </si>
  <si>
    <t>M [Nm]</t>
  </si>
  <si>
    <t>D_x [mm]]</t>
  </si>
  <si>
    <t>fix cont. 4m beam</t>
  </si>
  <si>
    <t>Mx kNm</t>
  </si>
  <si>
    <t>Mx Nm</t>
  </si>
  <si>
    <t>Dx [m]</t>
  </si>
  <si>
    <t>Dx [mm]</t>
  </si>
  <si>
    <t>pin cont. 2m beam</t>
  </si>
  <si>
    <t>fix cont. 2m beam</t>
  </si>
  <si>
    <t>Pin-Pin continuous 9.4m long beam</t>
  </si>
  <si>
    <t>Fix-Fix continuous 9.4m long beam</t>
  </si>
  <si>
    <t>V(x) N</t>
  </si>
  <si>
    <t>V (x) [N]</t>
  </si>
  <si>
    <t>V [kN]</t>
  </si>
  <si>
    <t>V (N)</t>
  </si>
  <si>
    <t>V (kN)</t>
  </si>
  <si>
    <t>M Nm</t>
  </si>
  <si>
    <t>Numerical - not very stiff soil</t>
  </si>
  <si>
    <t>Same analysis with extremly strong soil!! (not stiff) - no imposed disp</t>
  </si>
  <si>
    <t>Same analysis with normally strong soil!! - no imposed disp</t>
  </si>
  <si>
    <t>Disp_av_spring</t>
  </si>
  <si>
    <t>n_springs</t>
  </si>
  <si>
    <t>K_spring [kN/m]</t>
  </si>
  <si>
    <t>K_spring_end [kN/m]</t>
  </si>
  <si>
    <t>UDL</t>
  </si>
  <si>
    <t>Total k_Springs [kN/m]</t>
  </si>
  <si>
    <t>disp_av_spring</t>
  </si>
  <si>
    <t>num-disp_av_spring</t>
  </si>
  <si>
    <t>LOS [m]</t>
  </si>
  <si>
    <t>UDL length, b [m]</t>
  </si>
  <si>
    <t>a [m]</t>
  </si>
  <si>
    <t>c [m]</t>
  </si>
  <si>
    <t>R1 [kN]</t>
  </si>
  <si>
    <t>Pinned-Pinned Beam with Partial UDL</t>
  </si>
  <si>
    <t>M_max_pin [kNm]</t>
  </si>
  <si>
    <t>M_max_fix [kNm]</t>
  </si>
  <si>
    <t>M_mid_fix [kNm]</t>
  </si>
  <si>
    <t>Fixed w Partial UDL</t>
  </si>
  <si>
    <t>Numerical</t>
  </si>
  <si>
    <t>M_max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</si>
</sst>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/>
    <xf numFmtId="16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3" borderId="1" xfId="0" applyFill="1" applyBorder="1"/>
    <xf numFmtId="0" fontId="0" fillId="3" borderId="2" xfId="0" applyFill="1" applyBorder="1"/>
    <xf numFmtId="165" fontId="0" fillId="3" borderId="0" xfId="0" applyNumberFormat="1" applyFill="1"/>
    <xf numFmtId="0" fontId="1" fillId="0" borderId="0" xfId="0" applyFont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0" borderId="0" xfId="0" applyBorder="1"/>
    <xf numFmtId="166" fontId="0" fillId="0" borderId="2" xfId="0" applyNumberFormat="1" applyBorder="1"/>
    <xf numFmtId="0" fontId="0" fillId="0" borderId="10" xfId="0" applyBorder="1"/>
    <xf numFmtId="166" fontId="0" fillId="0" borderId="4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7" fontId="0" fillId="0" borderId="2" xfId="0" applyNumberFormat="1" applyBorder="1"/>
    <xf numFmtId="167" fontId="0" fillId="0" borderId="4" xfId="0" applyNumberFormat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1" fillId="2" borderId="0" xfId="0" applyFont="1" applyFill="1"/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1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17" xfId="0" applyFill="1" applyBorder="1"/>
    <xf numFmtId="0" fontId="0" fillId="0" borderId="21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Pinned-Pinned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'rev1_UDLfor_beamlength=LOS'!$H$4:$H$24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'rev1_UDLfor_beamlength=LOS'!$M$4:$M$24</c:f>
              <c:numCache>
                <c:formatCode>0.00</c:formatCode>
                <c:ptCount val="21"/>
                <c:pt idx="0">
                  <c:v>0</c:v>
                </c:pt>
                <c:pt idx="1">
                  <c:v>1.2573582027105421E-4</c:v>
                </c:pt>
                <c:pt idx="2">
                  <c:v>2.0117731243368673E-3</c:v>
                </c:pt>
                <c:pt idx="3">
                  <c:v>1.018460144195539E-2</c:v>
                </c:pt>
                <c:pt idx="4">
                  <c:v>3.2188369989389877E-2</c:v>
                </c:pt>
                <c:pt idx="5">
                  <c:v>7.8584887669408868E-2</c:v>
                </c:pt>
                <c:pt idx="6">
                  <c:v>0.16295362307128625</c:v>
                </c:pt>
                <c:pt idx="7">
                  <c:v>0.3018917044708011</c:v>
                </c:pt>
                <c:pt idx="8">
                  <c:v>0.51501391983023803</c:v>
                </c:pt>
                <c:pt idx="9">
                  <c:v>0.82495271679838655</c:v>
                </c:pt>
                <c:pt idx="10">
                  <c:v>1.2573582027105419</c:v>
                </c:pt>
                <c:pt idx="11">
                  <c:v>1.8408981445885044</c:v>
                </c:pt>
                <c:pt idx="12">
                  <c:v>2.6072579691405799</c:v>
                </c:pt>
                <c:pt idx="13">
                  <c:v>3.591140762761579</c:v>
                </c:pt>
                <c:pt idx="14">
                  <c:v>4.8302672715328177</c:v>
                </c:pt>
                <c:pt idx="15">
                  <c:v>6.3653759012221185</c:v>
                </c:pt>
                <c:pt idx="16">
                  <c:v>8.2402227172838085</c:v>
                </c:pt>
                <c:pt idx="17">
                  <c:v>10.501581444858717</c:v>
                </c:pt>
                <c:pt idx="18">
                  <c:v>13.199243468774185</c:v>
                </c:pt>
                <c:pt idx="19">
                  <c:v>16.386017833544052</c:v>
                </c:pt>
                <c:pt idx="20">
                  <c:v>20.11773124336867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2-4F05-9B33-92384CFCE90A}"/>
            </c:ext>
          </c:extLst>
        </c:ser>
        <c:ser>
          <c:idx val="1"/>
          <c:order val="1"/>
          <c:tx>
            <c:v>Fixed-Fixed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'rev1_UDLfor_beamlength=LOS'!$R$4:$R$24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'rev1_UDLfor_beamlength=LOS'!$W$4:$W$24</c:f>
              <c:numCache>
                <c:formatCode>0.00</c:formatCode>
                <c:ptCount val="21"/>
                <c:pt idx="0">
                  <c:v>0</c:v>
                </c:pt>
                <c:pt idx="1">
                  <c:v>2.5147164054210837E-5</c:v>
                </c:pt>
                <c:pt idx="2">
                  <c:v>4.023546248673734E-4</c:v>
                </c:pt>
                <c:pt idx="3">
                  <c:v>2.0369202883910782E-3</c:v>
                </c:pt>
                <c:pt idx="4">
                  <c:v>6.4376739978779744E-3</c:v>
                </c:pt>
                <c:pt idx="5">
                  <c:v>1.5716977533881776E-2</c:v>
                </c:pt>
                <c:pt idx="6">
                  <c:v>3.2590724614257251E-2</c:v>
                </c:pt>
                <c:pt idx="7">
                  <c:v>6.0378340894160221E-2</c:v>
                </c:pt>
                <c:pt idx="8">
                  <c:v>0.10300278396604759</c:v>
                </c:pt>
                <c:pt idx="9">
                  <c:v>0.16499054335967731</c:v>
                </c:pt>
                <c:pt idx="10">
                  <c:v>0.25147164054210841</c:v>
                </c:pt>
                <c:pt idx="11">
                  <c:v>0.3681796289177009</c:v>
                </c:pt>
                <c:pt idx="12">
                  <c:v>0.52145159382811601</c:v>
                </c:pt>
                <c:pt idx="13">
                  <c:v>0.71822815255231576</c:v>
                </c:pt>
                <c:pt idx="14">
                  <c:v>0.96605345430656353</c:v>
                </c:pt>
                <c:pt idx="15">
                  <c:v>1.2730751802444238</c:v>
                </c:pt>
                <c:pt idx="16">
                  <c:v>1.6480445434567614</c:v>
                </c:pt>
                <c:pt idx="17">
                  <c:v>2.1003162889717433</c:v>
                </c:pt>
                <c:pt idx="18">
                  <c:v>2.6398486937548369</c:v>
                </c:pt>
                <c:pt idx="19">
                  <c:v>3.2772035667088102</c:v>
                </c:pt>
                <c:pt idx="20">
                  <c:v>4.0235462486737346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2-4F05-9B33-92384CFCE90A}"/>
            </c:ext>
          </c:extLst>
        </c:ser>
        <c:ser>
          <c:idx val="2"/>
          <c:order val="2"/>
          <c:tx>
            <c:v>Numerical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'rev1_UDLfor_beamlength=LOS'!$AE$5:$AE$22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'rev1_UDLfor_beamlength=LOS'!$AK$5:$AK$22</c:f>
              <c:numCache>
                <c:formatCode>General</c:formatCode>
                <c:ptCount val="18"/>
                <c:pt idx="0">
                  <c:v>0.33</c:v>
                </c:pt>
                <c:pt idx="1">
                  <c:v>0.37</c:v>
                </c:pt>
                <c:pt idx="2">
                  <c:v>0.43</c:v>
                </c:pt>
                <c:pt idx="3">
                  <c:v>0.5</c:v>
                </c:pt>
                <c:pt idx="4">
                  <c:v>0.57999999999999996</c:v>
                </c:pt>
                <c:pt idx="5">
                  <c:v>0.69</c:v>
                </c:pt>
                <c:pt idx="6">
                  <c:v>0.80999999999999994</c:v>
                </c:pt>
                <c:pt idx="7">
                  <c:v>0.97000000000000008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1.9</c:v>
                </c:pt>
                <c:pt idx="12">
                  <c:v>2.29</c:v>
                </c:pt>
                <c:pt idx="13">
                  <c:v>2.7</c:v>
                </c:pt>
                <c:pt idx="14">
                  <c:v>3.3</c:v>
                </c:pt>
                <c:pt idx="15">
                  <c:v>3.9699999999999998</c:v>
                </c:pt>
                <c:pt idx="16">
                  <c:v>6.19</c:v>
                </c:pt>
                <c:pt idx="17">
                  <c:v>8.2000000000000011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652-4F05-9B33-92384CFC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6320"/>
        <c:axId val="6463666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'rev1_UDLfor_beamlength=LOS'!$AE$28:$AE$46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'rev1_UDLfor_beamlength=LOS'!$AK$5:$AK$23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0.33</c:v>
                      </c:pt>
                      <c:pt idx="1">
                        <c:v>0.37</c:v>
                      </c:pt>
                      <c:pt idx="2">
                        <c:v>0.43</c:v>
                      </c:pt>
                      <c:pt idx="3">
                        <c:v>0.5</c:v>
                      </c:pt>
                      <c:pt idx="4">
                        <c:v>0.57999999999999996</c:v>
                      </c:pt>
                      <c:pt idx="5">
                        <c:v>0.69</c:v>
                      </c:pt>
                      <c:pt idx="6">
                        <c:v>0.80999999999999994</c:v>
                      </c:pt>
                      <c:pt idx="7">
                        <c:v>0.97000000000000008</c:v>
                      </c:pt>
                      <c:pt idx="8">
                        <c:v>1.1000000000000001</c:v>
                      </c:pt>
                      <c:pt idx="9">
                        <c:v>1.3</c:v>
                      </c:pt>
                      <c:pt idx="10">
                        <c:v>1.6</c:v>
                      </c:pt>
                      <c:pt idx="11">
                        <c:v>1.9</c:v>
                      </c:pt>
                      <c:pt idx="12">
                        <c:v>2.29</c:v>
                      </c:pt>
                      <c:pt idx="13">
                        <c:v>2.7</c:v>
                      </c:pt>
                      <c:pt idx="14">
                        <c:v>3.3</c:v>
                      </c:pt>
                      <c:pt idx="15">
                        <c:v>3.9699999999999998</c:v>
                      </c:pt>
                      <c:pt idx="16">
                        <c:v>6.19</c:v>
                      </c:pt>
                      <c:pt idx="17">
                        <c:v>8.2000000000000011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6E-4FFA-A5E6-EF7308DEBB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Numerical minus average spring displacement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'rev1_UDLfor_beamlength=LOS'!$AE$5:$AE$22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'rev1_UDLfor_beamlength=LOS'!$AV$5:$AV$21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-3.3333333333332993E-3</c:v>
                      </c:pt>
                      <c:pt idx="1">
                        <c:v>-0.29666666666666663</c:v>
                      </c:pt>
                      <c:pt idx="2">
                        <c:v>-0.57000000000000006</c:v>
                      </c:pt>
                      <c:pt idx="3">
                        <c:v>-0.83333333333333326</c:v>
                      </c:pt>
                      <c:pt idx="4">
                        <c:v>-1.0866666666666669</c:v>
                      </c:pt>
                      <c:pt idx="5">
                        <c:v>-1.31</c:v>
                      </c:pt>
                      <c:pt idx="6">
                        <c:v>-1.5233333333333334</c:v>
                      </c:pt>
                      <c:pt idx="7">
                        <c:v>-1.6966666666666663</c:v>
                      </c:pt>
                      <c:pt idx="8">
                        <c:v>-1.9</c:v>
                      </c:pt>
                      <c:pt idx="9">
                        <c:v>-2.0333333333333332</c:v>
                      </c:pt>
                      <c:pt idx="10">
                        <c:v>-2.0666666666666664</c:v>
                      </c:pt>
                      <c:pt idx="11">
                        <c:v>-2.1</c:v>
                      </c:pt>
                      <c:pt idx="12">
                        <c:v>-2.043333333333333</c:v>
                      </c:pt>
                      <c:pt idx="13">
                        <c:v>-1.9666666666666668</c:v>
                      </c:pt>
                      <c:pt idx="14">
                        <c:v>-1.7000000000000002</c:v>
                      </c:pt>
                      <c:pt idx="15">
                        <c:v>-1.3633333333333333</c:v>
                      </c:pt>
                      <c:pt idx="16">
                        <c:v>0.52333333333333343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75-429A-954C-E85F63FB7EC2}"/>
                  </c:ext>
                </c:extLst>
              </c15:ser>
            </c15:filteredScatterSeries>
          </c:ext>
        </c:extLst>
      </c:scatterChart>
      <c:valAx>
        <c:axId val="645616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Length Loss of Support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6640"/>
        <c:crosses val="autoZero"/>
        <c:crossBetween val="midCat"/>
      </c:valAx>
      <c:valAx>
        <c:axId val="646366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16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'rev1_UDLfor_beamlength=LOS'!$H$4:$H$24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'rev1_UDLfor_beamlength=LOS'!$K$4:$K$24</c:f>
              <c:numCache>
                <c:formatCode>0.0</c:formatCode>
                <c:ptCount val="21"/>
                <c:pt idx="0">
                  <c:v>0</c:v>
                </c:pt>
                <c:pt idx="1">
                  <c:v>0.26874999999999999</c:v>
                </c:pt>
                <c:pt idx="2">
                  <c:v>1.075</c:v>
                </c:pt>
                <c:pt idx="3">
                  <c:v>2.4187499999999997</c:v>
                </c:pt>
                <c:pt idx="4">
                  <c:v>4.3</c:v>
                </c:pt>
                <c:pt idx="5">
                  <c:v>6.71875</c:v>
                </c:pt>
                <c:pt idx="6">
                  <c:v>9.6749999999999989</c:v>
                </c:pt>
                <c:pt idx="7">
                  <c:v>13.168749999999999</c:v>
                </c:pt>
                <c:pt idx="8">
                  <c:v>17.2</c:v>
                </c:pt>
                <c:pt idx="9">
                  <c:v>21.768750000000001</c:v>
                </c:pt>
                <c:pt idx="10">
                  <c:v>26.875</c:v>
                </c:pt>
                <c:pt idx="11">
                  <c:v>32.518749999999997</c:v>
                </c:pt>
                <c:pt idx="12">
                  <c:v>38.699999999999996</c:v>
                </c:pt>
                <c:pt idx="13">
                  <c:v>45.418749999999996</c:v>
                </c:pt>
                <c:pt idx="14">
                  <c:v>52.674999999999997</c:v>
                </c:pt>
                <c:pt idx="15">
                  <c:v>60.46875</c:v>
                </c:pt>
                <c:pt idx="16">
                  <c:v>68.8</c:v>
                </c:pt>
                <c:pt idx="17">
                  <c:v>77.668750000000003</c:v>
                </c:pt>
                <c:pt idx="18">
                  <c:v>87.075000000000003</c:v>
                </c:pt>
                <c:pt idx="19">
                  <c:v>97.018749999999997</c:v>
                </c:pt>
                <c:pt idx="20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2-4017-8639-88C8DCC5AB91}"/>
            </c:ext>
          </c:extLst>
        </c:ser>
        <c:ser>
          <c:idx val="1"/>
          <c:order val="1"/>
          <c:tx>
            <c:v>Fixed-Fixed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'rev1_UDLfor_beamlength=LOS'!$R$4:$R$24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'rev1_UDLfor_beamlength=LOS'!$U$4:$U$24</c:f>
              <c:numCache>
                <c:formatCode>0.0</c:formatCode>
                <c:ptCount val="21"/>
                <c:pt idx="0">
                  <c:v>0</c:v>
                </c:pt>
                <c:pt idx="1">
                  <c:v>0.17916666666666667</c:v>
                </c:pt>
                <c:pt idx="2">
                  <c:v>0.71666666666666667</c:v>
                </c:pt>
                <c:pt idx="3">
                  <c:v>1.6124999999999998</c:v>
                </c:pt>
                <c:pt idx="4">
                  <c:v>2.8666666666666667</c:v>
                </c:pt>
                <c:pt idx="5">
                  <c:v>4.479166666666667</c:v>
                </c:pt>
                <c:pt idx="6">
                  <c:v>6.4499999999999993</c:v>
                </c:pt>
                <c:pt idx="7">
                  <c:v>8.7791666666666668</c:v>
                </c:pt>
                <c:pt idx="8">
                  <c:v>11.466666666666667</c:v>
                </c:pt>
                <c:pt idx="9">
                  <c:v>14.512500000000001</c:v>
                </c:pt>
                <c:pt idx="10">
                  <c:v>17.916666666666668</c:v>
                </c:pt>
                <c:pt idx="11">
                  <c:v>21.679166666666664</c:v>
                </c:pt>
                <c:pt idx="12">
                  <c:v>25.799999999999997</c:v>
                </c:pt>
                <c:pt idx="13">
                  <c:v>30.279166666666665</c:v>
                </c:pt>
                <c:pt idx="14">
                  <c:v>35.116666666666667</c:v>
                </c:pt>
                <c:pt idx="15">
                  <c:v>40.3125</c:v>
                </c:pt>
                <c:pt idx="16">
                  <c:v>45.866666666666667</c:v>
                </c:pt>
                <c:pt idx="17">
                  <c:v>51.779166666666669</c:v>
                </c:pt>
                <c:pt idx="18">
                  <c:v>58.050000000000004</c:v>
                </c:pt>
                <c:pt idx="19">
                  <c:v>64.67916666666666</c:v>
                </c:pt>
                <c:pt idx="20">
                  <c:v>71.666666666666671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2-4017-8639-88C8DCC5AB91}"/>
            </c:ext>
          </c:extLst>
        </c:ser>
        <c:ser>
          <c:idx val="2"/>
          <c:order val="2"/>
          <c:tx>
            <c:v>Numerical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'rev1_UDLfor_beamlength=LOS'!$AE$4:$AE$24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'rev1_UDLfor_beamlength=LOS'!$AG$4:$AG$22</c:f>
              <c:numCache>
                <c:formatCode>0.0</c:formatCode>
                <c:ptCount val="19"/>
                <c:pt idx="1">
                  <c:v>0.92600000000000005</c:v>
                </c:pt>
                <c:pt idx="2">
                  <c:v>1.4704999999999999</c:v>
                </c:pt>
                <c:pt idx="3">
                  <c:v>1.976</c:v>
                </c:pt>
                <c:pt idx="4">
                  <c:v>2.6059999999999999</c:v>
                </c:pt>
                <c:pt idx="5">
                  <c:v>3.2120000000000002</c:v>
                </c:pt>
                <c:pt idx="6">
                  <c:v>3.9620000000000002</c:v>
                </c:pt>
                <c:pt idx="7">
                  <c:v>4.6909999999999998</c:v>
                </c:pt>
                <c:pt idx="8">
                  <c:v>5.5869999999999997</c:v>
                </c:pt>
                <c:pt idx="9">
                  <c:v>6.4429999999999996</c:v>
                </c:pt>
                <c:pt idx="10">
                  <c:v>7.49</c:v>
                </c:pt>
                <c:pt idx="11">
                  <c:v>8.44</c:v>
                </c:pt>
                <c:pt idx="12">
                  <c:v>9.6020000000000003</c:v>
                </c:pt>
                <c:pt idx="13">
                  <c:v>10.593999999999999</c:v>
                </c:pt>
                <c:pt idx="14">
                  <c:v>11.773999999999999</c:v>
                </c:pt>
                <c:pt idx="15">
                  <c:v>12.744</c:v>
                </c:pt>
                <c:pt idx="16">
                  <c:v>13.867000000000001</c:v>
                </c:pt>
                <c:pt idx="17">
                  <c:v>14.94</c:v>
                </c:pt>
                <c:pt idx="18">
                  <c:v>16.181999999999999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552-4017-8639-88C8DCC5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6320"/>
        <c:axId val="6463666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Numerical (Strong Soil)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'rev1_UDLfor_beamlength=LOS'!$AE$28:$AE$46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'rev1_UDLfor_beamlength=LOS'!$AG$28:$AG$46</c15:sqref>
                        </c15:formulaRef>
                      </c:ext>
                    </c:extLst>
                    <c:numCache>
                      <c:formatCode>0.0</c:formatCode>
                      <c:ptCount val="19"/>
                      <c:pt idx="0">
                        <c:v>2.915</c:v>
                      </c:pt>
                      <c:pt idx="1">
                        <c:v>4.0640000000000001</c:v>
                      </c:pt>
                      <c:pt idx="2">
                        <c:v>4.7649999999999997</c:v>
                      </c:pt>
                      <c:pt idx="3">
                        <c:v>5.43</c:v>
                      </c:pt>
                      <c:pt idx="4">
                        <c:v>5.7610000000000001</c:v>
                      </c:pt>
                      <c:pt idx="5">
                        <c:v>6.0449999999999999</c:v>
                      </c:pt>
                      <c:pt idx="6">
                        <c:v>6.085</c:v>
                      </c:pt>
                      <c:pt idx="7">
                        <c:v>6.0789999999999997</c:v>
                      </c:pt>
                      <c:pt idx="8">
                        <c:v>5.8890000000000002</c:v>
                      </c:pt>
                      <c:pt idx="9">
                        <c:v>5.67</c:v>
                      </c:pt>
                      <c:pt idx="10">
                        <c:v>5.2949999999999999</c:v>
                      </c:pt>
                      <c:pt idx="11">
                        <c:v>4.9210000000000003</c:v>
                      </c:pt>
                      <c:pt idx="12">
                        <c:v>4.4390000000000001</c:v>
                      </c:pt>
                      <c:pt idx="13">
                        <c:v>3.9420000000000002</c:v>
                      </c:pt>
                      <c:pt idx="14">
                        <c:v>3.6259999999999999</c:v>
                      </c:pt>
                      <c:pt idx="15">
                        <c:v>2.8940000000000001</c:v>
                      </c:pt>
                      <c:pt idx="16">
                        <c:v>2.7370000000000001</c:v>
                      </c:pt>
                      <c:pt idx="17">
                        <c:v>1.498</c:v>
                      </c:pt>
                      <c:pt idx="18">
                        <c:v>1.498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D6-4832-8F73-B0C4BDA2AD6A}"/>
                  </c:ext>
                </c:extLst>
              </c15:ser>
            </c15:filteredScatterSeries>
          </c:ext>
        </c:extLst>
      </c:scatterChart>
      <c:valAx>
        <c:axId val="645616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Length Loss of</a:t>
                </a:r>
                <a:r>
                  <a:rPr lang="en-NZ" baseline="0"/>
                  <a:t> Support</a:t>
                </a:r>
                <a:r>
                  <a:rPr lang="en-NZ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6640"/>
        <c:crosses val="autoZero"/>
        <c:crossBetween val="midCat"/>
        <c:majorUnit val="0.5"/>
      </c:valAx>
      <c:valAx>
        <c:axId val="64636664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Bending Moment (kNm)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163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Beam Max. Shear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'rev1_UDLfor_beamlength=LOS'!$H$4:$H$24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'rev1_UDLfor_beamlength=LOS'!$G$4:$G$24</c:f>
              <c:numCache>
                <c:formatCode>General</c:formatCode>
                <c:ptCount val="21"/>
                <c:pt idx="0">
                  <c:v>0</c:v>
                </c:pt>
                <c:pt idx="1">
                  <c:v>2.15</c:v>
                </c:pt>
                <c:pt idx="2">
                  <c:v>4.3</c:v>
                </c:pt>
                <c:pt idx="3">
                  <c:v>6.4499999999999993</c:v>
                </c:pt>
                <c:pt idx="4">
                  <c:v>8.6</c:v>
                </c:pt>
                <c:pt idx="5">
                  <c:v>10.75</c:v>
                </c:pt>
                <c:pt idx="6">
                  <c:v>12.899999999999999</c:v>
                </c:pt>
                <c:pt idx="7">
                  <c:v>15.049999999999999</c:v>
                </c:pt>
                <c:pt idx="8">
                  <c:v>17.2</c:v>
                </c:pt>
                <c:pt idx="9">
                  <c:v>19.349999999999998</c:v>
                </c:pt>
                <c:pt idx="10">
                  <c:v>21.5</c:v>
                </c:pt>
                <c:pt idx="11">
                  <c:v>23.65</c:v>
                </c:pt>
                <c:pt idx="12">
                  <c:v>25.799999999999997</c:v>
                </c:pt>
                <c:pt idx="13">
                  <c:v>27.95</c:v>
                </c:pt>
                <c:pt idx="14">
                  <c:v>30.099999999999998</c:v>
                </c:pt>
                <c:pt idx="15">
                  <c:v>32.25</c:v>
                </c:pt>
                <c:pt idx="16">
                  <c:v>34.4</c:v>
                </c:pt>
                <c:pt idx="17">
                  <c:v>36.549999999999997</c:v>
                </c:pt>
                <c:pt idx="18">
                  <c:v>38.699999999999996</c:v>
                </c:pt>
                <c:pt idx="19">
                  <c:v>40.85</c:v>
                </c:pt>
                <c:pt idx="2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5-4001-8F7F-C40DCC00666D}"/>
            </c:ext>
          </c:extLst>
        </c:ser>
        <c:ser>
          <c:idx val="2"/>
          <c:order val="1"/>
          <c:tx>
            <c:v>Numerical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'rev1_UDLfor_beamlength=LOS'!$AE$5:$AE$22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'rev1_UDLfor_beamlength=LOS'!$AM$5:$AM$22</c:f>
              <c:numCache>
                <c:formatCode>General</c:formatCode>
                <c:ptCount val="18"/>
                <c:pt idx="0">
                  <c:v>0.64100000000000001</c:v>
                </c:pt>
                <c:pt idx="1">
                  <c:v>0.97099999999999997</c:v>
                </c:pt>
                <c:pt idx="2">
                  <c:v>1.2809999999999999</c:v>
                </c:pt>
                <c:pt idx="3">
                  <c:v>1.6180000000000001</c:v>
                </c:pt>
                <c:pt idx="4">
                  <c:v>1.921</c:v>
                </c:pt>
                <c:pt idx="5">
                  <c:v>2.266</c:v>
                </c:pt>
                <c:pt idx="6">
                  <c:v>2.5649999999999999</c:v>
                </c:pt>
                <c:pt idx="7">
                  <c:v>2.9129999999999998</c:v>
                </c:pt>
                <c:pt idx="8">
                  <c:v>3.218</c:v>
                </c:pt>
                <c:pt idx="9">
                  <c:v>3.5609999999999999</c:v>
                </c:pt>
                <c:pt idx="10">
                  <c:v>3.8849999999999998</c:v>
                </c:pt>
                <c:pt idx="11">
                  <c:v>4.2080000000000002</c:v>
                </c:pt>
                <c:pt idx="12">
                  <c:v>4.5670000000000002</c:v>
                </c:pt>
                <c:pt idx="13">
                  <c:v>4.8550000000000004</c:v>
                </c:pt>
                <c:pt idx="14">
                  <c:v>5.2560000000000002</c:v>
                </c:pt>
                <c:pt idx="15">
                  <c:v>5.5030000000000001</c:v>
                </c:pt>
                <c:pt idx="16">
                  <c:v>5.9009999999999998</c:v>
                </c:pt>
                <c:pt idx="17">
                  <c:v>6.149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25-4001-8F7F-C40DCC00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6320"/>
        <c:axId val="646366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Numerical (Strong Soil)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'rev1_UDLfor_beamlength=LOS'!$AE$28:$AE$46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'rev1_UDLfor_beamlength=LOS'!$AM$28:$AM$46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2.0680000000000001</c:v>
                      </c:pt>
                      <c:pt idx="1">
                        <c:v>2.7040000000000002</c:v>
                      </c:pt>
                      <c:pt idx="2">
                        <c:v>3.1850000000000001</c:v>
                      </c:pt>
                      <c:pt idx="3">
                        <c:v>3.4209999999999998</c:v>
                      </c:pt>
                      <c:pt idx="4">
                        <c:v>3.5939999999999999</c:v>
                      </c:pt>
                      <c:pt idx="5">
                        <c:v>3.5779999999999998</c:v>
                      </c:pt>
                      <c:pt idx="6">
                        <c:v>3.5640000000000001</c:v>
                      </c:pt>
                      <c:pt idx="7">
                        <c:v>3.431</c:v>
                      </c:pt>
                      <c:pt idx="8">
                        <c:v>3.3290000000000002</c:v>
                      </c:pt>
                      <c:pt idx="9">
                        <c:v>3.18</c:v>
                      </c:pt>
                      <c:pt idx="10">
                        <c:v>3.0569999999999999</c:v>
                      </c:pt>
                      <c:pt idx="11">
                        <c:v>2.9390000000000001</c:v>
                      </c:pt>
                      <c:pt idx="12">
                        <c:v>2.835</c:v>
                      </c:pt>
                      <c:pt idx="13">
                        <c:v>2.71</c:v>
                      </c:pt>
                      <c:pt idx="14">
                        <c:v>2.6429999999999998</c:v>
                      </c:pt>
                      <c:pt idx="15">
                        <c:v>2.3340000000000001</c:v>
                      </c:pt>
                      <c:pt idx="16">
                        <c:v>2.306</c:v>
                      </c:pt>
                      <c:pt idx="17">
                        <c:v>1.429</c:v>
                      </c:pt>
                      <c:pt idx="18">
                        <c:v>1.429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A0-4F88-AB4C-88FAC2D9A495}"/>
                  </c:ext>
                </c:extLst>
              </c15:ser>
            </c15:filteredScatterSeries>
          </c:ext>
        </c:extLst>
      </c:scatterChart>
      <c:valAx>
        <c:axId val="645616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Length Loss of Support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6640"/>
        <c:crosses val="autoZero"/>
        <c:crossBetween val="midCat"/>
      </c:valAx>
      <c:valAx>
        <c:axId val="646366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Shear</a:t>
                </a:r>
                <a:r>
                  <a:rPr lang="en-NZ" baseline="0"/>
                  <a:t> (kN)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16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Pinned with Partial UDL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'rev2_UDL=LOS_beamlen=found'!$H$4:$H$22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9.4</c:v>
                </c:pt>
              </c:numCache>
            </c:numRef>
          </c:xVal>
          <c:yVal>
            <c:numRef>
              <c:f>'rev2_UDL=LOS_beamlen=found'!$M$4:$M$22</c:f>
              <c:numCache>
                <c:formatCode>General</c:formatCode>
                <c:ptCount val="19"/>
                <c:pt idx="0">
                  <c:v>10.481249999999999</c:v>
                </c:pt>
                <c:pt idx="1">
                  <c:v>20.425000000000001</c:v>
                </c:pt>
                <c:pt idx="2">
                  <c:v>29.831249999999997</c:v>
                </c:pt>
                <c:pt idx="3">
                  <c:v>38.699999999999996</c:v>
                </c:pt>
                <c:pt idx="4">
                  <c:v>47.03125</c:v>
                </c:pt>
                <c:pt idx="5">
                  <c:v>54.824999999999996</c:v>
                </c:pt>
                <c:pt idx="6">
                  <c:v>62.081249999999997</c:v>
                </c:pt>
                <c:pt idx="7">
                  <c:v>68.8</c:v>
                </c:pt>
                <c:pt idx="8">
                  <c:v>74.981249999999989</c:v>
                </c:pt>
                <c:pt idx="9">
                  <c:v>80.625</c:v>
                </c:pt>
                <c:pt idx="10">
                  <c:v>85.731249999999989</c:v>
                </c:pt>
                <c:pt idx="11">
                  <c:v>90.299999999999983</c:v>
                </c:pt>
                <c:pt idx="12">
                  <c:v>94.331249999999997</c:v>
                </c:pt>
                <c:pt idx="13">
                  <c:v>97.824999999999989</c:v>
                </c:pt>
                <c:pt idx="14">
                  <c:v>100.78125</c:v>
                </c:pt>
                <c:pt idx="15">
                  <c:v>103.19999999999999</c:v>
                </c:pt>
                <c:pt idx="16">
                  <c:v>105.08125</c:v>
                </c:pt>
                <c:pt idx="17">
                  <c:v>106.42499999999998</c:v>
                </c:pt>
                <c:pt idx="18">
                  <c:v>107.113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4311-87D6-71961B32DC9B}"/>
            </c:ext>
          </c:extLst>
        </c:ser>
        <c:ser>
          <c:idx val="1"/>
          <c:order val="1"/>
          <c:tx>
            <c:v>Fixed with Partial UDL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'rev2_UDL=LOS_beamlen=found'!$H$4:$H$22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9.4</c:v>
                </c:pt>
              </c:numCache>
            </c:numRef>
          </c:xVal>
          <c:yVal>
            <c:numRef>
              <c:f>'rev2_UDL=LOS_beamlen=found'!$N$4:$N$22</c:f>
              <c:numCache>
                <c:formatCode>General</c:formatCode>
                <c:ptCount val="19"/>
                <c:pt idx="0">
                  <c:v>5.1100000000000003</c:v>
                </c:pt>
                <c:pt idx="1">
                  <c:v>9.7100000000000009</c:v>
                </c:pt>
                <c:pt idx="2">
                  <c:v>13.82</c:v>
                </c:pt>
                <c:pt idx="3">
                  <c:v>17.5</c:v>
                </c:pt>
                <c:pt idx="4">
                  <c:v>20.72</c:v>
                </c:pt>
                <c:pt idx="5">
                  <c:v>23.54</c:v>
                </c:pt>
                <c:pt idx="6">
                  <c:v>25.99</c:v>
                </c:pt>
                <c:pt idx="7">
                  <c:v>28.09</c:v>
                </c:pt>
                <c:pt idx="8">
                  <c:v>29.87</c:v>
                </c:pt>
                <c:pt idx="9">
                  <c:v>31.35</c:v>
                </c:pt>
                <c:pt idx="10">
                  <c:v>32.57</c:v>
                </c:pt>
                <c:pt idx="11">
                  <c:v>33.54</c:v>
                </c:pt>
                <c:pt idx="12">
                  <c:v>34.299999999999997</c:v>
                </c:pt>
                <c:pt idx="13">
                  <c:v>34.869999999999997</c:v>
                </c:pt>
                <c:pt idx="14">
                  <c:v>35.270000000000003</c:v>
                </c:pt>
                <c:pt idx="15">
                  <c:v>35.54</c:v>
                </c:pt>
                <c:pt idx="16">
                  <c:v>35.71</c:v>
                </c:pt>
                <c:pt idx="17">
                  <c:v>35.79</c:v>
                </c:pt>
                <c:pt idx="18">
                  <c:v>35.82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6-4311-87D6-71961B32DC9B}"/>
            </c:ext>
          </c:extLst>
        </c:ser>
        <c:ser>
          <c:idx val="2"/>
          <c:order val="2"/>
          <c:tx>
            <c:v>Fixed with Full Span UDL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'rev2_UDL=LOS_beamlen=found'!$C$9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'rev2_UDL=LOS_beamlen=found'!$F$7</c:f>
              <c:numCache>
                <c:formatCode>General</c:formatCode>
                <c:ptCount val="1"/>
                <c:pt idx="0">
                  <c:v>35.833333333333336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96-4311-87D6-71961B32DC9B}"/>
            </c:ext>
          </c:extLst>
        </c:ser>
        <c:ser>
          <c:idx val="3"/>
          <c:order val="3"/>
          <c:tx>
            <c:v>Pinned with Full Span UDL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'rev2_UDL=LOS_beamlen=found'!$C$9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'rev2_UDL=LOS_beamlen=found'!$F$3</c:f>
              <c:numCache>
                <c:formatCode>General</c:formatCode>
                <c:ptCount val="1"/>
                <c:pt idx="0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96-4311-87D6-71961B32DC9B}"/>
            </c:ext>
          </c:extLst>
        </c:ser>
        <c:ser>
          <c:idx val="4"/>
          <c:order val="4"/>
          <c:tx>
            <c:v>Numerical Result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'rev2_UDL=LOS_beamlen=found'!$H$4:$H$22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9.4</c:v>
                </c:pt>
              </c:numCache>
            </c:numRef>
          </c:xVal>
          <c:yVal>
            <c:numRef>
              <c:f>'rev2_UDL=LOS_beamlen=found'!$P$4:$P$22</c:f>
              <c:numCache>
                <c:formatCode>General</c:formatCode>
                <c:ptCount val="19"/>
                <c:pt idx="0">
                  <c:v>6.1550000000000002</c:v>
                </c:pt>
                <c:pt idx="1">
                  <c:v>9.7710000000000008</c:v>
                </c:pt>
                <c:pt idx="2">
                  <c:v>13.13</c:v>
                </c:pt>
                <c:pt idx="3">
                  <c:v>17.318999999999999</c:v>
                </c:pt>
                <c:pt idx="4">
                  <c:v>21.349</c:v>
                </c:pt>
                <c:pt idx="5">
                  <c:v>26.329000000000001</c:v>
                </c:pt>
                <c:pt idx="6">
                  <c:v>31.175999999999998</c:v>
                </c:pt>
                <c:pt idx="7">
                  <c:v>37.127000000000002</c:v>
                </c:pt>
                <c:pt idx="8">
                  <c:v>42.813900000000004</c:v>
                </c:pt>
                <c:pt idx="9">
                  <c:v>49.77</c:v>
                </c:pt>
                <c:pt idx="10">
                  <c:v>56.085000000000001</c:v>
                </c:pt>
                <c:pt idx="11">
                  <c:v>63.805</c:v>
                </c:pt>
                <c:pt idx="12">
                  <c:v>70.397999999999996</c:v>
                </c:pt>
                <c:pt idx="13">
                  <c:v>78.238</c:v>
                </c:pt>
                <c:pt idx="14">
                  <c:v>84.685000000000002</c:v>
                </c:pt>
                <c:pt idx="15">
                  <c:v>92.144999999999996</c:v>
                </c:pt>
                <c:pt idx="16">
                  <c:v>99.274000000000001</c:v>
                </c:pt>
                <c:pt idx="17">
                  <c:v>107.53</c:v>
                </c:pt>
                <c:pt idx="18">
                  <c:v>107.53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96-4311-87D6-71961B32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03855"/>
        <c:axId val="889671023"/>
      </c:scatterChart>
      <c:valAx>
        <c:axId val="10236038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 of Support = Partial UDL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1023"/>
        <c:crosses val="autoZero"/>
        <c:crossBetween val="midCat"/>
        <c:majorUnit val="0.5"/>
      </c:valAx>
      <c:valAx>
        <c:axId val="8896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Maximum Mid-Span 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038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749108</xdr:colOff>
      <xdr:row>25</xdr:row>
      <xdr:rowOff>162711</xdr:rowOff>
    </xdr:from>
    <xdr:to>
      <xdr:col>11</xdr:col>
      <xdr:colOff>105996</xdr:colOff>
      <xdr:row>45</xdr:row>
      <xdr:rowOff>95695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DBF5E1-9E9E-416F-9C17-08BB0CC7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327" y="4984742"/>
          <a:ext cx="6429200" cy="3766797"/>
        </a:xfrm>
        <a:prstGeom prst="rect">
          <a:avLst/>
        </a:prstGeom>
      </xdr:spPr>
    </xdr:pic>
    <xdr:clientData/>
  </xdr:twoCellAnchor>
  <xdr:twoCellAnchor editAs="oneCell">
    <xdr:from>
      <xdr:col>11</xdr:col>
      <xdr:colOff>164987</xdr:colOff>
      <xdr:row>25</xdr:row>
      <xdr:rowOff>125866</xdr:rowOff>
    </xdr:from>
    <xdr:to>
      <xdr:col>20</xdr:col>
      <xdr:colOff>5612</xdr:colOff>
      <xdr:row>45</xdr:row>
      <xdr:rowOff>166687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B106B3-28C6-4FD2-A51B-4FE8B9339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4518" y="4947897"/>
          <a:ext cx="7722563" cy="3874634"/>
        </a:xfrm>
        <a:prstGeom prst="rect">
          <a:avLst/>
        </a:prstGeom>
      </xdr:spPr>
    </xdr:pic>
    <xdr:clientData/>
  </xdr:twoCellAnchor>
  <xdr:twoCellAnchor>
    <xdr:from>
      <xdr:col>52</xdr:col>
      <xdr:colOff>312445</xdr:colOff>
      <xdr:row>1</xdr:row>
      <xdr:rowOff>95853</xdr:rowOff>
    </xdr:from>
    <xdr:to>
      <xdr:col>67</xdr:col>
      <xdr:colOff>293396</xdr:colOff>
      <xdr:row>38</xdr:row>
      <xdr:rowOff>57037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C4FBAC-9421-44C9-8E8B-FF96F8C04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293532</xdr:colOff>
      <xdr:row>39</xdr:row>
      <xdr:rowOff>11505</xdr:rowOff>
    </xdr:from>
    <xdr:to>
      <xdr:col>67</xdr:col>
      <xdr:colOff>385330</xdr:colOff>
      <xdr:row>76</xdr:row>
      <xdr:rowOff>9262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26910C-D29B-4A0C-8F4B-68F78DC0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187817</xdr:colOff>
      <xdr:row>10</xdr:row>
      <xdr:rowOff>93909</xdr:rowOff>
    </xdr:from>
    <xdr:to>
      <xdr:col>4</xdr:col>
      <xdr:colOff>429295</xdr:colOff>
      <xdr:row>23</xdr:row>
      <xdr:rowOff>160986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733369-2E39-4B76-A0A1-D27D450A6B8E}"/>
            </a:ext>
          </a:extLst>
        </xdr:cNvPr>
        <xdr:cNvSpPr txBox="1"/>
      </xdr:nvSpPr>
      <xdr:spPr>
        <a:xfrm>
          <a:off x="187817" y="2012324"/>
          <a:ext cx="3367288" cy="2508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800" b="1"/>
            <a:t>NOTE: </a:t>
          </a:r>
          <a:r>
            <a:rPr lang="en-NZ" sz="1800"/>
            <a:t>Shear force</a:t>
          </a:r>
          <a:r>
            <a:rPr lang="en-NZ" sz="1800" baseline="0"/>
            <a:t> eqn same for pin-pin and fix-fix cases, only the length will change it </a:t>
          </a:r>
        </a:p>
        <a:p>
          <a:r>
            <a:rPr lang="en-NZ" sz="1800" baseline="0"/>
            <a:t>Consider elastic beam and elastic soil -&gt; therefore use soil spring stiffness from Henderson coresponding to 0 bearing capacity loss</a:t>
          </a:r>
        </a:p>
      </xdr:txBody>
    </xdr:sp>
    <xdr:clientData/>
  </xdr:twoCellAnchor>
  <xdr:twoCellAnchor editAs="oneCell">
    <xdr:from>
      <xdr:col>30</xdr:col>
      <xdr:colOff>603696</xdr:colOff>
      <xdr:row>62</xdr:row>
      <xdr:rowOff>187816</xdr:rowOff>
    </xdr:from>
    <xdr:to>
      <xdr:col>43</xdr:col>
      <xdr:colOff>435261</xdr:colOff>
      <xdr:row>86</xdr:row>
      <xdr:rowOff>160984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C0A5FC-54C0-4F56-A219-6B2328349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08802" y="11939788"/>
          <a:ext cx="8980931" cy="4507605"/>
        </a:xfrm>
        <a:prstGeom prst="rect">
          <a:avLst/>
        </a:prstGeom>
      </xdr:spPr>
    </xdr:pic>
    <xdr:clientData/>
  </xdr:twoCellAnchor>
  <xdr:twoCellAnchor>
    <xdr:from>
      <xdr:col>69</xdr:col>
      <xdr:colOff>389050</xdr:colOff>
      <xdr:row>10</xdr:row>
      <xdr:rowOff>80493</xdr:rowOff>
    </xdr:from>
    <xdr:to>
      <xdr:col>84</xdr:col>
      <xdr:colOff>370001</xdr:colOff>
      <xdr:row>47</xdr:row>
      <xdr:rowOff>108756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A3D11B-0657-4A4B-BBBB-BEBA2506B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0</xdr:colOff>
      <xdr:row>83</xdr:row>
      <xdr:rowOff>0</xdr:rowOff>
    </xdr:from>
    <xdr:to>
      <xdr:col>16</xdr:col>
      <xdr:colOff>381000</xdr:colOff>
      <xdr:row>106</xdr:row>
      <xdr:rowOff>76200</xdr:rowOff>
    </xdr:to>
    <xdr:pic>
      <xdr:nvPicPr>
        <xdr:cNvPr id="12" name="Picture 11" descr="Cantilever Beam - UDL and End Bending Moment">
          <a:extLst>
            <a:ext uri="{FF2B5EF4-FFF2-40B4-BE49-F238E27FC236}">
              <a16:creationId xmlns:a16="http://schemas.microsoft.com/office/drawing/2014/main" id="{EECAAF8E-018E-4E56-9EF3-A9F644049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935325"/>
          <a:ext cx="9744075" cy="4457700"/>
        </a:xfrm>
        <a:prstGeom prst="rect">
          <a:avLst/>
        </a:prstGeom>
        <a:noFill/>
        <a:effectLst>
          <a:outerShdw blurRad="50800" dist="50800" dir="5400000" algn="ctr" rotWithShape="0">
            <a:schemeClr val="bg1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187817</xdr:colOff>
      <xdr:row>10</xdr:row>
      <xdr:rowOff>93908</xdr:rowOff>
    </xdr:from>
    <xdr:to>
      <xdr:col>4</xdr:col>
      <xdr:colOff>429295</xdr:colOff>
      <xdr:row>59</xdr:row>
      <xdr:rowOff>38099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72AC2A-0041-4CEA-B665-D7844C009A05}"/>
            </a:ext>
          </a:extLst>
        </xdr:cNvPr>
        <xdr:cNvSpPr txBox="1"/>
      </xdr:nvSpPr>
      <xdr:spPr>
        <a:xfrm>
          <a:off x="187817" y="2011608"/>
          <a:ext cx="3391078" cy="9291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800" b="1"/>
            <a:t>NOTE: </a:t>
          </a:r>
          <a:r>
            <a:rPr lang="en-NZ" sz="1800"/>
            <a:t>Shear force</a:t>
          </a:r>
          <a:r>
            <a:rPr lang="en-NZ" sz="1800" baseline="0"/>
            <a:t> eqn same for pin-pin and fix-fix cases, only the length will change it </a:t>
          </a:r>
        </a:p>
        <a:p>
          <a:r>
            <a:rPr lang="en-NZ" sz="1800" baseline="0"/>
            <a:t>Consider elastic beam and elastic soil -&gt; therefore use soil spring stiffness from Henderson coresponding to 0 bearing capacity loss</a:t>
          </a:r>
        </a:p>
        <a:p>
          <a:endParaRPr lang="en-NZ" sz="1800" baseline="0"/>
        </a:p>
        <a:p>
          <a:r>
            <a:rPr lang="en-NZ" sz="1800" b="1" baseline="0">
              <a:solidFill>
                <a:srgbClr val="FF0000"/>
              </a:solidFill>
            </a:rPr>
            <a:t>This sheet compares the numerical results to the beam theory case of having either fixed or pinned end restraints with a uniform partially distrubuted load.</a:t>
          </a:r>
        </a:p>
        <a:p>
          <a:r>
            <a:rPr lang="en-NZ" sz="1800" b="1" baseline="0">
              <a:solidFill>
                <a:srgbClr val="FF0000"/>
              </a:solidFill>
            </a:rPr>
            <a:t>a = c as UDL is increasing uniformly for </a:t>
          </a:r>
        </a:p>
        <a:p>
          <a:endParaRPr lang="en-NZ" sz="1800" b="1" baseline="0">
            <a:solidFill>
              <a:srgbClr val="FF0000"/>
            </a:solidFill>
          </a:endParaRPr>
        </a:p>
        <a:p>
          <a:r>
            <a:rPr lang="en-NZ" sz="1800" b="1" baseline="0">
              <a:solidFill>
                <a:srgbClr val="FF0000"/>
              </a:solidFill>
            </a:rPr>
            <a:t>M_max is the maximum moment in the midspan of the foundation</a:t>
          </a:r>
        </a:p>
        <a:p>
          <a:endParaRPr lang="en-NZ" sz="1800" b="1" baseline="0">
            <a:solidFill>
              <a:srgbClr val="FF0000"/>
            </a:solidFill>
          </a:endParaRPr>
        </a:p>
        <a:p>
          <a:r>
            <a:rPr lang="en-NZ" sz="1800" b="1" baseline="0">
              <a:solidFill>
                <a:srgbClr val="FF0000"/>
              </a:solidFill>
            </a:rPr>
            <a:t>Note: for the fixed-fixed partial UDL taken off- online calculator for now... need to find eqn </a:t>
          </a:r>
          <a:r>
            <a:rPr lang="en-NZ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https://civilengineeronline.com/fb/fbcalcu.php</a:t>
          </a:r>
          <a:endParaRPr lang="en-NZ" sz="1800" b="1" baseline="0">
            <a:solidFill>
              <a:srgbClr val="FF0000"/>
            </a:solidFill>
          </a:endParaRPr>
        </a:p>
        <a:p>
          <a:endParaRPr lang="en-NZ" sz="1800" baseline="0"/>
        </a:p>
        <a:p>
          <a:r>
            <a:rPr lang="en-NZ" sz="1800" b="1" baseline="0"/>
            <a:t>LINK TO SPREADSHEETS TO CALC BMD:</a:t>
          </a:r>
        </a:p>
        <a:p>
          <a:endParaRPr lang="en-NZ" sz="1800" baseline="0"/>
        </a:p>
        <a:p>
          <a:r>
            <a:rPr lang="en-NZ" sz="1800" baseline="0"/>
            <a:t>https://www.abbottaerospace.com/whats-new/all-simple-beam-analysis-spreadsheets-uploaded/</a:t>
          </a:r>
        </a:p>
      </xdr:txBody>
    </xdr:sp>
    <xdr:clientData/>
  </xdr:twoCellAnchor>
  <xdr:twoCellAnchor editAs="oneCell">
    <xdr:from>
      <xdr:col>4</xdr:col>
      <xdr:colOff>499523</xdr:colOff>
      <xdr:row>22</xdr:row>
      <xdr:rowOff>114299</xdr:rowOff>
    </xdr:from>
    <xdr:to>
      <xdr:col>13</xdr:col>
      <xdr:colOff>34428</xdr:colOff>
      <xdr:row>40</xdr:row>
      <xdr:rowOff>142460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AFE6AD-DA28-4106-B356-DB74B3DF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9123" y="4330699"/>
          <a:ext cx="6545305" cy="3457161"/>
        </a:xfrm>
        <a:prstGeom prst="rect">
          <a:avLst/>
        </a:prstGeom>
      </xdr:spPr>
    </xdr:pic>
    <xdr:clientData/>
  </xdr:twoCellAnchor>
  <xdr:twoCellAnchor>
    <xdr:from>
      <xdr:col>13</xdr:col>
      <xdr:colOff>12700</xdr:colOff>
      <xdr:row>26</xdr:row>
      <xdr:rowOff>25400</xdr:rowOff>
    </xdr:from>
    <xdr:to>
      <xdr:col>29</xdr:col>
      <xdr:colOff>241300</xdr:colOff>
      <xdr:row>57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A356B-C958-4E9C-BFA0-A61B0B62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E463-E91C-40F5-8D43-7E7831808BD4}">
  <dimension ref="B1:BS79"/>
  <sheetViews>
    <sheetView zoomScale="80" zoomScaleNormal="80" workbookViewId="0">
      <selection activeCell="U32" sqref="U32"/>
    </sheetView>
  </sheetViews>
  <sheetFormatPr defaultRowHeight="15" x14ac:dyDescent="0.25"/>
  <cols>
    <col min="2" max="2" width="19.7109375" bestFit="1" customWidth="1"/>
    <col min="11" max="11" width="13.5703125" bestFit="1" customWidth="1"/>
    <col min="12" max="12" width="13.5703125" customWidth="1"/>
    <col min="13" max="13" width="12.85546875" customWidth="1"/>
    <col min="14" max="14" width="11.5703125" bestFit="1" customWidth="1"/>
    <col min="15" max="15" width="11.5703125" customWidth="1"/>
    <col min="16" max="16" width="13.28515625" customWidth="1"/>
    <col min="17" max="17" width="9.140625" customWidth="1"/>
    <col min="19" max="19" width="18.85546875" customWidth="1"/>
    <col min="20" max="20" width="18.140625" customWidth="1"/>
    <col min="21" max="21" width="13.5703125" bestFit="1" customWidth="1"/>
    <col min="22" max="22" width="13.5703125" customWidth="1"/>
    <col min="23" max="23" width="11.7109375" customWidth="1"/>
    <col min="24" max="24" width="11.5703125" bestFit="1" customWidth="1"/>
    <col min="25" max="25" width="11.5703125" customWidth="1"/>
    <col min="26" max="26" width="10.140625" customWidth="1"/>
    <col min="27" max="27" width="11.5703125" bestFit="1" customWidth="1"/>
    <col min="29" max="29" width="13.5703125" customWidth="1"/>
    <col min="33" max="33" width="21.28515625" bestFit="1" customWidth="1"/>
    <col min="34" max="34" width="10.42578125" customWidth="1"/>
    <col min="36" max="36" width="10.140625" bestFit="1" customWidth="1"/>
    <col min="37" max="37" width="10.5703125" bestFit="1" customWidth="1"/>
    <col min="38" max="39" width="10.5703125" customWidth="1"/>
    <col min="46" max="46" width="22.140625" bestFit="1" customWidth="1"/>
    <col min="47" max="47" width="17.7109375" customWidth="1"/>
    <col min="48" max="48" width="21" customWidth="1"/>
  </cols>
  <sheetData>
    <row r="1" spans="2:71" x14ac:dyDescent="0.25">
      <c r="AB1">
        <v>10</v>
      </c>
    </row>
    <row r="2" spans="2:71" ht="15.75" thickBot="1" x14ac:dyDescent="0.3">
      <c r="B2" t="s">
        <v>2</v>
      </c>
      <c r="C2">
        <v>8.6</v>
      </c>
      <c r="H2" s="56" t="s">
        <v>0</v>
      </c>
      <c r="I2" s="56"/>
      <c r="J2" s="56"/>
      <c r="K2" s="56"/>
      <c r="L2" s="56"/>
      <c r="M2" s="56"/>
      <c r="N2" s="4"/>
      <c r="O2" s="21"/>
      <c r="P2" s="4"/>
      <c r="R2" s="56" t="s">
        <v>10</v>
      </c>
      <c r="S2" s="56"/>
      <c r="T2" s="56"/>
      <c r="U2" s="56"/>
      <c r="V2" s="56"/>
      <c r="W2" s="56"/>
      <c r="X2" s="4"/>
      <c r="Y2" s="21"/>
      <c r="Z2" s="4"/>
      <c r="AB2" s="56" t="s">
        <v>58</v>
      </c>
      <c r="AC2" s="56"/>
      <c r="AD2" s="56"/>
      <c r="AE2" s="56"/>
      <c r="AF2" s="56"/>
      <c r="AG2" s="56"/>
      <c r="AH2" s="56"/>
      <c r="AI2" s="56"/>
      <c r="AJ2" s="56"/>
      <c r="AT2" t="s">
        <v>66</v>
      </c>
    </row>
    <row r="3" spans="2:71" ht="15.75" thickBot="1" x14ac:dyDescent="0.3">
      <c r="B3" t="s">
        <v>7</v>
      </c>
      <c r="C3">
        <f>5000*SQRT(C4)</f>
        <v>20615.528128088303</v>
      </c>
      <c r="D3">
        <f>25000</f>
        <v>25000</v>
      </c>
      <c r="G3" t="s">
        <v>54</v>
      </c>
      <c r="H3" t="s">
        <v>1</v>
      </c>
      <c r="I3" t="s">
        <v>22</v>
      </c>
      <c r="J3" t="s">
        <v>22</v>
      </c>
      <c r="K3" t="s">
        <v>11</v>
      </c>
      <c r="L3" t="s">
        <v>53</v>
      </c>
      <c r="M3" t="s">
        <v>24</v>
      </c>
      <c r="N3" t="s">
        <v>17</v>
      </c>
      <c r="O3" t="s">
        <v>25</v>
      </c>
      <c r="P3" t="s">
        <v>18</v>
      </c>
      <c r="R3" t="s">
        <v>1</v>
      </c>
      <c r="S3" t="s">
        <v>16</v>
      </c>
      <c r="T3" t="s">
        <v>23</v>
      </c>
      <c r="U3" t="s">
        <v>11</v>
      </c>
      <c r="W3" t="s">
        <v>9</v>
      </c>
      <c r="X3" t="s">
        <v>17</v>
      </c>
      <c r="Y3" t="s">
        <v>25</v>
      </c>
      <c r="Z3" t="s">
        <v>18</v>
      </c>
      <c r="AB3" s="9" t="s">
        <v>12</v>
      </c>
      <c r="AC3" s="10" t="s">
        <v>13</v>
      </c>
      <c r="AE3" t="s">
        <v>1</v>
      </c>
      <c r="AF3" s="42" t="s">
        <v>57</v>
      </c>
      <c r="AG3" t="s">
        <v>14</v>
      </c>
      <c r="AH3" t="s">
        <v>15</v>
      </c>
      <c r="AJ3" s="42" t="s">
        <v>9</v>
      </c>
      <c r="AK3" t="s">
        <v>20</v>
      </c>
      <c r="AL3" s="42" t="s">
        <v>55</v>
      </c>
      <c r="AM3" t="s">
        <v>56</v>
      </c>
      <c r="AN3" t="s">
        <v>21</v>
      </c>
      <c r="AR3" t="s">
        <v>61</v>
      </c>
      <c r="AT3">
        <f>12900</f>
        <v>12900</v>
      </c>
      <c r="BS3" t="s">
        <v>19</v>
      </c>
    </row>
    <row r="4" spans="2:71" ht="15.75" thickTop="1" x14ac:dyDescent="0.25">
      <c r="B4" t="s">
        <v>3</v>
      </c>
      <c r="C4">
        <v>17</v>
      </c>
      <c r="G4">
        <f>($C$2*H4)/2</f>
        <v>0</v>
      </c>
      <c r="H4">
        <v>0</v>
      </c>
      <c r="I4">
        <f>(($C$2*H4)/2)*($H$24-H4)</f>
        <v>0</v>
      </c>
      <c r="J4">
        <f>I4*1000</f>
        <v>0</v>
      </c>
      <c r="K4" s="1">
        <f>($C$2*H4^2)/8</f>
        <v>0</v>
      </c>
      <c r="L4" s="1">
        <f>$C$2*($H$24/2-H4)*1000</f>
        <v>43000</v>
      </c>
      <c r="M4" s="3">
        <f>(5*$C$2*H4^4)/(384*$C$3*$C$7)</f>
        <v>0</v>
      </c>
      <c r="N4" s="3">
        <f>(($C$2*H4)/(24*$C$3*$C$7))*($C$9^3-2*$C$9*H4^2+H4^3)</f>
        <v>0</v>
      </c>
      <c r="O4" s="22">
        <f>N4/1000</f>
        <v>0</v>
      </c>
      <c r="P4" s="3"/>
      <c r="R4">
        <v>0</v>
      </c>
      <c r="S4">
        <f>($C$2/12)*(6*$C$9*R4 - $C$9^2 - 6*R4^2)</f>
        <v>-71.666666666666671</v>
      </c>
      <c r="T4" s="23">
        <f>S4*1000</f>
        <v>-71666.666666666672</v>
      </c>
      <c r="U4" s="1">
        <f>($C$2*R4^2)/12</f>
        <v>0</v>
      </c>
      <c r="V4" s="1"/>
      <c r="W4" s="3">
        <f t="shared" ref="W4:W24" si="0">($C$2*R4^4)/(384*$C$3*$C$7)</f>
        <v>0</v>
      </c>
      <c r="X4" s="3">
        <f>(($C$2*R4^2)/(24*$C$3*$C$7))*(($C$9-R4)^2)</f>
        <v>0</v>
      </c>
      <c r="Y4" s="2">
        <f>X4/1000</f>
        <v>0</v>
      </c>
      <c r="Z4" s="3"/>
      <c r="AB4" s="5">
        <f t="shared" ref="AB4:AB19" si="1">AB5+0.25</f>
        <v>5</v>
      </c>
      <c r="AC4" s="6">
        <f t="shared" ref="AC4:AC19" si="2">AC5-0.25</f>
        <v>5</v>
      </c>
      <c r="AE4">
        <f>AC4-AB4</f>
        <v>0</v>
      </c>
      <c r="AG4" s="1"/>
      <c r="AH4" s="1"/>
      <c r="AI4" s="1"/>
      <c r="AJ4" s="2"/>
      <c r="AM4">
        <f>AL4/1000</f>
        <v>0</v>
      </c>
      <c r="AR4" t="s">
        <v>62</v>
      </c>
      <c r="AT4" t="s">
        <v>63</v>
      </c>
      <c r="AU4" t="s">
        <v>67</v>
      </c>
      <c r="AV4" t="s">
        <v>68</v>
      </c>
    </row>
    <row r="5" spans="2:71" x14ac:dyDescent="0.25">
      <c r="B5" t="s">
        <v>5</v>
      </c>
      <c r="C5">
        <v>0.15</v>
      </c>
      <c r="G5">
        <f t="shared" ref="G5:G24" si="3">($C$2*H5)/2</f>
        <v>2.15</v>
      </c>
      <c r="H5">
        <f t="shared" ref="H5:H24" si="4">H4+0.5</f>
        <v>0.5</v>
      </c>
      <c r="I5">
        <f t="shared" ref="I5:I24" si="5">(($C$2*H5)/2)*($H$24-H5)</f>
        <v>20.425000000000001</v>
      </c>
      <c r="J5">
        <f t="shared" ref="J5:J24" si="6">I5*1000</f>
        <v>20425</v>
      </c>
      <c r="K5" s="1">
        <f t="shared" ref="K5:K24" si="7">($C$2*H5^2)/8</f>
        <v>0.26874999999999999</v>
      </c>
      <c r="L5" s="1">
        <f t="shared" ref="L5:L24" si="8">$C$2*($H$24/2-H5)*1000</f>
        <v>38699.999999999993</v>
      </c>
      <c r="M5" s="3">
        <f t="shared" ref="M5:M23" si="9">(5*$C$2*H5^4)/(384*$C$3*$C$7)</f>
        <v>1.2573582027105421E-4</v>
      </c>
      <c r="N5" s="3">
        <f t="shared" ref="N5:N24" si="10">(($C$2*H5)/(24*$C$3*$C$7))*($C$9^3-2*$C$9*H5^2+H5^3)</f>
        <v>3.2031451685691597</v>
      </c>
      <c r="O5" s="22">
        <f t="shared" ref="O5:O24" si="11">N5/1000</f>
        <v>3.2031451685691596E-3</v>
      </c>
      <c r="P5" s="3"/>
      <c r="R5">
        <f t="shared" ref="R5:R24" si="12">R4+0.5</f>
        <v>0.5</v>
      </c>
      <c r="S5">
        <f t="shared" ref="S5:S24" si="13">($C$2/12)*(6*$C$9*R5 - $C$9^2 - 6*R5^2)</f>
        <v>-51.241666666666667</v>
      </c>
      <c r="T5" s="23">
        <f t="shared" ref="T5:T24" si="14">S5*1000</f>
        <v>-51241.666666666664</v>
      </c>
      <c r="U5" s="1">
        <f t="shared" ref="U5:U24" si="15">($C$2*R5^2)/12</f>
        <v>0.17916666666666667</v>
      </c>
      <c r="V5" s="1"/>
      <c r="W5" s="3">
        <f t="shared" si="0"/>
        <v>2.5147164054210837E-5</v>
      </c>
      <c r="X5" s="3">
        <f t="shared" ref="X5:X24" si="16">(($C$2*R5^2)/(24*$C$3*$C$7))*(($C$9-R5)^2)</f>
        <v>0.1452500195771218</v>
      </c>
      <c r="Y5" s="2">
        <f t="shared" ref="Y5:Y24" si="17">X5/1000</f>
        <v>1.452500195771218E-4</v>
      </c>
      <c r="Z5" s="3"/>
      <c r="AA5">
        <v>2</v>
      </c>
      <c r="AB5" s="5">
        <f t="shared" si="1"/>
        <v>4.75</v>
      </c>
      <c r="AC5" s="6">
        <f t="shared" si="2"/>
        <v>5.25</v>
      </c>
      <c r="AE5">
        <f t="shared" ref="AE5:AE24" si="18">AC5-AB5</f>
        <v>0.5</v>
      </c>
      <c r="AF5">
        <v>926</v>
      </c>
      <c r="AG5" s="1">
        <f>AF5/1000</f>
        <v>0.92600000000000005</v>
      </c>
      <c r="AH5" s="1"/>
      <c r="AI5" s="1"/>
      <c r="AJ5" s="2">
        <v>3.3E-4</v>
      </c>
      <c r="AK5">
        <f>AJ5*1000</f>
        <v>0.33</v>
      </c>
      <c r="AL5">
        <v>641</v>
      </c>
      <c r="AM5">
        <f t="shared" ref="AM5:AM22" si="19">AL5/1000</f>
        <v>0.64100000000000001</v>
      </c>
      <c r="AN5">
        <f>AK5-3.09</f>
        <v>-2.76</v>
      </c>
      <c r="AR5">
        <v>19</v>
      </c>
      <c r="AT5">
        <v>2500</v>
      </c>
      <c r="AU5">
        <f>($AT$9*1000*AE5)/($AT$3)</f>
        <v>0.33333333333333331</v>
      </c>
      <c r="AV5">
        <f>AK5-AU5</f>
        <v>-3.3333333333332993E-3</v>
      </c>
    </row>
    <row r="6" spans="2:71" x14ac:dyDescent="0.25">
      <c r="B6" t="s">
        <v>4</v>
      </c>
      <c r="C6">
        <v>0.6</v>
      </c>
      <c r="G6">
        <f t="shared" si="3"/>
        <v>4.3</v>
      </c>
      <c r="H6">
        <f t="shared" si="4"/>
        <v>1</v>
      </c>
      <c r="I6">
        <f t="shared" si="5"/>
        <v>38.699999999999996</v>
      </c>
      <c r="J6">
        <f t="shared" si="6"/>
        <v>38699.999999999993</v>
      </c>
      <c r="K6" s="1">
        <f t="shared" si="7"/>
        <v>1.075</v>
      </c>
      <c r="L6" s="1">
        <f t="shared" si="8"/>
        <v>34400</v>
      </c>
      <c r="M6" s="3">
        <f t="shared" si="9"/>
        <v>2.0117731243368673E-3</v>
      </c>
      <c r="N6" s="3">
        <f t="shared" si="10"/>
        <v>6.3153581919182926</v>
      </c>
      <c r="O6" s="22">
        <f t="shared" si="11"/>
        <v>6.315358191918293E-3</v>
      </c>
      <c r="P6" s="3"/>
      <c r="R6">
        <f t="shared" si="12"/>
        <v>1</v>
      </c>
      <c r="S6">
        <f t="shared" si="13"/>
        <v>-32.966666666666669</v>
      </c>
      <c r="T6" s="23">
        <f t="shared" si="14"/>
        <v>-32966.666666666672</v>
      </c>
      <c r="U6" s="1">
        <f t="shared" si="15"/>
        <v>0.71666666666666667</v>
      </c>
      <c r="V6" s="1"/>
      <c r="W6" s="3">
        <f t="shared" si="0"/>
        <v>4.023546248673734E-4</v>
      </c>
      <c r="X6" s="3">
        <f t="shared" si="16"/>
        <v>0.5214515938281159</v>
      </c>
      <c r="Y6" s="2">
        <f t="shared" si="17"/>
        <v>5.2145159382811594E-4</v>
      </c>
      <c r="Z6" s="3"/>
      <c r="AA6">
        <v>3</v>
      </c>
      <c r="AB6" s="5">
        <f t="shared" si="1"/>
        <v>4.5</v>
      </c>
      <c r="AC6" s="6">
        <f t="shared" si="2"/>
        <v>5.5</v>
      </c>
      <c r="AE6">
        <f t="shared" si="18"/>
        <v>1</v>
      </c>
      <c r="AF6">
        <v>1470.5</v>
      </c>
      <c r="AG6" s="1">
        <f t="shared" ref="AG6:AG23" si="20">AF6/1000</f>
        <v>1.4704999999999999</v>
      </c>
      <c r="AH6" s="1"/>
      <c r="AI6" s="1"/>
      <c r="AJ6" s="2">
        <v>3.6999999999999999E-4</v>
      </c>
      <c r="AK6">
        <f t="shared" ref="AK6:AK22" si="21">AJ6*1000</f>
        <v>0.37</v>
      </c>
      <c r="AL6">
        <v>971</v>
      </c>
      <c r="AM6">
        <f t="shared" si="19"/>
        <v>0.97099999999999997</v>
      </c>
      <c r="AN6">
        <f t="shared" ref="AN6:AN22" si="22">AK6-3.09</f>
        <v>-2.7199999999999998</v>
      </c>
      <c r="AR6">
        <f>AR5-1</f>
        <v>18</v>
      </c>
      <c r="AT6" t="s">
        <v>64</v>
      </c>
      <c r="AU6">
        <f t="shared" ref="AU6:AU22" si="23">($AT$9*1000*AE6)/($AT$3)</f>
        <v>0.66666666666666663</v>
      </c>
      <c r="AV6">
        <f t="shared" ref="AV6:AV22" si="24">AK6-AU6</f>
        <v>-0.29666666666666663</v>
      </c>
    </row>
    <row r="7" spans="2:71" x14ac:dyDescent="0.25">
      <c r="B7" t="s">
        <v>6</v>
      </c>
      <c r="C7">
        <f>(C5*C6^3)/12</f>
        <v>2.6999999999999997E-3</v>
      </c>
      <c r="G7">
        <f t="shared" si="3"/>
        <v>6.4499999999999993</v>
      </c>
      <c r="H7">
        <f t="shared" si="4"/>
        <v>1.5</v>
      </c>
      <c r="I7">
        <f t="shared" si="5"/>
        <v>54.824999999999996</v>
      </c>
      <c r="J7">
        <f t="shared" si="6"/>
        <v>54824.999999999993</v>
      </c>
      <c r="K7" s="1">
        <f t="shared" si="7"/>
        <v>2.4187499999999997</v>
      </c>
      <c r="L7" s="1">
        <f t="shared" si="8"/>
        <v>30099.999999999996</v>
      </c>
      <c r="M7" s="3">
        <f t="shared" si="9"/>
        <v>1.018460144195539E-2</v>
      </c>
      <c r="N7" s="3">
        <f t="shared" si="10"/>
        <v>9.2545587265744551</v>
      </c>
      <c r="O7" s="22">
        <f t="shared" si="11"/>
        <v>9.2545587265744546E-3</v>
      </c>
      <c r="P7" s="3"/>
      <c r="R7">
        <f t="shared" si="12"/>
        <v>1.5</v>
      </c>
      <c r="S7">
        <f t="shared" si="13"/>
        <v>-16.841666666666669</v>
      </c>
      <c r="T7" s="23">
        <f t="shared" si="14"/>
        <v>-16841.666666666668</v>
      </c>
      <c r="U7" s="1">
        <f t="shared" si="15"/>
        <v>1.6124999999999998</v>
      </c>
      <c r="V7" s="1"/>
      <c r="W7" s="3">
        <f t="shared" si="0"/>
        <v>2.0369202883910782E-3</v>
      </c>
      <c r="X7" s="3">
        <f t="shared" si="16"/>
        <v>1.0465243792800383</v>
      </c>
      <c r="Y7" s="2">
        <f t="shared" si="17"/>
        <v>1.0465243792800382E-3</v>
      </c>
      <c r="Z7" s="3"/>
      <c r="AA7">
        <v>4</v>
      </c>
      <c r="AB7" s="5">
        <f t="shared" si="1"/>
        <v>4.25</v>
      </c>
      <c r="AC7" s="6">
        <f t="shared" si="2"/>
        <v>5.75</v>
      </c>
      <c r="AE7">
        <f t="shared" si="18"/>
        <v>1.5</v>
      </c>
      <c r="AF7">
        <v>1976</v>
      </c>
      <c r="AG7" s="1">
        <f t="shared" si="20"/>
        <v>1.976</v>
      </c>
      <c r="AH7" s="1"/>
      <c r="AI7" s="1"/>
      <c r="AJ7" s="2">
        <v>4.2999999999999999E-4</v>
      </c>
      <c r="AK7">
        <f t="shared" si="21"/>
        <v>0.43</v>
      </c>
      <c r="AL7">
        <v>1281</v>
      </c>
      <c r="AM7">
        <f t="shared" si="19"/>
        <v>1.2809999999999999</v>
      </c>
      <c r="AN7">
        <f t="shared" si="22"/>
        <v>-2.6599999999999997</v>
      </c>
      <c r="AR7">
        <f t="shared" ref="AR7:AR22" si="25">AR6-1</f>
        <v>17</v>
      </c>
      <c r="AT7">
        <v>1250</v>
      </c>
      <c r="AU7">
        <f t="shared" si="23"/>
        <v>1</v>
      </c>
      <c r="AV7">
        <f t="shared" si="24"/>
        <v>-0.57000000000000006</v>
      </c>
    </row>
    <row r="8" spans="2:71" x14ac:dyDescent="0.25">
      <c r="B8" t="s">
        <v>8</v>
      </c>
      <c r="G8">
        <f t="shared" si="3"/>
        <v>8.6</v>
      </c>
      <c r="H8">
        <f t="shared" si="4"/>
        <v>2</v>
      </c>
      <c r="I8">
        <f t="shared" si="5"/>
        <v>68.8</v>
      </c>
      <c r="J8">
        <f t="shared" si="6"/>
        <v>68800</v>
      </c>
      <c r="K8" s="1">
        <f t="shared" si="7"/>
        <v>4.3</v>
      </c>
      <c r="L8" s="1">
        <f t="shared" si="8"/>
        <v>25799.999999999996</v>
      </c>
      <c r="M8" s="3">
        <f t="shared" si="9"/>
        <v>3.2188369989389877E-2</v>
      </c>
      <c r="N8" s="3">
        <f t="shared" si="10"/>
        <v>11.948322940061521</v>
      </c>
      <c r="O8" s="22">
        <f t="shared" si="11"/>
        <v>1.1948322940061521E-2</v>
      </c>
      <c r="P8" s="3"/>
      <c r="R8">
        <f t="shared" si="12"/>
        <v>2</v>
      </c>
      <c r="S8">
        <f t="shared" si="13"/>
        <v>-2.8666666666666667</v>
      </c>
      <c r="T8" s="23">
        <f t="shared" si="14"/>
        <v>-2866.6666666666665</v>
      </c>
      <c r="U8" s="1">
        <f t="shared" si="15"/>
        <v>2.8666666666666667</v>
      </c>
      <c r="V8" s="1"/>
      <c r="W8" s="3">
        <f t="shared" si="0"/>
        <v>6.4376739978779744E-3</v>
      </c>
      <c r="X8" s="3">
        <f t="shared" si="16"/>
        <v>1.6480445434567614</v>
      </c>
      <c r="Y8" s="2">
        <f t="shared" si="17"/>
        <v>1.6480445434567613E-3</v>
      </c>
      <c r="Z8" s="3"/>
      <c r="AA8">
        <v>5</v>
      </c>
      <c r="AB8" s="5">
        <f t="shared" si="1"/>
        <v>4</v>
      </c>
      <c r="AC8" s="6">
        <f t="shared" si="2"/>
        <v>6</v>
      </c>
      <c r="AE8">
        <f t="shared" si="18"/>
        <v>2</v>
      </c>
      <c r="AF8">
        <v>2606</v>
      </c>
      <c r="AG8" s="1">
        <f t="shared" si="20"/>
        <v>2.6059999999999999</v>
      </c>
      <c r="AH8" s="1"/>
      <c r="AI8" s="1"/>
      <c r="AJ8" s="2">
        <v>5.0000000000000001E-4</v>
      </c>
      <c r="AK8">
        <f t="shared" si="21"/>
        <v>0.5</v>
      </c>
      <c r="AL8">
        <v>1618</v>
      </c>
      <c r="AM8">
        <f t="shared" si="19"/>
        <v>1.6180000000000001</v>
      </c>
      <c r="AN8">
        <f t="shared" si="22"/>
        <v>-2.59</v>
      </c>
      <c r="AR8">
        <f t="shared" si="25"/>
        <v>16</v>
      </c>
      <c r="AT8" t="s">
        <v>65</v>
      </c>
      <c r="AU8">
        <f t="shared" si="23"/>
        <v>1.3333333333333333</v>
      </c>
      <c r="AV8">
        <f t="shared" si="24"/>
        <v>-0.83333333333333326</v>
      </c>
    </row>
    <row r="9" spans="2:71" x14ac:dyDescent="0.25">
      <c r="B9" t="s">
        <v>1</v>
      </c>
      <c r="C9">
        <v>10</v>
      </c>
      <c r="G9">
        <f t="shared" si="3"/>
        <v>10.75</v>
      </c>
      <c r="H9">
        <f t="shared" si="4"/>
        <v>2.5</v>
      </c>
      <c r="I9">
        <f t="shared" si="5"/>
        <v>80.625</v>
      </c>
      <c r="J9">
        <f t="shared" si="6"/>
        <v>80625</v>
      </c>
      <c r="K9" s="1">
        <f t="shared" si="7"/>
        <v>6.71875</v>
      </c>
      <c r="L9" s="1">
        <f t="shared" si="8"/>
        <v>21500</v>
      </c>
      <c r="M9" s="3">
        <f t="shared" si="9"/>
        <v>7.8584887669408868E-2</v>
      </c>
      <c r="N9" s="3">
        <f t="shared" si="10"/>
        <v>14.333883510900179</v>
      </c>
      <c r="O9" s="22">
        <f t="shared" si="11"/>
        <v>1.4333883510900178E-2</v>
      </c>
      <c r="P9" s="3"/>
      <c r="R9">
        <f t="shared" si="12"/>
        <v>2.5</v>
      </c>
      <c r="S9">
        <f t="shared" si="13"/>
        <v>8.9583333333333339</v>
      </c>
      <c r="T9" s="23">
        <f t="shared" si="14"/>
        <v>8958.3333333333339</v>
      </c>
      <c r="U9" s="1">
        <f t="shared" si="15"/>
        <v>4.479166666666667</v>
      </c>
      <c r="V9" s="1"/>
      <c r="W9" s="3">
        <f t="shared" si="0"/>
        <v>1.5716977533881776E-2</v>
      </c>
      <c r="X9" s="3">
        <f t="shared" si="16"/>
        <v>2.2632447648789755</v>
      </c>
      <c r="Y9" s="2">
        <f t="shared" si="17"/>
        <v>2.2632447648789755E-3</v>
      </c>
      <c r="Z9" s="3"/>
      <c r="AB9" s="5">
        <f t="shared" si="1"/>
        <v>3.75</v>
      </c>
      <c r="AC9" s="6">
        <f t="shared" si="2"/>
        <v>6.25</v>
      </c>
      <c r="AE9">
        <f t="shared" si="18"/>
        <v>2.5</v>
      </c>
      <c r="AF9">
        <v>3212</v>
      </c>
      <c r="AG9" s="1">
        <f t="shared" si="20"/>
        <v>3.2120000000000002</v>
      </c>
      <c r="AH9" s="1"/>
      <c r="AI9" s="1"/>
      <c r="AJ9" s="2">
        <v>5.8E-4</v>
      </c>
      <c r="AK9">
        <f t="shared" si="21"/>
        <v>0.57999999999999996</v>
      </c>
      <c r="AL9">
        <v>1921</v>
      </c>
      <c r="AM9">
        <f t="shared" si="19"/>
        <v>1.921</v>
      </c>
      <c r="AN9">
        <f t="shared" si="22"/>
        <v>-2.5099999999999998</v>
      </c>
      <c r="AR9">
        <f t="shared" si="25"/>
        <v>15</v>
      </c>
      <c r="AT9">
        <f>C2</f>
        <v>8.6</v>
      </c>
      <c r="AU9">
        <f t="shared" si="23"/>
        <v>1.6666666666666667</v>
      </c>
      <c r="AV9">
        <f t="shared" si="24"/>
        <v>-1.0866666666666669</v>
      </c>
    </row>
    <row r="10" spans="2:71" s="34" customFormat="1" x14ac:dyDescent="0.25">
      <c r="G10" s="34">
        <f t="shared" si="3"/>
        <v>12.899999999999999</v>
      </c>
      <c r="H10" s="34">
        <f t="shared" si="4"/>
        <v>3</v>
      </c>
      <c r="I10" s="34">
        <f t="shared" si="5"/>
        <v>90.299999999999983</v>
      </c>
      <c r="J10" s="34">
        <f t="shared" si="6"/>
        <v>90299.999999999985</v>
      </c>
      <c r="K10" s="35">
        <f t="shared" si="7"/>
        <v>9.6749999999999989</v>
      </c>
      <c r="L10" s="35">
        <f t="shared" si="8"/>
        <v>17200</v>
      </c>
      <c r="M10" s="36">
        <f t="shared" si="9"/>
        <v>0.16295362307128625</v>
      </c>
      <c r="N10" s="36">
        <f t="shared" si="10"/>
        <v>16.35812962860793</v>
      </c>
      <c r="O10" s="37">
        <f t="shared" si="11"/>
        <v>1.6358129628607929E-2</v>
      </c>
      <c r="P10" s="36"/>
      <c r="R10" s="34">
        <f t="shared" si="12"/>
        <v>3</v>
      </c>
      <c r="S10" s="34">
        <f t="shared" si="13"/>
        <v>18.633333333333333</v>
      </c>
      <c r="T10" s="38">
        <f t="shared" si="14"/>
        <v>18633.333333333332</v>
      </c>
      <c r="U10" s="35">
        <f t="shared" si="15"/>
        <v>6.4499999999999993</v>
      </c>
      <c r="V10" s="35"/>
      <c r="W10" s="36">
        <f t="shared" si="0"/>
        <v>3.2590724614257251E-2</v>
      </c>
      <c r="X10" s="36">
        <f t="shared" si="16"/>
        <v>2.8390142330641868</v>
      </c>
      <c r="Y10" s="39">
        <f t="shared" si="17"/>
        <v>2.8390142330641868E-3</v>
      </c>
      <c r="Z10" s="36"/>
      <c r="AA10" s="34">
        <v>7</v>
      </c>
      <c r="AB10" s="40">
        <f t="shared" si="1"/>
        <v>3.5</v>
      </c>
      <c r="AC10" s="41">
        <f t="shared" si="2"/>
        <v>6.5</v>
      </c>
      <c r="AE10" s="34">
        <f t="shared" si="18"/>
        <v>3</v>
      </c>
      <c r="AF10" s="34">
        <v>3962</v>
      </c>
      <c r="AG10" s="35">
        <f t="shared" si="20"/>
        <v>3.9620000000000002</v>
      </c>
      <c r="AH10" s="35"/>
      <c r="AI10" s="35"/>
      <c r="AJ10" s="39">
        <v>6.8999999999999997E-4</v>
      </c>
      <c r="AK10" s="34">
        <f t="shared" si="21"/>
        <v>0.69</v>
      </c>
      <c r="AL10" s="34">
        <v>2266</v>
      </c>
      <c r="AM10" s="34">
        <f t="shared" si="19"/>
        <v>2.266</v>
      </c>
      <c r="AN10" s="34">
        <f t="shared" si="22"/>
        <v>-2.4</v>
      </c>
      <c r="AR10">
        <f t="shared" si="25"/>
        <v>14</v>
      </c>
      <c r="AU10">
        <f t="shared" si="23"/>
        <v>2</v>
      </c>
      <c r="AV10" s="34">
        <f t="shared" si="24"/>
        <v>-1.31</v>
      </c>
    </row>
    <row r="11" spans="2:71" x14ac:dyDescent="0.25">
      <c r="G11">
        <f t="shared" si="3"/>
        <v>15.049999999999999</v>
      </c>
      <c r="H11">
        <f t="shared" si="4"/>
        <v>3.5</v>
      </c>
      <c r="I11">
        <f t="shared" si="5"/>
        <v>97.824999999999989</v>
      </c>
      <c r="J11">
        <f t="shared" si="6"/>
        <v>97824.999999999985</v>
      </c>
      <c r="K11" s="1">
        <f t="shared" si="7"/>
        <v>13.168749999999999</v>
      </c>
      <c r="L11" s="1">
        <f t="shared" si="8"/>
        <v>12899.999999999998</v>
      </c>
      <c r="M11" s="3">
        <f t="shared" si="9"/>
        <v>0.3018917044708011</v>
      </c>
      <c r="N11" s="3">
        <f t="shared" si="10"/>
        <v>17.977606993699112</v>
      </c>
      <c r="O11" s="22">
        <f t="shared" si="11"/>
        <v>1.7977606993699113E-2</v>
      </c>
      <c r="P11" s="3"/>
      <c r="R11">
        <f t="shared" si="12"/>
        <v>3.5</v>
      </c>
      <c r="S11">
        <f t="shared" si="13"/>
        <v>26.158333333333335</v>
      </c>
      <c r="T11" s="23">
        <f t="shared" si="14"/>
        <v>26158.333333333336</v>
      </c>
      <c r="U11" s="1">
        <f t="shared" si="15"/>
        <v>8.7791666666666668</v>
      </c>
      <c r="V11" s="1"/>
      <c r="W11" s="3">
        <f t="shared" si="0"/>
        <v>6.0378340894160221E-2</v>
      </c>
      <c r="X11" s="3">
        <f t="shared" si="16"/>
        <v>3.3318986485267192</v>
      </c>
      <c r="Y11" s="2">
        <f t="shared" si="17"/>
        <v>3.3318986485267191E-3</v>
      </c>
      <c r="Z11" s="3"/>
      <c r="AB11" s="5">
        <f t="shared" si="1"/>
        <v>3.25</v>
      </c>
      <c r="AC11" s="6">
        <f t="shared" si="2"/>
        <v>6.75</v>
      </c>
      <c r="AE11">
        <f t="shared" si="18"/>
        <v>3.5</v>
      </c>
      <c r="AF11">
        <v>4691</v>
      </c>
      <c r="AG11" s="1">
        <f t="shared" si="20"/>
        <v>4.6909999999999998</v>
      </c>
      <c r="AH11" s="1"/>
      <c r="AI11" s="1"/>
      <c r="AJ11" s="2">
        <v>8.0999999999999996E-4</v>
      </c>
      <c r="AK11">
        <f t="shared" si="21"/>
        <v>0.80999999999999994</v>
      </c>
      <c r="AL11">
        <v>2565</v>
      </c>
      <c r="AM11">
        <f t="shared" si="19"/>
        <v>2.5649999999999999</v>
      </c>
      <c r="AN11">
        <f t="shared" si="22"/>
        <v>-2.2799999999999998</v>
      </c>
      <c r="AR11">
        <f t="shared" si="25"/>
        <v>13</v>
      </c>
      <c r="AU11">
        <f t="shared" si="23"/>
        <v>2.3333333333333335</v>
      </c>
      <c r="AV11">
        <f t="shared" si="24"/>
        <v>-1.5233333333333334</v>
      </c>
    </row>
    <row r="12" spans="2:71" x14ac:dyDescent="0.25">
      <c r="G12">
        <f t="shared" si="3"/>
        <v>17.2</v>
      </c>
      <c r="H12">
        <f t="shared" si="4"/>
        <v>4</v>
      </c>
      <c r="I12">
        <f t="shared" si="5"/>
        <v>103.19999999999999</v>
      </c>
      <c r="J12">
        <f t="shared" si="6"/>
        <v>103199.99999999999</v>
      </c>
      <c r="K12" s="1">
        <f>($C$2*H12^2)/8</f>
        <v>17.2</v>
      </c>
      <c r="L12" s="1">
        <f t="shared" si="8"/>
        <v>8600</v>
      </c>
      <c r="M12" s="3">
        <f t="shared" si="9"/>
        <v>0.51501391983023803</v>
      </c>
      <c r="N12" s="3">
        <f t="shared" si="10"/>
        <v>19.158517817684853</v>
      </c>
      <c r="O12" s="22">
        <f t="shared" si="11"/>
        <v>1.9158517817684854E-2</v>
      </c>
      <c r="P12" s="3"/>
      <c r="R12">
        <f t="shared" si="12"/>
        <v>4</v>
      </c>
      <c r="S12">
        <f t="shared" si="13"/>
        <v>31.533333333333335</v>
      </c>
      <c r="T12" s="23">
        <f t="shared" si="14"/>
        <v>31533.333333333336</v>
      </c>
      <c r="U12" s="1">
        <f t="shared" si="15"/>
        <v>11.466666666666667</v>
      </c>
      <c r="V12" s="1"/>
      <c r="W12" s="3">
        <f t="shared" si="0"/>
        <v>0.10300278396604759</v>
      </c>
      <c r="X12" s="3">
        <f t="shared" si="16"/>
        <v>3.7081002227777131</v>
      </c>
      <c r="Y12" s="2">
        <f t="shared" si="17"/>
        <v>3.7081002227777131E-3</v>
      </c>
      <c r="Z12" s="3"/>
      <c r="AB12" s="5">
        <f t="shared" si="1"/>
        <v>3</v>
      </c>
      <c r="AC12" s="6">
        <f t="shared" si="2"/>
        <v>7</v>
      </c>
      <c r="AE12">
        <f t="shared" si="18"/>
        <v>4</v>
      </c>
      <c r="AF12">
        <v>5587</v>
      </c>
      <c r="AG12" s="1">
        <f t="shared" si="20"/>
        <v>5.5869999999999997</v>
      </c>
      <c r="AH12" s="1"/>
      <c r="AI12" s="1"/>
      <c r="AJ12" s="2">
        <v>9.7000000000000005E-4</v>
      </c>
      <c r="AK12">
        <f t="shared" si="21"/>
        <v>0.97000000000000008</v>
      </c>
      <c r="AL12">
        <v>2913</v>
      </c>
      <c r="AM12">
        <f t="shared" si="19"/>
        <v>2.9129999999999998</v>
      </c>
      <c r="AN12">
        <f t="shared" si="22"/>
        <v>-2.1199999999999997</v>
      </c>
      <c r="AR12">
        <f t="shared" si="25"/>
        <v>12</v>
      </c>
      <c r="AU12">
        <f t="shared" si="23"/>
        <v>2.6666666666666665</v>
      </c>
      <c r="AV12">
        <f t="shared" si="24"/>
        <v>-1.6966666666666663</v>
      </c>
    </row>
    <row r="13" spans="2:71" x14ac:dyDescent="0.25">
      <c r="G13">
        <f t="shared" si="3"/>
        <v>19.349999999999998</v>
      </c>
      <c r="H13">
        <f t="shared" si="4"/>
        <v>4.5</v>
      </c>
      <c r="I13">
        <f t="shared" si="5"/>
        <v>106.42499999999998</v>
      </c>
      <c r="J13">
        <f t="shared" si="6"/>
        <v>106424.99999999999</v>
      </c>
      <c r="K13" s="1">
        <f t="shared" si="7"/>
        <v>21.768750000000001</v>
      </c>
      <c r="L13" s="1">
        <f t="shared" si="8"/>
        <v>4300</v>
      </c>
      <c r="M13" s="3">
        <f t="shared" si="9"/>
        <v>0.82495271679838655</v>
      </c>
      <c r="N13" s="3">
        <f t="shared" si="10"/>
        <v>19.876720823073114</v>
      </c>
      <c r="O13" s="22">
        <f t="shared" si="11"/>
        <v>1.9876720823073114E-2</v>
      </c>
      <c r="P13" s="3"/>
      <c r="R13">
        <f t="shared" si="12"/>
        <v>4.5</v>
      </c>
      <c r="S13">
        <f t="shared" si="13"/>
        <v>34.758333333333333</v>
      </c>
      <c r="T13" s="23">
        <f t="shared" si="14"/>
        <v>34758.333333333336</v>
      </c>
      <c r="U13" s="1">
        <f t="shared" si="15"/>
        <v>14.512500000000001</v>
      </c>
      <c r="V13" s="1"/>
      <c r="W13" s="3">
        <f t="shared" si="0"/>
        <v>0.16499054335967731</v>
      </c>
      <c r="X13" s="3">
        <f t="shared" si="16"/>
        <v>3.9434776783251273</v>
      </c>
      <c r="Y13" s="2">
        <f t="shared" si="17"/>
        <v>3.9434776783251269E-3</v>
      </c>
      <c r="Z13" s="3"/>
      <c r="AB13" s="5">
        <f t="shared" si="1"/>
        <v>2.75</v>
      </c>
      <c r="AC13" s="6">
        <f t="shared" si="2"/>
        <v>7.25</v>
      </c>
      <c r="AE13">
        <f t="shared" si="18"/>
        <v>4.5</v>
      </c>
      <c r="AF13">
        <v>6443</v>
      </c>
      <c r="AG13" s="1">
        <f t="shared" si="20"/>
        <v>6.4429999999999996</v>
      </c>
      <c r="AH13" s="1"/>
      <c r="AI13" s="1"/>
      <c r="AJ13" s="2">
        <v>1.1000000000000001E-3</v>
      </c>
      <c r="AK13">
        <f t="shared" si="21"/>
        <v>1.1000000000000001</v>
      </c>
      <c r="AL13">
        <v>3218</v>
      </c>
      <c r="AM13">
        <f t="shared" si="19"/>
        <v>3.218</v>
      </c>
      <c r="AN13">
        <f t="shared" si="22"/>
        <v>-1.9899999999999998</v>
      </c>
      <c r="AR13">
        <f t="shared" si="25"/>
        <v>11</v>
      </c>
      <c r="AU13">
        <f t="shared" si="23"/>
        <v>3</v>
      </c>
      <c r="AV13">
        <f t="shared" si="24"/>
        <v>-1.9</v>
      </c>
    </row>
    <row r="14" spans="2:71" x14ac:dyDescent="0.25">
      <c r="G14">
        <f t="shared" si="3"/>
        <v>21.5</v>
      </c>
      <c r="H14">
        <f t="shared" si="4"/>
        <v>5</v>
      </c>
      <c r="I14">
        <f t="shared" si="5"/>
        <v>107.5</v>
      </c>
      <c r="J14">
        <f t="shared" si="6"/>
        <v>107500</v>
      </c>
      <c r="K14" s="1">
        <f t="shared" si="7"/>
        <v>26.875</v>
      </c>
      <c r="L14" s="1">
        <f t="shared" si="8"/>
        <v>0</v>
      </c>
      <c r="M14" s="3">
        <f t="shared" si="9"/>
        <v>1.2573582027105419</v>
      </c>
      <c r="N14" s="3">
        <f t="shared" si="10"/>
        <v>20.117731243368674</v>
      </c>
      <c r="O14" s="22">
        <f t="shared" si="11"/>
        <v>2.0117731243368672E-2</v>
      </c>
      <c r="P14" s="3"/>
      <c r="R14">
        <f t="shared" si="12"/>
        <v>5</v>
      </c>
      <c r="S14">
        <f t="shared" si="13"/>
        <v>35.833333333333336</v>
      </c>
      <c r="T14" s="23">
        <f t="shared" si="14"/>
        <v>35833.333333333336</v>
      </c>
      <c r="U14" s="1">
        <f t="shared" si="15"/>
        <v>17.916666666666668</v>
      </c>
      <c r="V14" s="1"/>
      <c r="W14" s="3">
        <f t="shared" si="0"/>
        <v>0.25147164054210841</v>
      </c>
      <c r="X14" s="3">
        <f t="shared" si="16"/>
        <v>4.0235462486737346</v>
      </c>
      <c r="Y14" s="2">
        <f t="shared" si="17"/>
        <v>4.0235462486737346E-3</v>
      </c>
      <c r="Z14" s="3"/>
      <c r="AB14" s="5">
        <f t="shared" si="1"/>
        <v>2.5</v>
      </c>
      <c r="AC14" s="6">
        <f t="shared" si="2"/>
        <v>7.5</v>
      </c>
      <c r="AE14">
        <f t="shared" si="18"/>
        <v>5</v>
      </c>
      <c r="AF14">
        <v>7490</v>
      </c>
      <c r="AG14" s="1">
        <f t="shared" si="20"/>
        <v>7.49</v>
      </c>
      <c r="AH14" s="1"/>
      <c r="AI14" s="1"/>
      <c r="AJ14" s="2">
        <v>1.2999999999999999E-3</v>
      </c>
      <c r="AK14">
        <f t="shared" si="21"/>
        <v>1.3</v>
      </c>
      <c r="AL14">
        <v>3561</v>
      </c>
      <c r="AM14">
        <f t="shared" si="19"/>
        <v>3.5609999999999999</v>
      </c>
      <c r="AN14">
        <f t="shared" si="22"/>
        <v>-1.7899999999999998</v>
      </c>
      <c r="AR14">
        <f t="shared" si="25"/>
        <v>10</v>
      </c>
      <c r="AU14">
        <f t="shared" si="23"/>
        <v>3.3333333333333335</v>
      </c>
      <c r="AV14">
        <f t="shared" si="24"/>
        <v>-2.0333333333333332</v>
      </c>
    </row>
    <row r="15" spans="2:71" x14ac:dyDescent="0.25">
      <c r="G15">
        <f t="shared" si="3"/>
        <v>23.65</v>
      </c>
      <c r="H15">
        <f t="shared" si="4"/>
        <v>5.5</v>
      </c>
      <c r="I15">
        <f t="shared" si="5"/>
        <v>106.425</v>
      </c>
      <c r="J15">
        <f t="shared" si="6"/>
        <v>106425</v>
      </c>
      <c r="K15" s="1">
        <f t="shared" si="7"/>
        <v>32.518749999999997</v>
      </c>
      <c r="L15" s="1">
        <f t="shared" si="8"/>
        <v>-4300</v>
      </c>
      <c r="M15" s="3">
        <f t="shared" si="9"/>
        <v>1.8408981445885044</v>
      </c>
      <c r="N15" s="3">
        <f t="shared" si="10"/>
        <v>19.876720823073114</v>
      </c>
      <c r="O15" s="22">
        <f t="shared" si="11"/>
        <v>1.9876720823073114E-2</v>
      </c>
      <c r="P15" s="3"/>
      <c r="R15">
        <f t="shared" si="12"/>
        <v>5.5</v>
      </c>
      <c r="S15">
        <f t="shared" si="13"/>
        <v>34.758333333333333</v>
      </c>
      <c r="T15" s="23">
        <f t="shared" si="14"/>
        <v>34758.333333333336</v>
      </c>
      <c r="U15" s="1">
        <f t="shared" si="15"/>
        <v>21.679166666666664</v>
      </c>
      <c r="V15" s="1"/>
      <c r="W15" s="3">
        <f t="shared" si="0"/>
        <v>0.3681796289177009</v>
      </c>
      <c r="X15" s="3">
        <f t="shared" si="16"/>
        <v>3.9434776783251264</v>
      </c>
      <c r="Y15" s="2">
        <f t="shared" si="17"/>
        <v>3.943477678325126E-3</v>
      </c>
      <c r="Z15" s="3"/>
      <c r="AB15" s="5">
        <f t="shared" si="1"/>
        <v>2.25</v>
      </c>
      <c r="AC15" s="6">
        <f t="shared" si="2"/>
        <v>7.75</v>
      </c>
      <c r="AE15">
        <f t="shared" si="18"/>
        <v>5.5</v>
      </c>
      <c r="AF15">
        <v>8440</v>
      </c>
      <c r="AG15" s="1">
        <f t="shared" si="20"/>
        <v>8.44</v>
      </c>
      <c r="AH15" s="1"/>
      <c r="AI15" s="1"/>
      <c r="AJ15" s="2">
        <v>1.6000000000000001E-3</v>
      </c>
      <c r="AK15">
        <f t="shared" si="21"/>
        <v>1.6</v>
      </c>
      <c r="AL15">
        <v>3885</v>
      </c>
      <c r="AM15">
        <f t="shared" si="19"/>
        <v>3.8849999999999998</v>
      </c>
      <c r="AN15">
        <f t="shared" si="22"/>
        <v>-1.4899999999999998</v>
      </c>
      <c r="AR15">
        <f t="shared" si="25"/>
        <v>9</v>
      </c>
      <c r="AU15">
        <f t="shared" si="23"/>
        <v>3.6666666666666665</v>
      </c>
      <c r="AV15">
        <f t="shared" si="24"/>
        <v>-2.0666666666666664</v>
      </c>
    </row>
    <row r="16" spans="2:71" x14ac:dyDescent="0.25">
      <c r="G16">
        <f t="shared" si="3"/>
        <v>25.799999999999997</v>
      </c>
      <c r="H16">
        <f t="shared" si="4"/>
        <v>6</v>
      </c>
      <c r="I16">
        <f t="shared" si="5"/>
        <v>103.19999999999999</v>
      </c>
      <c r="J16">
        <f t="shared" si="6"/>
        <v>103199.99999999999</v>
      </c>
      <c r="K16" s="1">
        <f t="shared" si="7"/>
        <v>38.699999999999996</v>
      </c>
      <c r="L16" s="1">
        <f t="shared" si="8"/>
        <v>-8600</v>
      </c>
      <c r="M16" s="3">
        <f t="shared" si="9"/>
        <v>2.6072579691405799</v>
      </c>
      <c r="N16" s="3">
        <f t="shared" si="10"/>
        <v>19.158517817684849</v>
      </c>
      <c r="O16" s="22">
        <f t="shared" si="11"/>
        <v>1.915851781768485E-2</v>
      </c>
      <c r="P16" s="3"/>
      <c r="R16">
        <f t="shared" si="12"/>
        <v>6</v>
      </c>
      <c r="S16">
        <f t="shared" si="13"/>
        <v>31.533333333333335</v>
      </c>
      <c r="T16" s="23">
        <f t="shared" si="14"/>
        <v>31533.333333333336</v>
      </c>
      <c r="U16" s="1">
        <f t="shared" si="15"/>
        <v>25.799999999999997</v>
      </c>
      <c r="V16" s="1"/>
      <c r="W16" s="3">
        <f t="shared" si="0"/>
        <v>0.52145159382811601</v>
      </c>
      <c r="X16" s="3">
        <f t="shared" si="16"/>
        <v>3.7081002227777131</v>
      </c>
      <c r="Y16" s="2">
        <f t="shared" si="17"/>
        <v>3.7081002227777131E-3</v>
      </c>
      <c r="Z16" s="3"/>
      <c r="AB16" s="5">
        <f t="shared" si="1"/>
        <v>2</v>
      </c>
      <c r="AC16" s="6">
        <f t="shared" si="2"/>
        <v>8</v>
      </c>
      <c r="AE16">
        <f t="shared" si="18"/>
        <v>6</v>
      </c>
      <c r="AF16">
        <v>9602</v>
      </c>
      <c r="AG16" s="1">
        <f t="shared" si="20"/>
        <v>9.6020000000000003</v>
      </c>
      <c r="AH16" s="1"/>
      <c r="AI16" s="1"/>
      <c r="AJ16" s="2">
        <v>1.9E-3</v>
      </c>
      <c r="AK16">
        <f t="shared" si="21"/>
        <v>1.9</v>
      </c>
      <c r="AL16">
        <v>4208</v>
      </c>
      <c r="AM16">
        <f t="shared" si="19"/>
        <v>4.2080000000000002</v>
      </c>
      <c r="AN16">
        <f t="shared" si="22"/>
        <v>-1.19</v>
      </c>
      <c r="AR16">
        <f t="shared" si="25"/>
        <v>8</v>
      </c>
      <c r="AU16">
        <f t="shared" si="23"/>
        <v>4</v>
      </c>
      <c r="AV16">
        <f t="shared" si="24"/>
        <v>-2.1</v>
      </c>
    </row>
    <row r="17" spans="7:51" x14ac:dyDescent="0.25">
      <c r="G17">
        <f t="shared" si="3"/>
        <v>27.95</v>
      </c>
      <c r="H17">
        <f t="shared" si="4"/>
        <v>6.5</v>
      </c>
      <c r="I17">
        <f t="shared" si="5"/>
        <v>97.825000000000003</v>
      </c>
      <c r="J17">
        <f t="shared" si="6"/>
        <v>97825</v>
      </c>
      <c r="K17" s="1">
        <f t="shared" si="7"/>
        <v>45.418749999999996</v>
      </c>
      <c r="L17" s="1">
        <f t="shared" si="8"/>
        <v>-12899.999999999998</v>
      </c>
      <c r="M17" s="3">
        <f t="shared" si="9"/>
        <v>3.591140762761579</v>
      </c>
      <c r="N17" s="3">
        <f t="shared" si="10"/>
        <v>17.977606993699112</v>
      </c>
      <c r="O17" s="22">
        <f t="shared" si="11"/>
        <v>1.7977606993699113E-2</v>
      </c>
      <c r="P17" s="3"/>
      <c r="R17">
        <f t="shared" si="12"/>
        <v>6.5</v>
      </c>
      <c r="S17">
        <f t="shared" si="13"/>
        <v>26.158333333333335</v>
      </c>
      <c r="T17" s="23">
        <f t="shared" si="14"/>
        <v>26158.333333333336</v>
      </c>
      <c r="U17" s="1">
        <f t="shared" si="15"/>
        <v>30.279166666666665</v>
      </c>
      <c r="V17" s="1"/>
      <c r="W17" s="3">
        <f t="shared" si="0"/>
        <v>0.71822815255231576</v>
      </c>
      <c r="X17" s="3">
        <f t="shared" si="16"/>
        <v>3.3318986485267192</v>
      </c>
      <c r="Y17" s="2">
        <f t="shared" si="17"/>
        <v>3.3318986485267191E-3</v>
      </c>
      <c r="Z17" s="3"/>
      <c r="AB17" s="5">
        <f t="shared" si="1"/>
        <v>1.75</v>
      </c>
      <c r="AC17" s="6">
        <f t="shared" si="2"/>
        <v>8.25</v>
      </c>
      <c r="AE17">
        <f t="shared" si="18"/>
        <v>6.5</v>
      </c>
      <c r="AF17">
        <v>10594</v>
      </c>
      <c r="AG17" s="1">
        <f t="shared" si="20"/>
        <v>10.593999999999999</v>
      </c>
      <c r="AH17" s="1"/>
      <c r="AI17" s="1"/>
      <c r="AJ17" s="2">
        <v>2.2899999999999999E-3</v>
      </c>
      <c r="AK17">
        <f t="shared" si="21"/>
        <v>2.29</v>
      </c>
      <c r="AL17">
        <v>4567</v>
      </c>
      <c r="AM17">
        <f t="shared" si="19"/>
        <v>4.5670000000000002</v>
      </c>
      <c r="AN17">
        <f t="shared" si="22"/>
        <v>-0.79999999999999982</v>
      </c>
      <c r="AR17">
        <f t="shared" si="25"/>
        <v>7</v>
      </c>
      <c r="AU17">
        <f t="shared" si="23"/>
        <v>4.333333333333333</v>
      </c>
      <c r="AV17">
        <f t="shared" si="24"/>
        <v>-2.043333333333333</v>
      </c>
    </row>
    <row r="18" spans="7:51" s="34" customFormat="1" x14ac:dyDescent="0.25">
      <c r="G18" s="34">
        <f t="shared" si="3"/>
        <v>30.099999999999998</v>
      </c>
      <c r="H18" s="34">
        <f t="shared" si="4"/>
        <v>7</v>
      </c>
      <c r="I18" s="34">
        <f t="shared" si="5"/>
        <v>90.3</v>
      </c>
      <c r="J18" s="34">
        <f t="shared" si="6"/>
        <v>90300</v>
      </c>
      <c r="K18" s="35">
        <f t="shared" si="7"/>
        <v>52.674999999999997</v>
      </c>
      <c r="L18" s="35">
        <f t="shared" si="8"/>
        <v>-17200</v>
      </c>
      <c r="M18" s="36">
        <f t="shared" si="9"/>
        <v>4.8302672715328177</v>
      </c>
      <c r="N18" s="36">
        <f t="shared" si="10"/>
        <v>16.358129628607934</v>
      </c>
      <c r="O18" s="37">
        <f t="shared" si="11"/>
        <v>1.6358129628607932E-2</v>
      </c>
      <c r="P18" s="36"/>
      <c r="R18" s="34">
        <f t="shared" si="12"/>
        <v>7</v>
      </c>
      <c r="S18" s="34">
        <f t="shared" si="13"/>
        <v>18.633333333333333</v>
      </c>
      <c r="T18" s="38">
        <f t="shared" si="14"/>
        <v>18633.333333333332</v>
      </c>
      <c r="U18" s="35">
        <f t="shared" si="15"/>
        <v>35.116666666666667</v>
      </c>
      <c r="V18" s="35"/>
      <c r="W18" s="36">
        <f t="shared" si="0"/>
        <v>0.96605345430656353</v>
      </c>
      <c r="X18" s="36">
        <f t="shared" si="16"/>
        <v>2.8390142330641872</v>
      </c>
      <c r="Y18" s="39">
        <f t="shared" si="17"/>
        <v>2.8390142330641873E-3</v>
      </c>
      <c r="Z18" s="36"/>
      <c r="AB18" s="40">
        <f t="shared" si="1"/>
        <v>1.5</v>
      </c>
      <c r="AC18" s="41">
        <f t="shared" si="2"/>
        <v>8.5</v>
      </c>
      <c r="AE18" s="34">
        <f t="shared" si="18"/>
        <v>7</v>
      </c>
      <c r="AF18" s="34">
        <v>11774</v>
      </c>
      <c r="AG18" s="35">
        <f t="shared" si="20"/>
        <v>11.773999999999999</v>
      </c>
      <c r="AH18" s="35"/>
      <c r="AI18" s="35"/>
      <c r="AJ18" s="39">
        <v>2.7000000000000001E-3</v>
      </c>
      <c r="AK18" s="34">
        <f t="shared" si="21"/>
        <v>2.7</v>
      </c>
      <c r="AL18" s="34">
        <v>4855</v>
      </c>
      <c r="AM18" s="34">
        <f t="shared" si="19"/>
        <v>4.8550000000000004</v>
      </c>
      <c r="AN18" s="34">
        <f t="shared" si="22"/>
        <v>-0.38999999999999968</v>
      </c>
      <c r="AR18">
        <f t="shared" si="25"/>
        <v>6</v>
      </c>
      <c r="AU18">
        <f t="shared" si="23"/>
        <v>4.666666666666667</v>
      </c>
      <c r="AV18" s="34">
        <f t="shared" si="24"/>
        <v>-1.9666666666666668</v>
      </c>
    </row>
    <row r="19" spans="7:51" x14ac:dyDescent="0.25">
      <c r="G19">
        <f t="shared" si="3"/>
        <v>32.25</v>
      </c>
      <c r="H19">
        <f t="shared" si="4"/>
        <v>7.5</v>
      </c>
      <c r="I19">
        <f t="shared" si="5"/>
        <v>80.625</v>
      </c>
      <c r="J19">
        <f t="shared" si="6"/>
        <v>80625</v>
      </c>
      <c r="K19" s="1">
        <f t="shared" si="7"/>
        <v>60.46875</v>
      </c>
      <c r="L19" s="1">
        <f t="shared" si="8"/>
        <v>-21500</v>
      </c>
      <c r="M19" s="3">
        <f t="shared" si="9"/>
        <v>6.3653759012221185</v>
      </c>
      <c r="N19" s="3">
        <f t="shared" si="10"/>
        <v>14.333883510900179</v>
      </c>
      <c r="O19" s="22">
        <f t="shared" si="11"/>
        <v>1.4333883510900178E-2</v>
      </c>
      <c r="P19" s="3"/>
      <c r="R19">
        <f t="shared" si="12"/>
        <v>7.5</v>
      </c>
      <c r="S19">
        <f t="shared" si="13"/>
        <v>8.9583333333333339</v>
      </c>
      <c r="T19" s="23">
        <f t="shared" si="14"/>
        <v>8958.3333333333339</v>
      </c>
      <c r="U19" s="1">
        <f t="shared" si="15"/>
        <v>40.3125</v>
      </c>
      <c r="V19" s="1"/>
      <c r="W19" s="3">
        <f t="shared" si="0"/>
        <v>1.2730751802444238</v>
      </c>
      <c r="X19" s="3">
        <f t="shared" si="16"/>
        <v>2.2632447648789755</v>
      </c>
      <c r="Y19" s="2">
        <f t="shared" si="17"/>
        <v>2.2632447648789755E-3</v>
      </c>
      <c r="Z19" s="3"/>
      <c r="AB19" s="5">
        <f t="shared" si="1"/>
        <v>1.25</v>
      </c>
      <c r="AC19" s="6">
        <f t="shared" si="2"/>
        <v>8.75</v>
      </c>
      <c r="AE19">
        <f t="shared" si="18"/>
        <v>7.5</v>
      </c>
      <c r="AF19">
        <v>12744</v>
      </c>
      <c r="AG19" s="1">
        <f t="shared" si="20"/>
        <v>12.744</v>
      </c>
      <c r="AH19" s="1"/>
      <c r="AI19" s="1"/>
      <c r="AJ19" s="2">
        <v>3.3E-3</v>
      </c>
      <c r="AK19">
        <f t="shared" si="21"/>
        <v>3.3</v>
      </c>
      <c r="AL19">
        <v>5256</v>
      </c>
      <c r="AM19">
        <f t="shared" si="19"/>
        <v>5.2560000000000002</v>
      </c>
      <c r="AN19">
        <f t="shared" si="22"/>
        <v>0.20999999999999996</v>
      </c>
      <c r="AR19">
        <f t="shared" si="25"/>
        <v>5</v>
      </c>
      <c r="AU19">
        <f t="shared" si="23"/>
        <v>5</v>
      </c>
      <c r="AV19">
        <f t="shared" si="24"/>
        <v>-1.7000000000000002</v>
      </c>
    </row>
    <row r="20" spans="7:51" s="34" customFormat="1" x14ac:dyDescent="0.25">
      <c r="G20" s="34">
        <f t="shared" si="3"/>
        <v>34.4</v>
      </c>
      <c r="H20" s="34">
        <f t="shared" si="4"/>
        <v>8</v>
      </c>
      <c r="I20" s="34">
        <f t="shared" si="5"/>
        <v>68.8</v>
      </c>
      <c r="J20" s="34">
        <f t="shared" si="6"/>
        <v>68800</v>
      </c>
      <c r="K20" s="35">
        <f t="shared" si="7"/>
        <v>68.8</v>
      </c>
      <c r="L20" s="35">
        <f t="shared" si="8"/>
        <v>-25799.999999999996</v>
      </c>
      <c r="M20" s="36">
        <f t="shared" si="9"/>
        <v>8.2402227172838085</v>
      </c>
      <c r="N20" s="36">
        <f t="shared" si="10"/>
        <v>11.948322940061521</v>
      </c>
      <c r="O20" s="37">
        <f t="shared" si="11"/>
        <v>1.1948322940061521E-2</v>
      </c>
      <c r="P20" s="36"/>
      <c r="R20" s="34">
        <f t="shared" si="12"/>
        <v>8</v>
      </c>
      <c r="S20" s="34">
        <f t="shared" si="13"/>
        <v>-2.8666666666666667</v>
      </c>
      <c r="T20" s="38">
        <f t="shared" si="14"/>
        <v>-2866.6666666666665</v>
      </c>
      <c r="U20" s="35">
        <f t="shared" si="15"/>
        <v>45.866666666666667</v>
      </c>
      <c r="V20" s="35"/>
      <c r="W20" s="36">
        <f t="shared" si="0"/>
        <v>1.6480445434567614</v>
      </c>
      <c r="X20" s="36">
        <f t="shared" si="16"/>
        <v>1.6480445434567614</v>
      </c>
      <c r="Y20" s="39">
        <f t="shared" si="17"/>
        <v>1.6480445434567613E-3</v>
      </c>
      <c r="Z20" s="36"/>
      <c r="AB20" s="40">
        <f>AB21+0.25</f>
        <v>1</v>
      </c>
      <c r="AC20" s="41">
        <f>AC21-0.25</f>
        <v>9</v>
      </c>
      <c r="AE20" s="34">
        <f t="shared" si="18"/>
        <v>8</v>
      </c>
      <c r="AF20" s="34">
        <v>13867</v>
      </c>
      <c r="AG20" s="35">
        <f t="shared" si="20"/>
        <v>13.867000000000001</v>
      </c>
      <c r="AH20" s="35"/>
      <c r="AI20" s="35"/>
      <c r="AJ20" s="39">
        <v>3.9699999999999996E-3</v>
      </c>
      <c r="AK20" s="34">
        <f t="shared" si="21"/>
        <v>3.9699999999999998</v>
      </c>
      <c r="AL20" s="34">
        <v>5503</v>
      </c>
      <c r="AM20" s="34">
        <f t="shared" si="19"/>
        <v>5.5030000000000001</v>
      </c>
      <c r="AN20" s="34">
        <f t="shared" si="22"/>
        <v>0.87999999999999989</v>
      </c>
      <c r="AR20">
        <f t="shared" si="25"/>
        <v>4</v>
      </c>
      <c r="AU20">
        <f t="shared" si="23"/>
        <v>5.333333333333333</v>
      </c>
      <c r="AV20" s="34">
        <f t="shared" si="24"/>
        <v>-1.3633333333333333</v>
      </c>
    </row>
    <row r="21" spans="7:51" s="34" customFormat="1" x14ac:dyDescent="0.25">
      <c r="G21" s="34">
        <f t="shared" si="3"/>
        <v>36.549999999999997</v>
      </c>
      <c r="H21" s="34">
        <f t="shared" si="4"/>
        <v>8.5</v>
      </c>
      <c r="I21" s="34">
        <f t="shared" si="5"/>
        <v>54.824999999999996</v>
      </c>
      <c r="J21" s="34">
        <f t="shared" si="6"/>
        <v>54824.999999999993</v>
      </c>
      <c r="K21" s="35">
        <f t="shared" si="7"/>
        <v>77.668750000000003</v>
      </c>
      <c r="L21" s="35">
        <f t="shared" si="8"/>
        <v>-30099.999999999996</v>
      </c>
      <c r="M21" s="36">
        <f t="shared" si="9"/>
        <v>10.501581444858717</v>
      </c>
      <c r="N21" s="36">
        <f t="shared" si="10"/>
        <v>9.2545587265744551</v>
      </c>
      <c r="O21" s="37">
        <f t="shared" si="11"/>
        <v>9.2545587265744546E-3</v>
      </c>
      <c r="P21" s="36"/>
      <c r="R21" s="34">
        <f t="shared" si="12"/>
        <v>8.5</v>
      </c>
      <c r="S21" s="34">
        <f t="shared" si="13"/>
        <v>-16.841666666666669</v>
      </c>
      <c r="T21" s="38">
        <f t="shared" si="14"/>
        <v>-16841.666666666668</v>
      </c>
      <c r="U21" s="35">
        <f t="shared" si="15"/>
        <v>51.779166666666669</v>
      </c>
      <c r="V21" s="35"/>
      <c r="W21" s="36">
        <f t="shared" si="0"/>
        <v>2.1003162889717433</v>
      </c>
      <c r="X21" s="36">
        <f t="shared" si="16"/>
        <v>1.0465243792800383</v>
      </c>
      <c r="Y21" s="39">
        <f t="shared" si="17"/>
        <v>1.0465243792800382E-3</v>
      </c>
      <c r="Z21" s="36"/>
      <c r="AB21" s="40">
        <v>0.75</v>
      </c>
      <c r="AC21" s="41">
        <v>9.25</v>
      </c>
      <c r="AE21" s="34">
        <f t="shared" si="18"/>
        <v>8.5</v>
      </c>
      <c r="AF21" s="34">
        <v>14940</v>
      </c>
      <c r="AG21" s="35">
        <f t="shared" si="20"/>
        <v>14.94</v>
      </c>
      <c r="AH21" s="35"/>
      <c r="AI21" s="35"/>
      <c r="AJ21" s="39">
        <v>6.1900000000000002E-3</v>
      </c>
      <c r="AK21" s="34">
        <f t="shared" si="21"/>
        <v>6.19</v>
      </c>
      <c r="AL21" s="34">
        <v>5901</v>
      </c>
      <c r="AM21" s="34">
        <f t="shared" si="19"/>
        <v>5.9009999999999998</v>
      </c>
      <c r="AN21" s="34">
        <f t="shared" si="22"/>
        <v>3.1000000000000005</v>
      </c>
      <c r="AR21">
        <f t="shared" si="25"/>
        <v>3</v>
      </c>
      <c r="AU21">
        <f t="shared" si="23"/>
        <v>5.666666666666667</v>
      </c>
      <c r="AV21">
        <f t="shared" si="24"/>
        <v>0.52333333333333343</v>
      </c>
    </row>
    <row r="22" spans="7:51" x14ac:dyDescent="0.25">
      <c r="G22">
        <f t="shared" si="3"/>
        <v>38.699999999999996</v>
      </c>
      <c r="H22">
        <f t="shared" si="4"/>
        <v>9</v>
      </c>
      <c r="I22">
        <f t="shared" si="5"/>
        <v>38.699999999999996</v>
      </c>
      <c r="J22">
        <f t="shared" si="6"/>
        <v>38699.999999999993</v>
      </c>
      <c r="K22" s="1">
        <f t="shared" si="7"/>
        <v>87.075000000000003</v>
      </c>
      <c r="L22" s="1">
        <f t="shared" si="8"/>
        <v>-34400</v>
      </c>
      <c r="M22" s="3">
        <f t="shared" si="9"/>
        <v>13.199243468774185</v>
      </c>
      <c r="N22" s="3">
        <f t="shared" si="10"/>
        <v>6.3153581919182926</v>
      </c>
      <c r="O22" s="22">
        <f t="shared" si="11"/>
        <v>6.315358191918293E-3</v>
      </c>
      <c r="P22" s="3"/>
      <c r="R22">
        <f t="shared" si="12"/>
        <v>9</v>
      </c>
      <c r="S22">
        <f t="shared" si="13"/>
        <v>-32.966666666666669</v>
      </c>
      <c r="T22" s="23">
        <f t="shared" si="14"/>
        <v>-32966.666666666672</v>
      </c>
      <c r="U22" s="1">
        <f t="shared" si="15"/>
        <v>58.050000000000004</v>
      </c>
      <c r="V22" s="1"/>
      <c r="W22" s="3">
        <f t="shared" si="0"/>
        <v>2.6398486937548369</v>
      </c>
      <c r="X22" s="3">
        <f t="shared" si="16"/>
        <v>0.52145159382811601</v>
      </c>
      <c r="Y22" s="2">
        <f t="shared" si="17"/>
        <v>5.2145159382811605E-4</v>
      </c>
      <c r="Z22" s="3"/>
      <c r="AB22" s="5">
        <v>0.5</v>
      </c>
      <c r="AC22" s="6">
        <v>9.5</v>
      </c>
      <c r="AE22">
        <f t="shared" si="18"/>
        <v>9</v>
      </c>
      <c r="AF22">
        <v>16182</v>
      </c>
      <c r="AG22" s="1">
        <f t="shared" si="20"/>
        <v>16.181999999999999</v>
      </c>
      <c r="AH22" s="1"/>
      <c r="AI22" s="1"/>
      <c r="AJ22" s="2">
        <v>8.2000000000000007E-3</v>
      </c>
      <c r="AK22">
        <f t="shared" si="21"/>
        <v>8.2000000000000011</v>
      </c>
      <c r="AL22">
        <v>6149</v>
      </c>
      <c r="AM22">
        <f t="shared" si="19"/>
        <v>6.149</v>
      </c>
      <c r="AN22">
        <f t="shared" si="22"/>
        <v>5.1100000000000012</v>
      </c>
      <c r="AR22">
        <f t="shared" si="25"/>
        <v>2</v>
      </c>
      <c r="AU22">
        <f t="shared" si="23"/>
        <v>6</v>
      </c>
      <c r="AV22">
        <f t="shared" si="24"/>
        <v>2.2000000000000011</v>
      </c>
    </row>
    <row r="23" spans="7:51" x14ac:dyDescent="0.25">
      <c r="G23">
        <f t="shared" si="3"/>
        <v>40.85</v>
      </c>
      <c r="H23">
        <f t="shared" si="4"/>
        <v>9.5</v>
      </c>
      <c r="I23">
        <f t="shared" si="5"/>
        <v>20.425000000000001</v>
      </c>
      <c r="J23">
        <f t="shared" si="6"/>
        <v>20425</v>
      </c>
      <c r="K23" s="1">
        <f t="shared" si="7"/>
        <v>97.018749999999997</v>
      </c>
      <c r="L23" s="1">
        <f t="shared" si="8"/>
        <v>-38699.999999999993</v>
      </c>
      <c r="M23" s="3">
        <f t="shared" si="9"/>
        <v>16.386017833544052</v>
      </c>
      <c r="N23" s="3">
        <f t="shared" si="10"/>
        <v>3.2031451685691601</v>
      </c>
      <c r="O23" s="22">
        <f t="shared" si="11"/>
        <v>3.2031451685691601E-3</v>
      </c>
      <c r="P23" s="3"/>
      <c r="R23">
        <f t="shared" si="12"/>
        <v>9.5</v>
      </c>
      <c r="S23">
        <f t="shared" si="13"/>
        <v>-51.241666666666667</v>
      </c>
      <c r="T23" s="23">
        <f t="shared" si="14"/>
        <v>-51241.666666666664</v>
      </c>
      <c r="U23" s="1">
        <f t="shared" si="15"/>
        <v>64.67916666666666</v>
      </c>
      <c r="V23" s="1"/>
      <c r="W23" s="3">
        <f t="shared" si="0"/>
        <v>3.2772035667088102</v>
      </c>
      <c r="X23" s="3">
        <f t="shared" si="16"/>
        <v>0.1452500195771218</v>
      </c>
      <c r="Y23" s="2">
        <f t="shared" si="17"/>
        <v>1.452500195771218E-4</v>
      </c>
      <c r="Z23" s="3"/>
      <c r="AB23" s="5">
        <v>0.25</v>
      </c>
      <c r="AC23" s="6">
        <v>9.75</v>
      </c>
      <c r="AE23">
        <f>AC23-AB23</f>
        <v>9.5</v>
      </c>
      <c r="AG23" s="1">
        <f t="shared" si="20"/>
        <v>0</v>
      </c>
      <c r="AI23" s="1"/>
      <c r="AJ23" s="2"/>
    </row>
    <row r="24" spans="7:51" ht="15.75" thickBot="1" x14ac:dyDescent="0.3">
      <c r="G24">
        <f t="shared" si="3"/>
        <v>43</v>
      </c>
      <c r="H24">
        <f t="shared" si="4"/>
        <v>10</v>
      </c>
      <c r="I24">
        <f t="shared" si="5"/>
        <v>0</v>
      </c>
      <c r="J24">
        <f t="shared" si="6"/>
        <v>0</v>
      </c>
      <c r="K24" s="1">
        <f t="shared" si="7"/>
        <v>107.5</v>
      </c>
      <c r="L24" s="1">
        <f t="shared" si="8"/>
        <v>-43000</v>
      </c>
      <c r="M24" s="3">
        <f>(5*$C$2*H24^4)/(384*$C$3*$C$7)</f>
        <v>20.11773124336867</v>
      </c>
      <c r="N24" s="3">
        <f t="shared" si="10"/>
        <v>0</v>
      </c>
      <c r="O24" s="22">
        <f t="shared" si="11"/>
        <v>0</v>
      </c>
      <c r="P24" s="3"/>
      <c r="R24">
        <f t="shared" si="12"/>
        <v>10</v>
      </c>
      <c r="S24">
        <f t="shared" si="13"/>
        <v>-71.666666666666671</v>
      </c>
      <c r="T24" s="23">
        <f t="shared" si="14"/>
        <v>-71666.666666666672</v>
      </c>
      <c r="U24" s="1">
        <f t="shared" si="15"/>
        <v>71.666666666666671</v>
      </c>
      <c r="V24" s="1"/>
      <c r="W24" s="3">
        <f t="shared" si="0"/>
        <v>4.0235462486737346</v>
      </c>
      <c r="X24" s="3">
        <f t="shared" si="16"/>
        <v>0</v>
      </c>
      <c r="Y24" s="2">
        <f t="shared" si="17"/>
        <v>0</v>
      </c>
      <c r="Z24" s="3"/>
      <c r="AB24" s="7">
        <v>0</v>
      </c>
      <c r="AC24" s="8">
        <v>10</v>
      </c>
      <c r="AE24">
        <f t="shared" si="18"/>
        <v>10</v>
      </c>
      <c r="AG24" s="1"/>
      <c r="AH24" s="1"/>
      <c r="AI24" s="1"/>
      <c r="AJ24" s="2"/>
    </row>
    <row r="25" spans="7:51" ht="15.75" thickBot="1" x14ac:dyDescent="0.3">
      <c r="AB25" s="56" t="s">
        <v>59</v>
      </c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 t="s">
        <v>60</v>
      </c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</row>
    <row r="26" spans="7:51" ht="15.75" thickBot="1" x14ac:dyDescent="0.3">
      <c r="AB26" s="9" t="s">
        <v>12</v>
      </c>
      <c r="AC26" s="10" t="s">
        <v>13</v>
      </c>
      <c r="AE26" t="s">
        <v>1</v>
      </c>
      <c r="AF26" s="33" t="s">
        <v>57</v>
      </c>
      <c r="AG26" t="s">
        <v>14</v>
      </c>
      <c r="AH26" t="s">
        <v>15</v>
      </c>
      <c r="AJ26" s="33" t="s">
        <v>9</v>
      </c>
      <c r="AK26" t="s">
        <v>20</v>
      </c>
      <c r="AL26" s="33" t="s">
        <v>55</v>
      </c>
      <c r="AM26" t="s">
        <v>56</v>
      </c>
      <c r="AN26" s="9" t="s">
        <v>12</v>
      </c>
      <c r="AO26" s="10" t="s">
        <v>13</v>
      </c>
      <c r="AQ26" t="s">
        <v>1</v>
      </c>
      <c r="AR26" s="33" t="s">
        <v>57</v>
      </c>
      <c r="AS26" t="s">
        <v>14</v>
      </c>
      <c r="AT26" t="s">
        <v>15</v>
      </c>
      <c r="AV26" s="33" t="s">
        <v>9</v>
      </c>
      <c r="AW26" t="s">
        <v>20</v>
      </c>
      <c r="AX26" s="33" t="s">
        <v>55</v>
      </c>
      <c r="AY26" t="s">
        <v>56</v>
      </c>
    </row>
    <row r="27" spans="7:51" ht="15.75" thickTop="1" x14ac:dyDescent="0.25">
      <c r="AB27" s="5">
        <f t="shared" ref="AB27:AB42" si="26">AB28+0.25</f>
        <v>5</v>
      </c>
      <c r="AC27" s="6">
        <f t="shared" ref="AC27:AC42" si="27">AC28-0.25</f>
        <v>5</v>
      </c>
      <c r="AE27">
        <f>AC27-AB27</f>
        <v>0</v>
      </c>
      <c r="AG27" s="1"/>
      <c r="AH27" s="1"/>
      <c r="AI27" s="1"/>
      <c r="AJ27" s="2"/>
      <c r="AM27">
        <f>AL27/1000</f>
        <v>0</v>
      </c>
      <c r="AN27" s="5">
        <f t="shared" ref="AN27:AN42" si="28">AN28+0.25</f>
        <v>5</v>
      </c>
      <c r="AO27" s="6">
        <f t="shared" ref="AO27:AO42" si="29">AO28-0.25</f>
        <v>5</v>
      </c>
      <c r="AQ27">
        <f>AO27-AN27</f>
        <v>0</v>
      </c>
      <c r="AS27" s="1"/>
      <c r="AT27" s="1"/>
      <c r="AU27" s="1"/>
      <c r="AV27" s="2"/>
      <c r="AY27">
        <f>AX27/1000</f>
        <v>0</v>
      </c>
    </row>
    <row r="28" spans="7:51" x14ac:dyDescent="0.25">
      <c r="AB28" s="5">
        <f t="shared" si="26"/>
        <v>4.75</v>
      </c>
      <c r="AC28" s="6">
        <f t="shared" si="27"/>
        <v>5.25</v>
      </c>
      <c r="AE28">
        <f t="shared" ref="AE28:AE45" si="30">AC28-AB28</f>
        <v>0.5</v>
      </c>
      <c r="AF28">
        <v>2915</v>
      </c>
      <c r="AG28" s="1">
        <f>AF28/1000</f>
        <v>2.915</v>
      </c>
      <c r="AH28" s="1"/>
      <c r="AI28" s="1"/>
      <c r="AJ28" s="2">
        <v>1.1999999999999999E-3</v>
      </c>
      <c r="AK28">
        <f>AJ28*1000</f>
        <v>1.2</v>
      </c>
      <c r="AL28">
        <v>2068</v>
      </c>
      <c r="AM28">
        <f t="shared" ref="AM28:AM46" si="31">AL28/1000</f>
        <v>2.0680000000000001</v>
      </c>
      <c r="AN28" s="5">
        <f t="shared" si="28"/>
        <v>4.75</v>
      </c>
      <c r="AO28" s="6">
        <f t="shared" si="29"/>
        <v>5.25</v>
      </c>
      <c r="AQ28">
        <f t="shared" ref="AQ28:AQ45" si="32">AO28-AN28</f>
        <v>0.5</v>
      </c>
      <c r="AR28">
        <v>2915</v>
      </c>
      <c r="AS28" s="1">
        <f>AR28/1000</f>
        <v>2.915</v>
      </c>
      <c r="AT28" s="1"/>
      <c r="AU28" s="1"/>
      <c r="AV28" s="2">
        <v>1.1999999999999999E-3</v>
      </c>
      <c r="AW28">
        <f>AV28*1000</f>
        <v>1.2</v>
      </c>
      <c r="AX28">
        <v>2068</v>
      </c>
      <c r="AY28">
        <f t="shared" ref="AY28:AY46" si="33">AX28/1000</f>
        <v>2.0680000000000001</v>
      </c>
    </row>
    <row r="29" spans="7:51" x14ac:dyDescent="0.25">
      <c r="AB29" s="5">
        <f t="shared" si="26"/>
        <v>4.5</v>
      </c>
      <c r="AC29" s="6">
        <f t="shared" si="27"/>
        <v>5.5</v>
      </c>
      <c r="AE29">
        <f t="shared" si="30"/>
        <v>1</v>
      </c>
      <c r="AF29">
        <v>4064</v>
      </c>
      <c r="AG29" s="1">
        <f t="shared" ref="AG29:AG46" si="34">AF29/1000</f>
        <v>4.0640000000000001</v>
      </c>
      <c r="AH29" s="1"/>
      <c r="AI29" s="1"/>
      <c r="AJ29" s="2">
        <v>1.34E-3</v>
      </c>
      <c r="AK29">
        <f t="shared" ref="AK29:AK46" si="35">AJ29*1000</f>
        <v>1.34</v>
      </c>
      <c r="AL29">
        <v>2704</v>
      </c>
      <c r="AM29">
        <f t="shared" si="31"/>
        <v>2.7040000000000002</v>
      </c>
      <c r="AN29" s="5">
        <f t="shared" si="28"/>
        <v>4.5</v>
      </c>
      <c r="AO29" s="6">
        <f t="shared" si="29"/>
        <v>5.5</v>
      </c>
      <c r="AQ29">
        <f t="shared" si="32"/>
        <v>1</v>
      </c>
      <c r="AR29">
        <v>4064</v>
      </c>
      <c r="AS29" s="1">
        <f t="shared" ref="AS29:AS46" si="36">AR29/1000</f>
        <v>4.0640000000000001</v>
      </c>
      <c r="AT29" s="1"/>
      <c r="AU29" s="1"/>
      <c r="AV29" s="2">
        <v>1.34E-3</v>
      </c>
      <c r="AW29">
        <f t="shared" ref="AW29:AW46" si="37">AV29*1000</f>
        <v>1.34</v>
      </c>
      <c r="AX29">
        <v>2704</v>
      </c>
      <c r="AY29">
        <f t="shared" si="33"/>
        <v>2.7040000000000002</v>
      </c>
    </row>
    <row r="30" spans="7:51" x14ac:dyDescent="0.25">
      <c r="AB30" s="5">
        <f t="shared" si="26"/>
        <v>4.25</v>
      </c>
      <c r="AC30" s="6">
        <f t="shared" si="27"/>
        <v>5.75</v>
      </c>
      <c r="AE30">
        <f t="shared" si="30"/>
        <v>1.5</v>
      </c>
      <c r="AF30">
        <v>4765</v>
      </c>
      <c r="AG30" s="1">
        <f t="shared" si="34"/>
        <v>4.7649999999999997</v>
      </c>
      <c r="AH30" s="1"/>
      <c r="AI30" s="1"/>
      <c r="AJ30" s="2">
        <v>1.4400000000000001E-3</v>
      </c>
      <c r="AK30">
        <f t="shared" si="35"/>
        <v>1.4400000000000002</v>
      </c>
      <c r="AL30">
        <v>3185</v>
      </c>
      <c r="AM30">
        <f t="shared" si="31"/>
        <v>3.1850000000000001</v>
      </c>
      <c r="AN30" s="5">
        <f t="shared" si="28"/>
        <v>4.25</v>
      </c>
      <c r="AO30" s="6">
        <f t="shared" si="29"/>
        <v>5.75</v>
      </c>
      <c r="AQ30">
        <f t="shared" si="32"/>
        <v>1.5</v>
      </c>
      <c r="AR30">
        <v>4765</v>
      </c>
      <c r="AS30" s="1">
        <f t="shared" si="36"/>
        <v>4.7649999999999997</v>
      </c>
      <c r="AT30" s="1"/>
      <c r="AU30" s="1"/>
      <c r="AV30" s="2">
        <v>1.4400000000000001E-3</v>
      </c>
      <c r="AW30">
        <f t="shared" si="37"/>
        <v>1.4400000000000002</v>
      </c>
      <c r="AX30">
        <v>3185</v>
      </c>
      <c r="AY30">
        <f t="shared" si="33"/>
        <v>3.1850000000000001</v>
      </c>
    </row>
    <row r="31" spans="7:51" x14ac:dyDescent="0.25">
      <c r="AB31" s="5">
        <f t="shared" si="26"/>
        <v>4</v>
      </c>
      <c r="AC31" s="6">
        <f t="shared" si="27"/>
        <v>6</v>
      </c>
      <c r="AE31">
        <f t="shared" si="30"/>
        <v>2</v>
      </c>
      <c r="AF31">
        <v>5430</v>
      </c>
      <c r="AG31" s="1">
        <f t="shared" si="34"/>
        <v>5.43</v>
      </c>
      <c r="AH31" s="1"/>
      <c r="AI31" s="1"/>
      <c r="AJ31" s="2">
        <v>1.5E-3</v>
      </c>
      <c r="AK31">
        <f t="shared" si="35"/>
        <v>1.5</v>
      </c>
      <c r="AL31">
        <v>3421</v>
      </c>
      <c r="AM31">
        <f t="shared" si="31"/>
        <v>3.4209999999999998</v>
      </c>
      <c r="AN31" s="5">
        <f t="shared" si="28"/>
        <v>4</v>
      </c>
      <c r="AO31" s="6">
        <f t="shared" si="29"/>
        <v>6</v>
      </c>
      <c r="AQ31">
        <f t="shared" si="32"/>
        <v>2</v>
      </c>
      <c r="AR31">
        <v>5430</v>
      </c>
      <c r="AS31" s="1">
        <f t="shared" si="36"/>
        <v>5.43</v>
      </c>
      <c r="AT31" s="1"/>
      <c r="AU31" s="1"/>
      <c r="AV31" s="2">
        <v>1.5E-3</v>
      </c>
      <c r="AW31">
        <f t="shared" si="37"/>
        <v>1.5</v>
      </c>
      <c r="AX31">
        <v>3421</v>
      </c>
      <c r="AY31">
        <f t="shared" si="33"/>
        <v>3.4209999999999998</v>
      </c>
    </row>
    <row r="32" spans="7:51" x14ac:dyDescent="0.25">
      <c r="AB32" s="5">
        <f t="shared" si="26"/>
        <v>3.75</v>
      </c>
      <c r="AC32" s="6">
        <f t="shared" si="27"/>
        <v>6.25</v>
      </c>
      <c r="AE32">
        <f t="shared" si="30"/>
        <v>2.5</v>
      </c>
      <c r="AF32">
        <v>5761</v>
      </c>
      <c r="AG32" s="1">
        <f t="shared" si="34"/>
        <v>5.7610000000000001</v>
      </c>
      <c r="AH32" s="1"/>
      <c r="AI32" s="1"/>
      <c r="AJ32" s="2">
        <v>1.6000000000000001E-3</v>
      </c>
      <c r="AK32">
        <f t="shared" si="35"/>
        <v>1.6</v>
      </c>
      <c r="AL32">
        <v>3594</v>
      </c>
      <c r="AM32">
        <f t="shared" si="31"/>
        <v>3.5939999999999999</v>
      </c>
      <c r="AN32" s="5">
        <f t="shared" si="28"/>
        <v>3.75</v>
      </c>
      <c r="AO32" s="6">
        <f t="shared" si="29"/>
        <v>6.25</v>
      </c>
      <c r="AQ32">
        <f t="shared" si="32"/>
        <v>2.5</v>
      </c>
      <c r="AR32">
        <v>5761</v>
      </c>
      <c r="AS32" s="1">
        <f t="shared" si="36"/>
        <v>5.7610000000000001</v>
      </c>
      <c r="AT32" s="1"/>
      <c r="AU32" s="1"/>
      <c r="AV32" s="2">
        <v>1.6000000000000001E-3</v>
      </c>
      <c r="AW32">
        <f t="shared" si="37"/>
        <v>1.6</v>
      </c>
      <c r="AX32">
        <v>3594</v>
      </c>
      <c r="AY32">
        <f t="shared" si="33"/>
        <v>3.5939999999999999</v>
      </c>
    </row>
    <row r="33" spans="7:51" x14ac:dyDescent="0.25">
      <c r="AB33" s="13">
        <f t="shared" si="26"/>
        <v>3.5</v>
      </c>
      <c r="AC33" s="14">
        <f t="shared" si="27"/>
        <v>6.5</v>
      </c>
      <c r="AD33" s="11"/>
      <c r="AE33" s="11">
        <f t="shared" si="30"/>
        <v>3</v>
      </c>
      <c r="AF33" s="11">
        <v>6045</v>
      </c>
      <c r="AG33" s="1">
        <f t="shared" si="34"/>
        <v>6.0449999999999999</v>
      </c>
      <c r="AH33" s="12"/>
      <c r="AI33" s="12"/>
      <c r="AJ33" s="15">
        <v>1.7099999999999999E-3</v>
      </c>
      <c r="AK33" s="11">
        <f t="shared" si="35"/>
        <v>1.71</v>
      </c>
      <c r="AL33" s="11">
        <v>3578</v>
      </c>
      <c r="AM33">
        <f t="shared" si="31"/>
        <v>3.5779999999999998</v>
      </c>
      <c r="AN33" s="13">
        <f t="shared" si="28"/>
        <v>3.5</v>
      </c>
      <c r="AO33" s="14">
        <f t="shared" si="29"/>
        <v>6.5</v>
      </c>
      <c r="AP33" s="11"/>
      <c r="AQ33" s="11">
        <f t="shared" si="32"/>
        <v>3</v>
      </c>
      <c r="AR33" s="11">
        <v>6045</v>
      </c>
      <c r="AS33" s="1">
        <f t="shared" si="36"/>
        <v>6.0449999999999999</v>
      </c>
      <c r="AT33" s="12"/>
      <c r="AU33" s="12"/>
      <c r="AV33" s="15">
        <v>1.7099999999999999E-3</v>
      </c>
      <c r="AW33" s="11">
        <f t="shared" si="37"/>
        <v>1.71</v>
      </c>
      <c r="AX33" s="11">
        <v>3578</v>
      </c>
      <c r="AY33">
        <f t="shared" si="33"/>
        <v>3.5779999999999998</v>
      </c>
    </row>
    <row r="34" spans="7:51" x14ac:dyDescent="0.25">
      <c r="AB34" s="5">
        <f t="shared" si="26"/>
        <v>3.25</v>
      </c>
      <c r="AC34" s="6">
        <f t="shared" si="27"/>
        <v>6.75</v>
      </c>
      <c r="AE34">
        <f t="shared" si="30"/>
        <v>3.5</v>
      </c>
      <c r="AF34">
        <v>6085</v>
      </c>
      <c r="AG34" s="1">
        <f t="shared" si="34"/>
        <v>6.085</v>
      </c>
      <c r="AH34" s="1"/>
      <c r="AI34" s="1"/>
      <c r="AJ34" s="2">
        <v>1.7799999999999999E-3</v>
      </c>
      <c r="AK34">
        <f t="shared" si="35"/>
        <v>1.7799999999999998</v>
      </c>
      <c r="AL34">
        <v>3564</v>
      </c>
      <c r="AM34">
        <f t="shared" si="31"/>
        <v>3.5640000000000001</v>
      </c>
      <c r="AN34" s="5">
        <f t="shared" si="28"/>
        <v>3.25</v>
      </c>
      <c r="AO34" s="6">
        <f t="shared" si="29"/>
        <v>6.75</v>
      </c>
      <c r="AQ34">
        <f t="shared" si="32"/>
        <v>3.5</v>
      </c>
      <c r="AR34">
        <v>6085</v>
      </c>
      <c r="AS34" s="1">
        <f t="shared" si="36"/>
        <v>6.085</v>
      </c>
      <c r="AT34" s="1"/>
      <c r="AU34" s="1"/>
      <c r="AV34" s="2">
        <v>1.7799999999999999E-3</v>
      </c>
      <c r="AW34">
        <f t="shared" si="37"/>
        <v>1.7799999999999998</v>
      </c>
      <c r="AX34">
        <v>3564</v>
      </c>
      <c r="AY34">
        <f t="shared" si="33"/>
        <v>3.5640000000000001</v>
      </c>
    </row>
    <row r="35" spans="7:51" x14ac:dyDescent="0.25">
      <c r="AB35" s="5">
        <f t="shared" si="26"/>
        <v>3</v>
      </c>
      <c r="AC35" s="6">
        <f t="shared" si="27"/>
        <v>7</v>
      </c>
      <c r="AE35">
        <f t="shared" si="30"/>
        <v>4</v>
      </c>
      <c r="AF35">
        <v>6079</v>
      </c>
      <c r="AG35" s="1">
        <f t="shared" si="34"/>
        <v>6.0789999999999997</v>
      </c>
      <c r="AH35" s="1"/>
      <c r="AI35" s="1"/>
      <c r="AJ35" s="2">
        <v>1.8400000000000001E-3</v>
      </c>
      <c r="AK35">
        <f t="shared" si="35"/>
        <v>1.84</v>
      </c>
      <c r="AL35">
        <v>3431</v>
      </c>
      <c r="AM35">
        <f t="shared" si="31"/>
        <v>3.431</v>
      </c>
      <c r="AN35" s="5">
        <f t="shared" si="28"/>
        <v>3</v>
      </c>
      <c r="AO35" s="6">
        <f t="shared" si="29"/>
        <v>7</v>
      </c>
      <c r="AQ35">
        <f t="shared" si="32"/>
        <v>4</v>
      </c>
      <c r="AR35">
        <v>6079</v>
      </c>
      <c r="AS35" s="1">
        <f t="shared" si="36"/>
        <v>6.0789999999999997</v>
      </c>
      <c r="AT35" s="1"/>
      <c r="AU35" s="1"/>
      <c r="AV35" s="2">
        <v>1.8400000000000001E-3</v>
      </c>
      <c r="AW35">
        <f t="shared" si="37"/>
        <v>1.84</v>
      </c>
      <c r="AX35">
        <v>3431</v>
      </c>
      <c r="AY35">
        <f t="shared" si="33"/>
        <v>3.431</v>
      </c>
    </row>
    <row r="36" spans="7:51" x14ac:dyDescent="0.25">
      <c r="AB36" s="5">
        <f t="shared" si="26"/>
        <v>2.75</v>
      </c>
      <c r="AC36" s="6">
        <f t="shared" si="27"/>
        <v>7.25</v>
      </c>
      <c r="AE36">
        <f t="shared" si="30"/>
        <v>4.5</v>
      </c>
      <c r="AF36">
        <v>5889</v>
      </c>
      <c r="AG36" s="1">
        <f t="shared" si="34"/>
        <v>5.8890000000000002</v>
      </c>
      <c r="AH36" s="1"/>
      <c r="AI36" s="1"/>
      <c r="AJ36" s="2">
        <v>1.9E-3</v>
      </c>
      <c r="AK36">
        <f t="shared" si="35"/>
        <v>1.9</v>
      </c>
      <c r="AL36">
        <v>3329</v>
      </c>
      <c r="AM36">
        <f t="shared" si="31"/>
        <v>3.3290000000000002</v>
      </c>
      <c r="AN36" s="5">
        <f t="shared" si="28"/>
        <v>2.75</v>
      </c>
      <c r="AO36" s="6">
        <f t="shared" si="29"/>
        <v>7.25</v>
      </c>
      <c r="AQ36">
        <f t="shared" si="32"/>
        <v>4.5</v>
      </c>
      <c r="AR36">
        <v>5889</v>
      </c>
      <c r="AS36" s="1">
        <f t="shared" si="36"/>
        <v>5.8890000000000002</v>
      </c>
      <c r="AT36" s="1"/>
      <c r="AU36" s="1"/>
      <c r="AV36" s="2">
        <v>1.9E-3</v>
      </c>
      <c r="AW36">
        <f t="shared" si="37"/>
        <v>1.9</v>
      </c>
      <c r="AX36">
        <v>3329</v>
      </c>
      <c r="AY36">
        <f t="shared" si="33"/>
        <v>3.3290000000000002</v>
      </c>
    </row>
    <row r="37" spans="7:51" x14ac:dyDescent="0.25">
      <c r="AB37" s="5">
        <f t="shared" si="26"/>
        <v>2.5</v>
      </c>
      <c r="AC37" s="6">
        <f t="shared" si="27"/>
        <v>7.5</v>
      </c>
      <c r="AE37">
        <f t="shared" si="30"/>
        <v>5</v>
      </c>
      <c r="AF37">
        <v>5670</v>
      </c>
      <c r="AG37" s="1">
        <f t="shared" si="34"/>
        <v>5.67</v>
      </c>
      <c r="AH37" s="1"/>
      <c r="AI37" s="1"/>
      <c r="AJ37" s="2">
        <v>1.954E-3</v>
      </c>
      <c r="AK37">
        <f t="shared" si="35"/>
        <v>1.954</v>
      </c>
      <c r="AL37">
        <v>3180</v>
      </c>
      <c r="AM37">
        <f t="shared" si="31"/>
        <v>3.18</v>
      </c>
      <c r="AN37" s="5">
        <f t="shared" si="28"/>
        <v>2.5</v>
      </c>
      <c r="AO37" s="6">
        <f t="shared" si="29"/>
        <v>7.5</v>
      </c>
      <c r="AQ37">
        <f t="shared" si="32"/>
        <v>5</v>
      </c>
      <c r="AR37">
        <v>5670</v>
      </c>
      <c r="AS37" s="1">
        <f t="shared" si="36"/>
        <v>5.67</v>
      </c>
      <c r="AT37" s="1"/>
      <c r="AU37" s="1"/>
      <c r="AV37" s="2">
        <v>1.954E-3</v>
      </c>
      <c r="AW37">
        <f t="shared" si="37"/>
        <v>1.954</v>
      </c>
      <c r="AX37">
        <v>3180</v>
      </c>
      <c r="AY37">
        <f t="shared" si="33"/>
        <v>3.18</v>
      </c>
    </row>
    <row r="38" spans="7:51" x14ac:dyDescent="0.25">
      <c r="AB38" s="5">
        <f t="shared" si="26"/>
        <v>2.25</v>
      </c>
      <c r="AC38" s="6">
        <f t="shared" si="27"/>
        <v>7.75</v>
      </c>
      <c r="AE38">
        <f t="shared" si="30"/>
        <v>5.5</v>
      </c>
      <c r="AF38">
        <v>5295</v>
      </c>
      <c r="AG38" s="1">
        <f t="shared" si="34"/>
        <v>5.2949999999999999</v>
      </c>
      <c r="AH38" s="1"/>
      <c r="AI38" s="1"/>
      <c r="AJ38" s="2">
        <v>1.99E-3</v>
      </c>
      <c r="AK38">
        <f t="shared" si="35"/>
        <v>1.99</v>
      </c>
      <c r="AL38">
        <v>3057</v>
      </c>
      <c r="AM38">
        <f t="shared" si="31"/>
        <v>3.0569999999999999</v>
      </c>
      <c r="AN38" s="5">
        <f t="shared" si="28"/>
        <v>2.25</v>
      </c>
      <c r="AO38" s="6">
        <f t="shared" si="29"/>
        <v>7.75</v>
      </c>
      <c r="AQ38">
        <f t="shared" si="32"/>
        <v>5.5</v>
      </c>
      <c r="AR38">
        <v>5295</v>
      </c>
      <c r="AS38" s="1">
        <f t="shared" si="36"/>
        <v>5.2949999999999999</v>
      </c>
      <c r="AT38" s="1"/>
      <c r="AU38" s="1"/>
      <c r="AV38" s="2">
        <v>1.99E-3</v>
      </c>
      <c r="AW38">
        <f t="shared" si="37"/>
        <v>1.99</v>
      </c>
      <c r="AX38">
        <v>3057</v>
      </c>
      <c r="AY38">
        <f t="shared" si="33"/>
        <v>3.0569999999999999</v>
      </c>
    </row>
    <row r="39" spans="7:51" x14ac:dyDescent="0.25">
      <c r="AB39" s="5">
        <f t="shared" si="26"/>
        <v>2</v>
      </c>
      <c r="AC39" s="6">
        <f t="shared" si="27"/>
        <v>8</v>
      </c>
      <c r="AE39">
        <f t="shared" si="30"/>
        <v>6</v>
      </c>
      <c r="AF39">
        <v>4921</v>
      </c>
      <c r="AG39" s="1">
        <f t="shared" si="34"/>
        <v>4.9210000000000003</v>
      </c>
      <c r="AH39" s="1"/>
      <c r="AI39" s="1"/>
      <c r="AJ39" s="2">
        <v>2.0300000000000001E-3</v>
      </c>
      <c r="AK39">
        <f t="shared" si="35"/>
        <v>2.0300000000000002</v>
      </c>
      <c r="AL39">
        <v>2939</v>
      </c>
      <c r="AM39">
        <f t="shared" si="31"/>
        <v>2.9390000000000001</v>
      </c>
      <c r="AN39" s="5">
        <f t="shared" si="28"/>
        <v>2</v>
      </c>
      <c r="AO39" s="6">
        <f t="shared" si="29"/>
        <v>8</v>
      </c>
      <c r="AQ39">
        <f t="shared" si="32"/>
        <v>6</v>
      </c>
      <c r="AR39">
        <v>4921</v>
      </c>
      <c r="AS39" s="1">
        <f t="shared" si="36"/>
        <v>4.9210000000000003</v>
      </c>
      <c r="AT39" s="1"/>
      <c r="AU39" s="1"/>
      <c r="AV39" s="2">
        <v>2.0300000000000001E-3</v>
      </c>
      <c r="AW39">
        <f t="shared" si="37"/>
        <v>2.0300000000000002</v>
      </c>
      <c r="AX39">
        <v>2939</v>
      </c>
      <c r="AY39">
        <f t="shared" si="33"/>
        <v>2.9390000000000001</v>
      </c>
    </row>
    <row r="40" spans="7:51" x14ac:dyDescent="0.25">
      <c r="AB40" s="5">
        <f t="shared" si="26"/>
        <v>1.75</v>
      </c>
      <c r="AC40" s="6">
        <f t="shared" si="27"/>
        <v>8.25</v>
      </c>
      <c r="AE40">
        <f t="shared" si="30"/>
        <v>6.5</v>
      </c>
      <c r="AF40">
        <v>4439</v>
      </c>
      <c r="AG40" s="1">
        <f t="shared" si="34"/>
        <v>4.4390000000000001</v>
      </c>
      <c r="AH40" s="1"/>
      <c r="AI40" s="1"/>
      <c r="AJ40" s="2">
        <v>2.0500000000000002E-3</v>
      </c>
      <c r="AK40">
        <f t="shared" si="35"/>
        <v>2.0500000000000003</v>
      </c>
      <c r="AL40">
        <v>2835</v>
      </c>
      <c r="AM40">
        <f t="shared" si="31"/>
        <v>2.835</v>
      </c>
      <c r="AN40" s="5">
        <f t="shared" si="28"/>
        <v>1.75</v>
      </c>
      <c r="AO40" s="6">
        <f t="shared" si="29"/>
        <v>8.25</v>
      </c>
      <c r="AQ40">
        <f t="shared" si="32"/>
        <v>6.5</v>
      </c>
      <c r="AR40">
        <v>4439</v>
      </c>
      <c r="AS40" s="1">
        <f t="shared" si="36"/>
        <v>4.4390000000000001</v>
      </c>
      <c r="AT40" s="1"/>
      <c r="AU40" s="1"/>
      <c r="AV40" s="2">
        <v>2.0500000000000002E-3</v>
      </c>
      <c r="AW40">
        <f t="shared" si="37"/>
        <v>2.0500000000000003</v>
      </c>
      <c r="AX40">
        <v>2835</v>
      </c>
      <c r="AY40">
        <f t="shared" si="33"/>
        <v>2.835</v>
      </c>
    </row>
    <row r="41" spans="7:51" x14ac:dyDescent="0.25">
      <c r="AB41" s="18">
        <f t="shared" si="26"/>
        <v>1.5</v>
      </c>
      <c r="AC41" s="19">
        <f t="shared" si="27"/>
        <v>8.5</v>
      </c>
      <c r="AD41" s="16"/>
      <c r="AE41" s="16">
        <f t="shared" si="30"/>
        <v>7</v>
      </c>
      <c r="AF41" s="16">
        <v>3942</v>
      </c>
      <c r="AG41" s="1">
        <f t="shared" si="34"/>
        <v>3.9420000000000002</v>
      </c>
      <c r="AH41" s="17"/>
      <c r="AI41" s="17"/>
      <c r="AJ41" s="20">
        <v>2.0799999999999998E-3</v>
      </c>
      <c r="AK41" s="16">
        <f t="shared" si="35"/>
        <v>2.0799999999999996</v>
      </c>
      <c r="AL41" s="16">
        <v>2710</v>
      </c>
      <c r="AM41">
        <f t="shared" si="31"/>
        <v>2.71</v>
      </c>
      <c r="AN41" s="18">
        <f t="shared" si="28"/>
        <v>1.5</v>
      </c>
      <c r="AO41" s="19">
        <f t="shared" si="29"/>
        <v>8.5</v>
      </c>
      <c r="AP41" s="16"/>
      <c r="AQ41" s="16">
        <f t="shared" si="32"/>
        <v>7</v>
      </c>
      <c r="AR41" s="16">
        <v>3942</v>
      </c>
      <c r="AS41" s="1">
        <f t="shared" si="36"/>
        <v>3.9420000000000002</v>
      </c>
      <c r="AT41" s="17"/>
      <c r="AU41" s="17"/>
      <c r="AV41" s="20">
        <v>2.0799999999999998E-3</v>
      </c>
      <c r="AW41" s="16">
        <f t="shared" si="37"/>
        <v>2.0799999999999996</v>
      </c>
      <c r="AX41" s="16">
        <v>2710</v>
      </c>
      <c r="AY41">
        <f t="shared" si="33"/>
        <v>2.71</v>
      </c>
    </row>
    <row r="42" spans="7:51" x14ac:dyDescent="0.25">
      <c r="AB42" s="5">
        <f t="shared" si="26"/>
        <v>1.25</v>
      </c>
      <c r="AC42" s="6">
        <f t="shared" si="27"/>
        <v>8.75</v>
      </c>
      <c r="AE42">
        <f t="shared" si="30"/>
        <v>7.5</v>
      </c>
      <c r="AF42">
        <v>3626</v>
      </c>
      <c r="AG42" s="1">
        <f t="shared" si="34"/>
        <v>3.6259999999999999</v>
      </c>
      <c r="AH42" s="1"/>
      <c r="AI42" s="1"/>
      <c r="AJ42" s="2">
        <v>2.0899999999999998E-3</v>
      </c>
      <c r="AK42">
        <f t="shared" si="35"/>
        <v>2.09</v>
      </c>
      <c r="AL42">
        <v>2643</v>
      </c>
      <c r="AM42">
        <f t="shared" si="31"/>
        <v>2.6429999999999998</v>
      </c>
      <c r="AN42" s="5">
        <f t="shared" si="28"/>
        <v>1.25</v>
      </c>
      <c r="AO42" s="6">
        <f t="shared" si="29"/>
        <v>8.75</v>
      </c>
      <c r="AQ42">
        <f t="shared" si="32"/>
        <v>7.5</v>
      </c>
      <c r="AR42">
        <v>3626</v>
      </c>
      <c r="AS42" s="1">
        <f t="shared" si="36"/>
        <v>3.6259999999999999</v>
      </c>
      <c r="AT42" s="1"/>
      <c r="AU42" s="1"/>
      <c r="AV42" s="2">
        <v>2.0899999999999998E-3</v>
      </c>
      <c r="AW42">
        <f t="shared" si="37"/>
        <v>2.09</v>
      </c>
      <c r="AX42">
        <v>2643</v>
      </c>
      <c r="AY42">
        <f t="shared" si="33"/>
        <v>2.6429999999999998</v>
      </c>
    </row>
    <row r="43" spans="7:51" x14ac:dyDescent="0.25">
      <c r="AB43" s="5">
        <f>AB44+0.25</f>
        <v>1</v>
      </c>
      <c r="AC43" s="6">
        <f>AC44-0.25</f>
        <v>9</v>
      </c>
      <c r="AE43">
        <f t="shared" si="30"/>
        <v>8</v>
      </c>
      <c r="AF43">
        <v>2894</v>
      </c>
      <c r="AG43" s="1">
        <f t="shared" si="34"/>
        <v>2.8940000000000001</v>
      </c>
      <c r="AH43" s="1"/>
      <c r="AI43" s="1"/>
      <c r="AJ43" s="2">
        <v>2.0999999999999999E-3</v>
      </c>
      <c r="AK43">
        <f t="shared" si="35"/>
        <v>2.1</v>
      </c>
      <c r="AL43">
        <v>2334</v>
      </c>
      <c r="AM43">
        <f t="shared" si="31"/>
        <v>2.3340000000000001</v>
      </c>
      <c r="AN43" s="5">
        <f>AN44+0.25</f>
        <v>1</v>
      </c>
      <c r="AO43" s="6">
        <f>AO44-0.25</f>
        <v>9</v>
      </c>
      <c r="AQ43">
        <f t="shared" si="32"/>
        <v>8</v>
      </c>
      <c r="AR43">
        <v>2894</v>
      </c>
      <c r="AS43" s="1">
        <f t="shared" si="36"/>
        <v>2.8940000000000001</v>
      </c>
      <c r="AT43" s="1"/>
      <c r="AU43" s="1"/>
      <c r="AV43" s="2">
        <v>2.0999999999999999E-3</v>
      </c>
      <c r="AW43">
        <f t="shared" si="37"/>
        <v>2.1</v>
      </c>
      <c r="AX43">
        <v>2334</v>
      </c>
      <c r="AY43">
        <f t="shared" si="33"/>
        <v>2.3340000000000001</v>
      </c>
    </row>
    <row r="44" spans="7:51" x14ac:dyDescent="0.25">
      <c r="AB44" s="5">
        <v>0.75</v>
      </c>
      <c r="AC44" s="6">
        <v>9.25</v>
      </c>
      <c r="AE44">
        <f t="shared" si="30"/>
        <v>8.5</v>
      </c>
      <c r="AF44">
        <v>2737</v>
      </c>
      <c r="AG44" s="1">
        <f t="shared" si="34"/>
        <v>2.7370000000000001</v>
      </c>
      <c r="AH44" s="1"/>
      <c r="AI44" s="1"/>
      <c r="AJ44" s="2">
        <v>2.0999999999999999E-3</v>
      </c>
      <c r="AK44">
        <f t="shared" si="35"/>
        <v>2.1</v>
      </c>
      <c r="AL44">
        <v>2306</v>
      </c>
      <c r="AM44">
        <f t="shared" si="31"/>
        <v>2.306</v>
      </c>
      <c r="AN44" s="5">
        <v>0.75</v>
      </c>
      <c r="AO44" s="6">
        <v>9.25</v>
      </c>
      <c r="AQ44">
        <f t="shared" si="32"/>
        <v>8.5</v>
      </c>
      <c r="AR44">
        <v>2737</v>
      </c>
      <c r="AS44" s="1">
        <f t="shared" si="36"/>
        <v>2.7370000000000001</v>
      </c>
      <c r="AT44" s="1"/>
      <c r="AU44" s="1"/>
      <c r="AV44" s="2">
        <v>2.0999999999999999E-3</v>
      </c>
      <c r="AW44">
        <f t="shared" si="37"/>
        <v>2.1</v>
      </c>
      <c r="AX44">
        <v>2306</v>
      </c>
      <c r="AY44">
        <f t="shared" si="33"/>
        <v>2.306</v>
      </c>
    </row>
    <row r="45" spans="7:51" x14ac:dyDescent="0.25">
      <c r="AB45" s="5">
        <v>0.5</v>
      </c>
      <c r="AC45" s="6">
        <v>9.5</v>
      </c>
      <c r="AE45">
        <f t="shared" si="30"/>
        <v>9</v>
      </c>
      <c r="AF45">
        <v>1498</v>
      </c>
      <c r="AG45" s="1">
        <f t="shared" si="34"/>
        <v>1.498</v>
      </c>
      <c r="AH45" s="1"/>
      <c r="AI45" s="1"/>
      <c r="AJ45" s="2">
        <v>2.0999999999999999E-3</v>
      </c>
      <c r="AK45">
        <f t="shared" si="35"/>
        <v>2.1</v>
      </c>
      <c r="AL45">
        <v>1429</v>
      </c>
      <c r="AM45">
        <f t="shared" si="31"/>
        <v>1.429</v>
      </c>
      <c r="AN45" s="5">
        <v>0.5</v>
      </c>
      <c r="AO45" s="6">
        <v>9.5</v>
      </c>
      <c r="AQ45">
        <f t="shared" si="32"/>
        <v>9</v>
      </c>
      <c r="AR45">
        <v>1498</v>
      </c>
      <c r="AS45" s="1">
        <f t="shared" si="36"/>
        <v>1.498</v>
      </c>
      <c r="AT45" s="1"/>
      <c r="AU45" s="1"/>
      <c r="AV45" s="2">
        <v>2.0999999999999999E-3</v>
      </c>
      <c r="AW45">
        <f t="shared" si="37"/>
        <v>2.1</v>
      </c>
      <c r="AX45">
        <v>1429</v>
      </c>
      <c r="AY45">
        <f t="shared" si="33"/>
        <v>1.429</v>
      </c>
    </row>
    <row r="46" spans="7:51" ht="15.75" thickBot="1" x14ac:dyDescent="0.3">
      <c r="AB46">
        <v>0.3</v>
      </c>
      <c r="AC46">
        <v>9.6999999999999993</v>
      </c>
      <c r="AE46">
        <v>9.4</v>
      </c>
      <c r="AF46">
        <v>1498</v>
      </c>
      <c r="AG46" s="1">
        <f t="shared" si="34"/>
        <v>1.498</v>
      </c>
      <c r="AJ46" s="2">
        <v>2.0999999999999999E-3</v>
      </c>
      <c r="AK46">
        <f t="shared" si="35"/>
        <v>2.1</v>
      </c>
      <c r="AL46">
        <v>1429</v>
      </c>
      <c r="AM46">
        <f t="shared" si="31"/>
        <v>1.429</v>
      </c>
      <c r="AN46">
        <v>0.3</v>
      </c>
      <c r="AO46">
        <v>9.6999999999999993</v>
      </c>
      <c r="AQ46">
        <v>9.4</v>
      </c>
      <c r="AR46">
        <v>1498</v>
      </c>
      <c r="AS46" s="1">
        <f t="shared" si="36"/>
        <v>1.498</v>
      </c>
      <c r="AV46" s="2">
        <v>2.0999999999999999E-3</v>
      </c>
      <c r="AW46">
        <f t="shared" si="37"/>
        <v>2.1</v>
      </c>
      <c r="AX46">
        <v>1429</v>
      </c>
      <c r="AY46">
        <f t="shared" si="33"/>
        <v>1.429</v>
      </c>
    </row>
    <row r="47" spans="7:51" x14ac:dyDescent="0.25">
      <c r="H47" s="53" t="s">
        <v>30</v>
      </c>
      <c r="I47" s="54"/>
      <c r="J47" s="54"/>
      <c r="K47" s="54"/>
      <c r="L47" s="55"/>
      <c r="M47" s="53" t="s">
        <v>32</v>
      </c>
      <c r="N47" s="54"/>
      <c r="O47" s="54"/>
      <c r="P47" s="54"/>
      <c r="Q47" s="55"/>
      <c r="R47" s="53" t="s">
        <v>35</v>
      </c>
      <c r="S47" s="54"/>
      <c r="T47" s="54"/>
      <c r="U47" s="54"/>
      <c r="V47" s="55"/>
      <c r="W47" s="53" t="s">
        <v>38</v>
      </c>
      <c r="X47" s="54"/>
      <c r="Y47" s="54"/>
      <c r="Z47" s="54"/>
      <c r="AA47" s="55"/>
      <c r="AB47" s="53" t="s">
        <v>40</v>
      </c>
      <c r="AC47" s="54"/>
      <c r="AD47" s="54"/>
      <c r="AE47" s="54"/>
      <c r="AF47" s="54"/>
      <c r="AG47" s="55"/>
      <c r="AH47" s="53" t="s">
        <v>43</v>
      </c>
      <c r="AI47" s="54"/>
      <c r="AJ47" s="54"/>
      <c r="AK47" s="54"/>
      <c r="AL47" s="54"/>
      <c r="AM47" s="54"/>
      <c r="AN47" s="55"/>
      <c r="AO47" s="53" t="s">
        <v>48</v>
      </c>
      <c r="AP47" s="54"/>
      <c r="AQ47" s="54"/>
      <c r="AR47" s="54"/>
      <c r="AS47" s="55"/>
      <c r="AT47" s="53" t="s">
        <v>49</v>
      </c>
      <c r="AU47" s="54"/>
      <c r="AV47" s="54"/>
      <c r="AW47" s="54"/>
      <c r="AX47" s="55"/>
    </row>
    <row r="48" spans="7:51" x14ac:dyDescent="0.25">
      <c r="G48" t="s">
        <v>52</v>
      </c>
      <c r="H48" s="5" t="s">
        <v>1</v>
      </c>
      <c r="I48" s="24" t="s">
        <v>26</v>
      </c>
      <c r="J48" s="24" t="s">
        <v>27</v>
      </c>
      <c r="K48" s="24" t="s">
        <v>28</v>
      </c>
      <c r="L48" s="6" t="s">
        <v>29</v>
      </c>
      <c r="M48" s="5" t="str">
        <f>H48</f>
        <v>L [m]</v>
      </c>
      <c r="N48" s="24" t="s">
        <v>26</v>
      </c>
      <c r="O48" s="24" t="s">
        <v>27</v>
      </c>
      <c r="P48" s="24" t="s">
        <v>31</v>
      </c>
      <c r="Q48" s="6" t="s">
        <v>29</v>
      </c>
      <c r="R48" s="5" t="str">
        <f>M48</f>
        <v>L [m]</v>
      </c>
      <c r="S48" s="24" t="s">
        <v>26</v>
      </c>
      <c r="T48" s="24" t="s">
        <v>27</v>
      </c>
      <c r="U48" s="24" t="s">
        <v>33</v>
      </c>
      <c r="V48" s="6" t="s">
        <v>34</v>
      </c>
      <c r="W48" s="5" t="str">
        <f>R48</f>
        <v>L [m]</v>
      </c>
      <c r="X48" s="24" t="s">
        <v>36</v>
      </c>
      <c r="Y48" s="24" t="s">
        <v>27</v>
      </c>
      <c r="Z48" s="24" t="s">
        <v>37</v>
      </c>
      <c r="AA48" s="6" t="s">
        <v>34</v>
      </c>
      <c r="AB48" s="5" t="str">
        <f>W48</f>
        <v>L [m]</v>
      </c>
      <c r="AC48" s="24" t="s">
        <v>36</v>
      </c>
      <c r="AD48" s="24" t="s">
        <v>27</v>
      </c>
      <c r="AE48" s="24" t="s">
        <v>39</v>
      </c>
      <c r="AF48" s="24"/>
      <c r="AG48" s="6" t="s">
        <v>34</v>
      </c>
      <c r="AH48" s="5" t="str">
        <f>AB48</f>
        <v>L [m]</v>
      </c>
      <c r="AI48" s="24" t="s">
        <v>36</v>
      </c>
      <c r="AJ48" s="24" t="s">
        <v>41</v>
      </c>
      <c r="AK48" s="24" t="s">
        <v>42</v>
      </c>
      <c r="AL48" s="24"/>
      <c r="AM48" s="24"/>
      <c r="AN48" s="6" t="s">
        <v>34</v>
      </c>
      <c r="AO48" s="5" t="str">
        <f>AH48</f>
        <v>L [m]</v>
      </c>
      <c r="AP48" s="24" t="s">
        <v>44</v>
      </c>
      <c r="AQ48" s="24" t="s">
        <v>45</v>
      </c>
      <c r="AR48" s="24" t="s">
        <v>39</v>
      </c>
      <c r="AS48" s="6" t="s">
        <v>46</v>
      </c>
      <c r="AT48" s="5" t="str">
        <f>AO48</f>
        <v>L [m]</v>
      </c>
      <c r="AU48" s="24" t="s">
        <v>44</v>
      </c>
      <c r="AV48" s="24" t="s">
        <v>45</v>
      </c>
      <c r="AW48" s="24" t="s">
        <v>47</v>
      </c>
      <c r="AX48" s="6" t="s">
        <v>46</v>
      </c>
    </row>
    <row r="49" spans="7:50" x14ac:dyDescent="0.25">
      <c r="G49">
        <f>$C$2*($H$65/2-H49)*1000</f>
        <v>34400</v>
      </c>
      <c r="H49" s="5">
        <v>0</v>
      </c>
      <c r="I49" s="24">
        <f>(($C$2*H49)/2)*($H$65-H49)</f>
        <v>0</v>
      </c>
      <c r="J49" s="24">
        <f>I49*1000</f>
        <v>0</v>
      </c>
      <c r="K49" s="24">
        <f>(($C$2*H49)/(24*$C$3*$C$7))*($H$65^3-2*$H$65*H49^2+H49^3)</f>
        <v>0</v>
      </c>
      <c r="L49" s="25">
        <f>K49/1000</f>
        <v>0</v>
      </c>
      <c r="M49" s="5">
        <f t="shared" ref="M49:M65" si="38">H49</f>
        <v>0</v>
      </c>
      <c r="N49" s="24">
        <f>($C$2/12)*(6*$M$65*M49 - $M$65^2 - 6*M49^2)</f>
        <v>-45.866666666666667</v>
      </c>
      <c r="O49" s="24">
        <f>N49*1000</f>
        <v>-45866.666666666664</v>
      </c>
      <c r="P49" s="24">
        <f>(($C$2*M49^2)/(24*$C$3*$C$7))*(($M$65-M49)^2)</f>
        <v>0</v>
      </c>
      <c r="Q49" s="28">
        <f>P49/1000</f>
        <v>0</v>
      </c>
      <c r="R49" s="5">
        <f t="shared" ref="R49:R61" si="39">M49</f>
        <v>0</v>
      </c>
      <c r="S49" s="24">
        <f>(($C$2*H49)/2)*($R$61-H49)</f>
        <v>0</v>
      </c>
      <c r="T49" s="24">
        <f>S49*1000</f>
        <v>0</v>
      </c>
      <c r="U49" s="24">
        <f>(($C$2*R49)/(24*$C$3*$C$7))*($R$61^3-2*$R$61*R49^2+R49^3)</f>
        <v>0</v>
      </c>
      <c r="V49" s="6">
        <f>U49/1000</f>
        <v>0</v>
      </c>
      <c r="W49" s="5">
        <f t="shared" ref="W49:W61" si="40">R49</f>
        <v>0</v>
      </c>
      <c r="X49" s="24">
        <f>($C$2/12)*(6*$W$61*W49 - $W$61^2 - 6*W49^2)</f>
        <v>-25.8</v>
      </c>
      <c r="Y49" s="24">
        <f>X49*1000</f>
        <v>-25800</v>
      </c>
      <c r="Z49" s="24">
        <f>(($C$2*W49^2)/(24*$C$3*$C$7))*(($W$61-W49)^2)</f>
        <v>0</v>
      </c>
      <c r="AA49" s="30">
        <f>Z49/1000</f>
        <v>0</v>
      </c>
      <c r="AB49" s="5">
        <f t="shared" ref="AB49:AB57" si="41">W49</f>
        <v>0</v>
      </c>
      <c r="AC49" s="24">
        <f>(($C$2*H49)/2)*($AB$57-H49)</f>
        <v>0</v>
      </c>
      <c r="AD49" s="24">
        <f>AC49*1000</f>
        <v>0</v>
      </c>
      <c r="AE49" s="24">
        <f>(($C$2*AB49)/(24*$C$3*$C$7))*($AB$57^3-2*$AB$57*AB49^2+AB49^3)</f>
        <v>0</v>
      </c>
      <c r="AF49" s="24"/>
      <c r="AG49" s="6">
        <f>AE49/1000</f>
        <v>0</v>
      </c>
      <c r="AH49" s="5">
        <f t="shared" ref="AH49:AH57" si="42">AB49</f>
        <v>0</v>
      </c>
      <c r="AI49" s="24">
        <f>($C$2/12)*(6*$AH$57*AH49 - $AH$57^2 - 6*AH49^2)</f>
        <v>-11.466666666666667</v>
      </c>
      <c r="AJ49" s="24">
        <f>AI49*1000</f>
        <v>-11466.666666666666</v>
      </c>
      <c r="AK49" s="24">
        <f>(($C$2*AH49^2)/(24*$C$3*$C$7))*(($AH$57-AH49)^2)</f>
        <v>0</v>
      </c>
      <c r="AL49" s="24"/>
      <c r="AM49" s="24"/>
      <c r="AN49" s="28">
        <f>AK49/1000</f>
        <v>0</v>
      </c>
      <c r="AO49" s="5">
        <f t="shared" ref="AO49:AO53" si="43">AH49</f>
        <v>0</v>
      </c>
      <c r="AP49" s="24">
        <f>(($C$2*H49)/2)*($AO$53-H49)</f>
        <v>0</v>
      </c>
      <c r="AQ49" s="24">
        <f>AP49*1000</f>
        <v>0</v>
      </c>
      <c r="AR49" s="24">
        <f>(($C$2*AO49)/(24*$C$3*$C$7))*($AO$53^3-2*$AO$53*AO49^2+AO49^3)</f>
        <v>0</v>
      </c>
      <c r="AS49" s="6">
        <f>AR49/1000</f>
        <v>0</v>
      </c>
      <c r="AT49" s="5">
        <f t="shared" ref="AT49:AT53" si="44">AO49</f>
        <v>0</v>
      </c>
      <c r="AU49" s="24">
        <f>($C$2/12)*(6*$AT$53*AT49 - $AT$53^2 - 6*AT49^2)</f>
        <v>-2.8666666666666667</v>
      </c>
      <c r="AV49" s="24">
        <f>AU49*1000</f>
        <v>-2866.6666666666665</v>
      </c>
      <c r="AW49" s="24">
        <f>(($C$2*AT49^2)/(24*$C$3*$C$7))*(($AT$53-AT49)^2)</f>
        <v>0</v>
      </c>
      <c r="AX49" s="6">
        <f>AW49/1000</f>
        <v>0</v>
      </c>
    </row>
    <row r="50" spans="7:50" x14ac:dyDescent="0.25">
      <c r="G50">
        <f t="shared" ref="G50:G65" si="45">$C$2*($H$65/2-H50)*1000</f>
        <v>30099.999999999996</v>
      </c>
      <c r="H50" s="5">
        <f>H49+0.5</f>
        <v>0.5</v>
      </c>
      <c r="I50" s="24">
        <f t="shared" ref="I50:I65" si="46">(($C$2*H50)/2)*($H$65-H50)</f>
        <v>16.125</v>
      </c>
      <c r="J50" s="24">
        <f t="shared" ref="J50:J65" si="47">I50*1000</f>
        <v>16125</v>
      </c>
      <c r="K50" s="24">
        <f t="shared" ref="K50:K65" si="48">(($C$2*H50)/(24*$C$3*$C$7))*($H$65^3-2*$H$65*H50^2+H50^3)</f>
        <v>1.635571550085873</v>
      </c>
      <c r="L50" s="25">
        <f t="shared" ref="L50:L65" si="49">K50/1000</f>
        <v>1.6355715500858731E-3</v>
      </c>
      <c r="M50" s="5">
        <f t="shared" si="38"/>
        <v>0.5</v>
      </c>
      <c r="N50" s="24">
        <f t="shared" ref="N50:N65" si="50">($C$2/12)*(6*$M$65*M50 - $M$65^2 - 6*M50^2)</f>
        <v>-29.741666666666667</v>
      </c>
      <c r="O50" s="24">
        <f t="shared" ref="O50:O65" si="51">N50*1000</f>
        <v>-29741.666666666668</v>
      </c>
      <c r="P50" s="24">
        <f t="shared" ref="P50:P65" si="52">(($C$2*M50^2)/(24*$C$3*$C$7))*(($M$65-M50)^2)</f>
        <v>9.0529790595159018E-2</v>
      </c>
      <c r="Q50" s="28">
        <f t="shared" ref="Q50:Q65" si="53">P50/1000</f>
        <v>9.0529790595159014E-5</v>
      </c>
      <c r="R50" s="5">
        <f t="shared" si="39"/>
        <v>0.5</v>
      </c>
      <c r="S50" s="24">
        <f t="shared" ref="S50:S61" si="54">(($C$2*H50)/2)*($R$61-H50)</f>
        <v>11.824999999999999</v>
      </c>
      <c r="T50" s="24">
        <f t="shared" ref="T50:T61" si="55">S50*1000</f>
        <v>11825</v>
      </c>
      <c r="U50" s="24">
        <f t="shared" ref="U50:U61" si="56">(($C$2*R50)/(24*$C$3*$C$7))*($R$61^3-2*$R$61*R50^2+R50^3)</f>
        <v>0.68601463539887164</v>
      </c>
      <c r="V50" s="6">
        <f t="shared" ref="V50:V65" si="57">U50/1000</f>
        <v>6.8601463539887163E-4</v>
      </c>
      <c r="W50" s="5">
        <f t="shared" si="40"/>
        <v>0.5</v>
      </c>
      <c r="X50" s="24">
        <f t="shared" ref="X50:X61" si="58">($C$2/12)*(6*$W$61*W50 - $W$61^2 - 6*W50^2)</f>
        <v>-13.975</v>
      </c>
      <c r="Y50" s="24">
        <f t="shared" ref="Y50:Y61" si="59">X50*1000</f>
        <v>-13975</v>
      </c>
      <c r="Z50" s="24">
        <f t="shared" ref="Z50:Z61" si="60">(($C$2*W50^2)/(24*$C$3*$C$7))*(($W$61-W50)^2)</f>
        <v>4.8684909608952179E-2</v>
      </c>
      <c r="AA50" s="30">
        <f t="shared" ref="AA50:AA65" si="61">Z50/1000</f>
        <v>4.8684909608952176E-5</v>
      </c>
      <c r="AB50" s="5">
        <f t="shared" si="41"/>
        <v>0.5</v>
      </c>
      <c r="AC50" s="24">
        <f t="shared" ref="AC50:AC57" si="62">(($C$2*H50)/2)*($AB$57-H50)</f>
        <v>7.5249999999999995</v>
      </c>
      <c r="AD50" s="24">
        <f t="shared" ref="AD50:AD57" si="63">AC50*1000</f>
        <v>7524.9999999999991</v>
      </c>
      <c r="AE50" s="24">
        <f t="shared" ref="AE50:AE57" si="64">(($C$2*AB50)/(24*$C$3*$C$7))*($AB$57^3-2*$AB$57*AB50^2+AB50^3)</f>
        <v>0.19997024855908457</v>
      </c>
      <c r="AF50" s="24"/>
      <c r="AG50" s="6">
        <f t="shared" ref="AG50:AG56" si="65">AE50/1000</f>
        <v>1.9997024855908458E-4</v>
      </c>
      <c r="AH50" s="5">
        <f t="shared" si="42"/>
        <v>0.5</v>
      </c>
      <c r="AI50" s="24">
        <f t="shared" ref="AI50:AI57" si="66">($C$2/12)*(6*$AH$57*AH50 - $AH$57^2 - 6*AH50^2)</f>
        <v>-3.9416666666666669</v>
      </c>
      <c r="AJ50" s="24">
        <f t="shared" ref="AJ50:AJ57" si="67">AI50*1000</f>
        <v>-3941.666666666667</v>
      </c>
      <c r="AK50" s="24">
        <f t="shared" ref="AK50:AK57" si="68">(($C$2*AH50^2)/(24*$C$3*$C$7))*(($AH$57-AH50)^2)</f>
        <v>1.9715376618501295E-2</v>
      </c>
      <c r="AL50" s="24"/>
      <c r="AM50" s="24"/>
      <c r="AN50" s="28">
        <f t="shared" ref="AN50:AN57" si="69">AK50/1000</f>
        <v>1.9715376618501295E-5</v>
      </c>
      <c r="AO50" s="5">
        <f t="shared" si="43"/>
        <v>0.5</v>
      </c>
      <c r="AP50" s="24">
        <f t="shared" ref="AP50:AP53" si="70">(($C$2*H50)/2)*($AO$53-H50)</f>
        <v>3.2249999999999996</v>
      </c>
      <c r="AQ50" s="24">
        <f t="shared" ref="AQ50:AQ53" si="71">AP50*1000</f>
        <v>3224.9999999999995</v>
      </c>
      <c r="AR50" s="24">
        <f t="shared" ref="AR50:AR53" si="72">(($C$2*AO50)/(24*$C$3*$C$7))*($AO$53^3-2*$AO$53*AO50^2+AO50^3)</f>
        <v>2.2934213617440285E-2</v>
      </c>
      <c r="AS50" s="6">
        <f t="shared" ref="AS50:AS53" si="73">AR50/1000</f>
        <v>2.2934213617440286E-5</v>
      </c>
      <c r="AT50" s="5">
        <f t="shared" si="44"/>
        <v>0.5</v>
      </c>
      <c r="AU50" s="24">
        <f t="shared" ref="AU50:AU53" si="74">($C$2/12)*(6*$AT$53*AT50 - $AT$53^2 - 6*AT50^2)</f>
        <v>0.35833333333333334</v>
      </c>
      <c r="AV50" s="24">
        <f t="shared" ref="AV50:AV53" si="75">AU50*1000</f>
        <v>358.33333333333331</v>
      </c>
      <c r="AW50" s="24">
        <f t="shared" ref="AW50:AW53" si="76">(($C$2*AT50^2)/(24*$C$3*$C$7))*(($AT$53-AT50)^2)</f>
        <v>3.6211916238063605E-3</v>
      </c>
      <c r="AX50" s="6">
        <f t="shared" ref="AX50:AX53" si="77">AW50/1000</f>
        <v>3.6211916238063605E-6</v>
      </c>
    </row>
    <row r="51" spans="7:50" x14ac:dyDescent="0.25">
      <c r="G51">
        <f t="shared" si="45"/>
        <v>25799.999999999996</v>
      </c>
      <c r="H51" s="5">
        <f t="shared" ref="H51:H64" si="78">H50+0.5</f>
        <v>1</v>
      </c>
      <c r="I51" s="24">
        <f t="shared" si="46"/>
        <v>30.099999999999998</v>
      </c>
      <c r="J51" s="24">
        <f t="shared" si="47"/>
        <v>30099.999999999996</v>
      </c>
      <c r="K51" s="24">
        <f t="shared" si="48"/>
        <v>3.1995239769453532</v>
      </c>
      <c r="L51" s="25">
        <f t="shared" si="49"/>
        <v>3.1995239769453533E-3</v>
      </c>
      <c r="M51" s="5">
        <f t="shared" si="38"/>
        <v>1</v>
      </c>
      <c r="N51" s="24">
        <f t="shared" si="50"/>
        <v>-15.766666666666667</v>
      </c>
      <c r="O51" s="24">
        <f t="shared" si="51"/>
        <v>-15766.666666666668</v>
      </c>
      <c r="P51" s="24">
        <f t="shared" si="52"/>
        <v>0.31544602589602072</v>
      </c>
      <c r="Q51" s="28">
        <f t="shared" si="53"/>
        <v>3.1544602589602072E-4</v>
      </c>
      <c r="R51" s="5">
        <f t="shared" si="39"/>
        <v>1</v>
      </c>
      <c r="S51" s="24">
        <f t="shared" si="54"/>
        <v>21.5</v>
      </c>
      <c r="T51" s="24">
        <f t="shared" si="55"/>
        <v>21500</v>
      </c>
      <c r="U51" s="24">
        <f t="shared" si="56"/>
        <v>1.3197231695649847</v>
      </c>
      <c r="V51" s="6">
        <f t="shared" si="57"/>
        <v>1.3197231695649847E-3</v>
      </c>
      <c r="W51" s="5">
        <f t="shared" si="40"/>
        <v>1</v>
      </c>
      <c r="X51" s="24">
        <f t="shared" si="58"/>
        <v>-4.3</v>
      </c>
      <c r="Y51" s="24">
        <f t="shared" si="59"/>
        <v>-4300</v>
      </c>
      <c r="Z51" s="24">
        <f t="shared" si="60"/>
        <v>0.16094184994694935</v>
      </c>
      <c r="AA51" s="30">
        <f t="shared" si="61"/>
        <v>1.6094184994694936E-4</v>
      </c>
      <c r="AB51" s="5">
        <f t="shared" si="41"/>
        <v>1</v>
      </c>
      <c r="AC51" s="24">
        <f t="shared" si="62"/>
        <v>12.899999999999999</v>
      </c>
      <c r="AD51" s="24">
        <f t="shared" si="63"/>
        <v>12899.999999999998</v>
      </c>
      <c r="AE51" s="24">
        <f t="shared" si="64"/>
        <v>0.36694741787904456</v>
      </c>
      <c r="AF51" s="24"/>
      <c r="AG51" s="6">
        <f t="shared" si="65"/>
        <v>3.6694741787904458E-4</v>
      </c>
      <c r="AH51" s="5">
        <f t="shared" si="42"/>
        <v>1</v>
      </c>
      <c r="AI51" s="24">
        <f t="shared" si="66"/>
        <v>1.4333333333333333</v>
      </c>
      <c r="AJ51" s="24">
        <f t="shared" si="67"/>
        <v>1433.3333333333333</v>
      </c>
      <c r="AK51" s="24">
        <f t="shared" si="68"/>
        <v>5.7939065980901767E-2</v>
      </c>
      <c r="AL51" s="24"/>
      <c r="AM51" s="24"/>
      <c r="AN51" s="28">
        <f t="shared" si="69"/>
        <v>5.7939065980901768E-5</v>
      </c>
      <c r="AO51" s="5">
        <f t="shared" si="43"/>
        <v>1</v>
      </c>
      <c r="AP51" s="24">
        <f t="shared" si="70"/>
        <v>4.3</v>
      </c>
      <c r="AQ51" s="24">
        <f t="shared" si="71"/>
        <v>4300</v>
      </c>
      <c r="AR51" s="24">
        <f t="shared" si="72"/>
        <v>3.218836998938987E-2</v>
      </c>
      <c r="AS51" s="6">
        <f t="shared" si="73"/>
        <v>3.2188369989389872E-5</v>
      </c>
      <c r="AT51" s="5">
        <f t="shared" si="44"/>
        <v>1</v>
      </c>
      <c r="AU51" s="24">
        <f t="shared" si="74"/>
        <v>1.4333333333333333</v>
      </c>
      <c r="AV51" s="24">
        <f t="shared" si="75"/>
        <v>1433.3333333333333</v>
      </c>
      <c r="AW51" s="24">
        <f t="shared" si="76"/>
        <v>6.4376739978779744E-3</v>
      </c>
      <c r="AX51" s="6">
        <f t="shared" si="77"/>
        <v>6.437673997877974E-6</v>
      </c>
    </row>
    <row r="52" spans="7:50" x14ac:dyDescent="0.25">
      <c r="G52">
        <f t="shared" si="45"/>
        <v>21500</v>
      </c>
      <c r="H52" s="5">
        <f t="shared" si="78"/>
        <v>1.5</v>
      </c>
      <c r="I52" s="24">
        <f t="shared" si="46"/>
        <v>41.924999999999997</v>
      </c>
      <c r="J52" s="24">
        <f t="shared" si="47"/>
        <v>41925</v>
      </c>
      <c r="K52" s="24">
        <f t="shared" si="48"/>
        <v>4.6290899590991303</v>
      </c>
      <c r="L52" s="25">
        <f t="shared" si="49"/>
        <v>4.6290899590991303E-3</v>
      </c>
      <c r="M52" s="5">
        <f t="shared" si="38"/>
        <v>1.5</v>
      </c>
      <c r="N52" s="24">
        <f t="shared" si="50"/>
        <v>-3.9416666666666669</v>
      </c>
      <c r="O52" s="24">
        <f t="shared" si="51"/>
        <v>-3941.666666666667</v>
      </c>
      <c r="P52" s="24">
        <f t="shared" si="52"/>
        <v>0.61198138442327488</v>
      </c>
      <c r="Q52" s="28">
        <f t="shared" si="53"/>
        <v>6.1198138442327484E-4</v>
      </c>
      <c r="R52" s="5">
        <f t="shared" si="39"/>
        <v>1.5</v>
      </c>
      <c r="S52" s="24">
        <f t="shared" si="54"/>
        <v>29.024999999999999</v>
      </c>
      <c r="T52" s="24">
        <f t="shared" si="55"/>
        <v>29025</v>
      </c>
      <c r="U52" s="24">
        <f t="shared" si="56"/>
        <v>1.8576713030126628</v>
      </c>
      <c r="V52" s="6">
        <f t="shared" si="57"/>
        <v>1.8576713030126629E-3</v>
      </c>
      <c r="W52" s="5">
        <f t="shared" si="40"/>
        <v>1.5</v>
      </c>
      <c r="X52" s="24">
        <f t="shared" si="58"/>
        <v>3.2250000000000001</v>
      </c>
      <c r="Y52" s="24">
        <f t="shared" si="59"/>
        <v>3225</v>
      </c>
      <c r="Z52" s="24">
        <f t="shared" si="60"/>
        <v>0.29331652152831522</v>
      </c>
      <c r="AA52" s="30">
        <f t="shared" si="61"/>
        <v>2.9331652152831523E-4</v>
      </c>
      <c r="AB52" s="5">
        <f t="shared" si="41"/>
        <v>1.5</v>
      </c>
      <c r="AC52" s="24">
        <f t="shared" si="62"/>
        <v>16.125</v>
      </c>
      <c r="AD52" s="24">
        <f t="shared" si="63"/>
        <v>16125</v>
      </c>
      <c r="AE52" s="24">
        <f t="shared" si="64"/>
        <v>0.47679023046783742</v>
      </c>
      <c r="AF52" s="24"/>
      <c r="AG52" s="6">
        <f t="shared" si="65"/>
        <v>4.7679023046783741E-4</v>
      </c>
      <c r="AH52" s="5">
        <f t="shared" si="42"/>
        <v>1.5</v>
      </c>
      <c r="AI52" s="24">
        <f t="shared" si="66"/>
        <v>4.6583333333333332</v>
      </c>
      <c r="AJ52" s="24">
        <f t="shared" si="67"/>
        <v>4658.333333333333</v>
      </c>
      <c r="AK52" s="24">
        <f t="shared" si="68"/>
        <v>9.0529790595159018E-2</v>
      </c>
      <c r="AL52" s="24"/>
      <c r="AM52" s="24"/>
      <c r="AN52" s="28">
        <f t="shared" si="69"/>
        <v>9.0529790595159014E-5</v>
      </c>
      <c r="AO52" s="5">
        <f t="shared" si="43"/>
        <v>1.5</v>
      </c>
      <c r="AP52" s="24">
        <f t="shared" si="70"/>
        <v>3.2249999999999996</v>
      </c>
      <c r="AQ52" s="24">
        <f t="shared" si="71"/>
        <v>3224.9999999999995</v>
      </c>
      <c r="AR52" s="24">
        <f t="shared" si="72"/>
        <v>2.2934213617440281E-2</v>
      </c>
      <c r="AS52" s="6">
        <f t="shared" si="73"/>
        <v>2.2934213617440283E-5</v>
      </c>
      <c r="AT52" s="5">
        <f t="shared" si="44"/>
        <v>1.5</v>
      </c>
      <c r="AU52" s="24">
        <f t="shared" si="74"/>
        <v>0.35833333333333334</v>
      </c>
      <c r="AV52" s="24">
        <f t="shared" si="75"/>
        <v>358.33333333333331</v>
      </c>
      <c r="AW52" s="24">
        <f t="shared" si="76"/>
        <v>3.6211916238063605E-3</v>
      </c>
      <c r="AX52" s="6">
        <f t="shared" si="77"/>
        <v>3.6211916238063605E-6</v>
      </c>
    </row>
    <row r="53" spans="7:50" ht="15.75" thickBot="1" x14ac:dyDescent="0.3">
      <c r="G53">
        <f t="shared" si="45"/>
        <v>17200</v>
      </c>
      <c r="H53" s="5">
        <f t="shared" si="78"/>
        <v>2</v>
      </c>
      <c r="I53" s="24">
        <f t="shared" si="46"/>
        <v>51.599999999999994</v>
      </c>
      <c r="J53" s="24">
        <f t="shared" si="47"/>
        <v>51599.999999999993</v>
      </c>
      <c r="K53" s="24">
        <f t="shared" si="48"/>
        <v>5.8711586860647129</v>
      </c>
      <c r="L53" s="25">
        <f t="shared" si="49"/>
        <v>5.8711586860647133E-3</v>
      </c>
      <c r="M53" s="5">
        <f t="shared" si="38"/>
        <v>2</v>
      </c>
      <c r="N53" s="24">
        <f t="shared" si="50"/>
        <v>5.7333333333333334</v>
      </c>
      <c r="O53" s="24">
        <f t="shared" si="51"/>
        <v>5733.333333333333</v>
      </c>
      <c r="P53" s="24">
        <f t="shared" si="52"/>
        <v>0.92702505569442828</v>
      </c>
      <c r="Q53" s="28">
        <f t="shared" si="53"/>
        <v>9.2702505569442829E-4</v>
      </c>
      <c r="R53" s="5">
        <f t="shared" si="39"/>
        <v>2</v>
      </c>
      <c r="S53" s="24">
        <f t="shared" si="54"/>
        <v>34.4</v>
      </c>
      <c r="T53" s="24">
        <f t="shared" si="55"/>
        <v>34400</v>
      </c>
      <c r="U53" s="24">
        <f t="shared" si="56"/>
        <v>2.266061247253047</v>
      </c>
      <c r="V53" s="6">
        <f t="shared" si="57"/>
        <v>2.2660612472530472E-3</v>
      </c>
      <c r="W53" s="5">
        <f t="shared" si="40"/>
        <v>2</v>
      </c>
      <c r="X53" s="24">
        <f t="shared" si="58"/>
        <v>8.6</v>
      </c>
      <c r="Y53" s="24">
        <f t="shared" si="59"/>
        <v>8600</v>
      </c>
      <c r="Z53" s="24">
        <f t="shared" si="60"/>
        <v>0.41201113586419036</v>
      </c>
      <c r="AA53" s="30">
        <f t="shared" si="61"/>
        <v>4.1201113586419034E-4</v>
      </c>
      <c r="AB53" s="5">
        <f t="shared" si="41"/>
        <v>2</v>
      </c>
      <c r="AC53" s="24">
        <f t="shared" si="62"/>
        <v>17.2</v>
      </c>
      <c r="AD53" s="24">
        <f t="shared" si="63"/>
        <v>17200</v>
      </c>
      <c r="AE53" s="24">
        <f t="shared" si="64"/>
        <v>0.51501391983023792</v>
      </c>
      <c r="AF53" s="24"/>
      <c r="AG53" s="6">
        <f t="shared" si="65"/>
        <v>5.1501391983023795E-4</v>
      </c>
      <c r="AH53" s="5">
        <f t="shared" si="42"/>
        <v>2</v>
      </c>
      <c r="AI53" s="24">
        <f t="shared" si="66"/>
        <v>5.7333333333333334</v>
      </c>
      <c r="AJ53" s="24">
        <f t="shared" si="67"/>
        <v>5733.333333333333</v>
      </c>
      <c r="AK53" s="24">
        <f t="shared" si="68"/>
        <v>0.10300278396604759</v>
      </c>
      <c r="AL53" s="24"/>
      <c r="AM53" s="24"/>
      <c r="AN53" s="28">
        <f t="shared" si="69"/>
        <v>1.0300278396604758E-4</v>
      </c>
      <c r="AO53" s="7">
        <f t="shared" si="43"/>
        <v>2</v>
      </c>
      <c r="AP53" s="26">
        <f t="shared" si="70"/>
        <v>0</v>
      </c>
      <c r="AQ53" s="26">
        <f t="shared" si="71"/>
        <v>0</v>
      </c>
      <c r="AR53" s="26">
        <f t="shared" si="72"/>
        <v>0</v>
      </c>
      <c r="AS53" s="8">
        <f t="shared" si="73"/>
        <v>0</v>
      </c>
      <c r="AT53" s="7">
        <f t="shared" si="44"/>
        <v>2</v>
      </c>
      <c r="AU53" s="26">
        <f t="shared" si="74"/>
        <v>-2.8666666666666667</v>
      </c>
      <c r="AV53" s="26">
        <f t="shared" si="75"/>
        <v>-2866.6666666666665</v>
      </c>
      <c r="AW53" s="26">
        <f t="shared" si="76"/>
        <v>0</v>
      </c>
      <c r="AX53" s="8">
        <f t="shared" si="77"/>
        <v>0</v>
      </c>
    </row>
    <row r="54" spans="7:50" x14ac:dyDescent="0.25">
      <c r="G54">
        <f t="shared" si="45"/>
        <v>12899.999999999998</v>
      </c>
      <c r="H54" s="5">
        <f t="shared" si="78"/>
        <v>2.5</v>
      </c>
      <c r="I54" s="24">
        <f t="shared" si="46"/>
        <v>59.125</v>
      </c>
      <c r="J54" s="24">
        <f t="shared" si="47"/>
        <v>59125</v>
      </c>
      <c r="K54" s="24">
        <f t="shared" si="48"/>
        <v>6.8822758583564232</v>
      </c>
      <c r="L54" s="25">
        <f t="shared" si="49"/>
        <v>6.8822758583564235E-3</v>
      </c>
      <c r="M54" s="5">
        <f t="shared" si="38"/>
        <v>2.5</v>
      </c>
      <c r="N54" s="24">
        <f t="shared" si="50"/>
        <v>13.258333333333333</v>
      </c>
      <c r="O54" s="24">
        <f t="shared" si="51"/>
        <v>13258.333333333332</v>
      </c>
      <c r="P54" s="24">
        <f t="shared" si="52"/>
        <v>1.2171227402238047</v>
      </c>
      <c r="Q54" s="28">
        <f t="shared" si="53"/>
        <v>1.2171227402238047E-3</v>
      </c>
      <c r="R54" s="5">
        <f t="shared" si="39"/>
        <v>2.5</v>
      </c>
      <c r="S54" s="24">
        <f t="shared" si="54"/>
        <v>37.625</v>
      </c>
      <c r="T54" s="24">
        <f t="shared" si="55"/>
        <v>37625</v>
      </c>
      <c r="U54" s="24">
        <f t="shared" si="56"/>
        <v>2.5207517247940947</v>
      </c>
      <c r="V54" s="6">
        <f t="shared" si="57"/>
        <v>2.5207517247940949E-3</v>
      </c>
      <c r="W54" s="5">
        <f t="shared" si="40"/>
        <v>2.5</v>
      </c>
      <c r="X54" s="24">
        <f t="shared" si="58"/>
        <v>11.824999999999999</v>
      </c>
      <c r="Y54" s="24">
        <f t="shared" si="59"/>
        <v>11825</v>
      </c>
      <c r="Z54" s="24">
        <f t="shared" si="60"/>
        <v>0.49288441546253248</v>
      </c>
      <c r="AA54" s="30">
        <f t="shared" si="61"/>
        <v>4.9288441546253251E-4</v>
      </c>
      <c r="AB54" s="5">
        <f t="shared" si="41"/>
        <v>2.5</v>
      </c>
      <c r="AC54" s="24">
        <f t="shared" si="62"/>
        <v>16.125</v>
      </c>
      <c r="AD54" s="24">
        <f t="shared" si="63"/>
        <v>16125</v>
      </c>
      <c r="AE54" s="24">
        <f t="shared" si="64"/>
        <v>0.47679023046783753</v>
      </c>
      <c r="AF54" s="24"/>
      <c r="AG54" s="6">
        <f t="shared" si="65"/>
        <v>4.7679023046783752E-4</v>
      </c>
      <c r="AH54" s="5">
        <f t="shared" si="42"/>
        <v>2.5</v>
      </c>
      <c r="AI54" s="24">
        <f t="shared" si="66"/>
        <v>4.6583333333333332</v>
      </c>
      <c r="AJ54" s="24">
        <f t="shared" si="67"/>
        <v>4658.333333333333</v>
      </c>
      <c r="AK54" s="24">
        <f t="shared" si="68"/>
        <v>9.0529790595159032E-2</v>
      </c>
      <c r="AL54" s="24"/>
      <c r="AM54" s="24"/>
      <c r="AN54" s="28">
        <f t="shared" si="69"/>
        <v>9.0529790595159028E-5</v>
      </c>
      <c r="AQ54" t="s">
        <v>52</v>
      </c>
    </row>
    <row r="55" spans="7:50" x14ac:dyDescent="0.25">
      <c r="G55">
        <f t="shared" si="45"/>
        <v>8600</v>
      </c>
      <c r="H55" s="5">
        <f t="shared" si="78"/>
        <v>3</v>
      </c>
      <c r="I55" s="24">
        <f t="shared" si="46"/>
        <v>64.5</v>
      </c>
      <c r="J55" s="24">
        <f t="shared" si="47"/>
        <v>64500</v>
      </c>
      <c r="K55" s="24">
        <f t="shared" si="48"/>
        <v>7.6286436874853987</v>
      </c>
      <c r="L55" s="25">
        <f t="shared" si="49"/>
        <v>7.6286436874853985E-3</v>
      </c>
      <c r="M55" s="5">
        <f t="shared" si="38"/>
        <v>3</v>
      </c>
      <c r="N55" s="24">
        <f t="shared" si="50"/>
        <v>18.633333333333333</v>
      </c>
      <c r="O55" s="24">
        <f t="shared" si="51"/>
        <v>18633.333333333332</v>
      </c>
      <c r="P55" s="24">
        <f t="shared" si="52"/>
        <v>1.4484766495225443</v>
      </c>
      <c r="Q55" s="28">
        <f t="shared" si="53"/>
        <v>1.4484766495225442E-3</v>
      </c>
      <c r="R55" s="5">
        <f t="shared" si="39"/>
        <v>3</v>
      </c>
      <c r="S55" s="24">
        <f t="shared" si="54"/>
        <v>38.699999999999996</v>
      </c>
      <c r="T55" s="24">
        <f t="shared" si="55"/>
        <v>38699.999999999993</v>
      </c>
      <c r="U55" s="24">
        <f t="shared" si="56"/>
        <v>2.6072579691405795</v>
      </c>
      <c r="V55" s="6">
        <f t="shared" si="57"/>
        <v>2.6072579691405794E-3</v>
      </c>
      <c r="W55" s="5">
        <f t="shared" si="40"/>
        <v>3</v>
      </c>
      <c r="X55" s="24">
        <f t="shared" si="58"/>
        <v>12.9</v>
      </c>
      <c r="Y55" s="24">
        <f t="shared" si="59"/>
        <v>12900</v>
      </c>
      <c r="Z55" s="24">
        <f t="shared" si="60"/>
        <v>0.5214515938281159</v>
      </c>
      <c r="AA55" s="30">
        <f t="shared" si="61"/>
        <v>5.2145159382811594E-4</v>
      </c>
      <c r="AB55" s="5">
        <f t="shared" si="41"/>
        <v>3</v>
      </c>
      <c r="AC55" s="24">
        <f t="shared" si="62"/>
        <v>12.899999999999999</v>
      </c>
      <c r="AD55" s="24">
        <f t="shared" si="63"/>
        <v>12899.999999999998</v>
      </c>
      <c r="AE55" s="24">
        <f t="shared" si="64"/>
        <v>0.3669474178790445</v>
      </c>
      <c r="AF55" s="24"/>
      <c r="AG55" s="6">
        <f t="shared" si="65"/>
        <v>3.6694741787904453E-4</v>
      </c>
      <c r="AH55" s="5">
        <f t="shared" si="42"/>
        <v>3</v>
      </c>
      <c r="AI55" s="24">
        <f t="shared" si="66"/>
        <v>1.4333333333333333</v>
      </c>
      <c r="AJ55" s="24">
        <f t="shared" si="67"/>
        <v>1433.3333333333333</v>
      </c>
      <c r="AK55" s="24">
        <f t="shared" si="68"/>
        <v>5.7939065980901767E-2</v>
      </c>
      <c r="AL55" s="24"/>
      <c r="AM55" s="24"/>
      <c r="AN55" s="28">
        <f t="shared" si="69"/>
        <v>5.7939065980901768E-5</v>
      </c>
      <c r="AQ55">
        <f>$C$2*($AO$53/2-AO49)*1000</f>
        <v>8600</v>
      </c>
    </row>
    <row r="56" spans="7:50" x14ac:dyDescent="0.25">
      <c r="G56">
        <f t="shared" si="45"/>
        <v>4300</v>
      </c>
      <c r="H56" s="5">
        <f t="shared" si="78"/>
        <v>3.5</v>
      </c>
      <c r="I56" s="24">
        <f t="shared" si="46"/>
        <v>67.724999999999994</v>
      </c>
      <c r="J56" s="24">
        <f t="shared" si="47"/>
        <v>67725</v>
      </c>
      <c r="K56" s="24">
        <f t="shared" si="48"/>
        <v>8.0861208959596027</v>
      </c>
      <c r="L56" s="25">
        <f t="shared" si="49"/>
        <v>8.0861208959596021E-3</v>
      </c>
      <c r="M56" s="5">
        <f t="shared" si="38"/>
        <v>3.5</v>
      </c>
      <c r="N56" s="24">
        <f t="shared" si="50"/>
        <v>21.858333333333334</v>
      </c>
      <c r="O56" s="24">
        <f t="shared" si="51"/>
        <v>21858.333333333336</v>
      </c>
      <c r="P56" s="24">
        <f t="shared" si="52"/>
        <v>1.5969455060986051</v>
      </c>
      <c r="Q56" s="28">
        <f t="shared" si="53"/>
        <v>1.5969455060986051E-3</v>
      </c>
      <c r="R56" s="5">
        <f t="shared" si="39"/>
        <v>3.5</v>
      </c>
      <c r="S56" s="24">
        <f t="shared" si="54"/>
        <v>37.625</v>
      </c>
      <c r="T56" s="24">
        <f t="shared" si="55"/>
        <v>37625</v>
      </c>
      <c r="U56" s="24">
        <f t="shared" si="56"/>
        <v>2.5207517247940943</v>
      </c>
      <c r="V56" s="6">
        <f t="shared" si="57"/>
        <v>2.5207517247940944E-3</v>
      </c>
      <c r="W56" s="5">
        <f t="shared" si="40"/>
        <v>3.5</v>
      </c>
      <c r="X56" s="24">
        <f t="shared" si="58"/>
        <v>11.824999999999999</v>
      </c>
      <c r="Y56" s="24">
        <f t="shared" si="59"/>
        <v>11825</v>
      </c>
      <c r="Z56" s="24">
        <f t="shared" si="60"/>
        <v>0.49288441546253248</v>
      </c>
      <c r="AA56" s="30">
        <f t="shared" si="61"/>
        <v>4.9288441546253251E-4</v>
      </c>
      <c r="AB56" s="5">
        <f t="shared" si="41"/>
        <v>3.5</v>
      </c>
      <c r="AC56" s="24">
        <f t="shared" si="62"/>
        <v>7.5249999999999995</v>
      </c>
      <c r="AD56" s="24">
        <f t="shared" si="63"/>
        <v>7524.9999999999991</v>
      </c>
      <c r="AE56" s="24">
        <f t="shared" si="64"/>
        <v>0.19997024855908457</v>
      </c>
      <c r="AF56" s="24"/>
      <c r="AG56" s="6">
        <f t="shared" si="65"/>
        <v>1.9997024855908458E-4</v>
      </c>
      <c r="AH56" s="5">
        <f t="shared" si="42"/>
        <v>3.5</v>
      </c>
      <c r="AI56" s="24">
        <f t="shared" si="66"/>
        <v>-3.9416666666666669</v>
      </c>
      <c r="AJ56" s="24">
        <f t="shared" si="67"/>
        <v>-3941.666666666667</v>
      </c>
      <c r="AK56" s="24">
        <f t="shared" si="68"/>
        <v>1.9715376618501299E-2</v>
      </c>
      <c r="AL56" s="24"/>
      <c r="AM56" s="24"/>
      <c r="AN56" s="28">
        <f t="shared" si="69"/>
        <v>1.9715376618501298E-5</v>
      </c>
      <c r="AQ56">
        <f>$C$2*($AO$53/2-AO50)*1000</f>
        <v>4300</v>
      </c>
    </row>
    <row r="57" spans="7:50" ht="15.75" thickBot="1" x14ac:dyDescent="0.3">
      <c r="G57">
        <f t="shared" si="45"/>
        <v>0</v>
      </c>
      <c r="H57" s="5">
        <f t="shared" si="78"/>
        <v>4</v>
      </c>
      <c r="I57" s="24">
        <f t="shared" si="46"/>
        <v>68.8</v>
      </c>
      <c r="J57" s="24">
        <f t="shared" si="47"/>
        <v>68800</v>
      </c>
      <c r="K57" s="24">
        <f t="shared" si="48"/>
        <v>8.2402227172838067</v>
      </c>
      <c r="L57" s="25">
        <f t="shared" si="49"/>
        <v>8.2402227172838072E-3</v>
      </c>
      <c r="M57" s="5">
        <f t="shared" si="38"/>
        <v>4</v>
      </c>
      <c r="N57" s="24">
        <f t="shared" si="50"/>
        <v>22.933333333333334</v>
      </c>
      <c r="O57" s="24">
        <f t="shared" si="51"/>
        <v>22933.333333333332</v>
      </c>
      <c r="P57" s="24">
        <f t="shared" si="52"/>
        <v>1.6480445434567614</v>
      </c>
      <c r="Q57" s="28">
        <f t="shared" si="53"/>
        <v>1.6480445434567613E-3</v>
      </c>
      <c r="R57" s="5">
        <f t="shared" si="39"/>
        <v>4</v>
      </c>
      <c r="S57" s="24">
        <f t="shared" si="54"/>
        <v>34.4</v>
      </c>
      <c r="T57" s="24">
        <f t="shared" si="55"/>
        <v>34400</v>
      </c>
      <c r="U57" s="24">
        <f t="shared" si="56"/>
        <v>2.266061247253047</v>
      </c>
      <c r="V57" s="6">
        <f t="shared" si="57"/>
        <v>2.2660612472530472E-3</v>
      </c>
      <c r="W57" s="5">
        <f t="shared" si="40"/>
        <v>4</v>
      </c>
      <c r="X57" s="24">
        <f t="shared" si="58"/>
        <v>8.6</v>
      </c>
      <c r="Y57" s="24">
        <f t="shared" si="59"/>
        <v>8600</v>
      </c>
      <c r="Z57" s="24">
        <f t="shared" si="60"/>
        <v>0.41201113586419036</v>
      </c>
      <c r="AA57" s="30">
        <f t="shared" si="61"/>
        <v>4.1201113586419034E-4</v>
      </c>
      <c r="AB57" s="7">
        <f t="shared" si="41"/>
        <v>4</v>
      </c>
      <c r="AC57" s="26">
        <f t="shared" si="62"/>
        <v>0</v>
      </c>
      <c r="AD57" s="26">
        <f t="shared" si="63"/>
        <v>0</v>
      </c>
      <c r="AE57" s="26">
        <f t="shared" si="64"/>
        <v>0</v>
      </c>
      <c r="AF57" s="26"/>
      <c r="AG57" s="8">
        <v>0</v>
      </c>
      <c r="AH57" s="7">
        <f t="shared" si="42"/>
        <v>4</v>
      </c>
      <c r="AI57" s="26">
        <f t="shared" si="66"/>
        <v>-11.466666666666667</v>
      </c>
      <c r="AJ57" s="26">
        <f t="shared" si="67"/>
        <v>-11466.666666666666</v>
      </c>
      <c r="AK57" s="26">
        <f t="shared" si="68"/>
        <v>0</v>
      </c>
      <c r="AL57" s="26"/>
      <c r="AM57" s="26"/>
      <c r="AN57" s="29">
        <f t="shared" si="69"/>
        <v>0</v>
      </c>
      <c r="AQ57">
        <f>$C$2*($AO$53/2-AO51)*1000</f>
        <v>0</v>
      </c>
    </row>
    <row r="58" spans="7:50" x14ac:dyDescent="0.25">
      <c r="G58">
        <f t="shared" si="45"/>
        <v>-4300</v>
      </c>
      <c r="H58" s="5">
        <f t="shared" si="78"/>
        <v>4.5</v>
      </c>
      <c r="I58" s="24">
        <f t="shared" si="46"/>
        <v>67.724999999999994</v>
      </c>
      <c r="J58" s="24">
        <f t="shared" si="47"/>
        <v>67725</v>
      </c>
      <c r="K58" s="24">
        <f t="shared" si="48"/>
        <v>8.0861208959596027</v>
      </c>
      <c r="L58" s="25">
        <f t="shared" si="49"/>
        <v>8.0861208959596021E-3</v>
      </c>
      <c r="M58" s="5">
        <f t="shared" si="38"/>
        <v>4.5</v>
      </c>
      <c r="N58" s="24">
        <f t="shared" si="50"/>
        <v>21.858333333333334</v>
      </c>
      <c r="O58" s="24">
        <f t="shared" si="51"/>
        <v>21858.333333333336</v>
      </c>
      <c r="P58" s="24">
        <f t="shared" si="52"/>
        <v>1.5969455060986053</v>
      </c>
      <c r="Q58" s="28">
        <f t="shared" si="53"/>
        <v>1.5969455060986053E-3</v>
      </c>
      <c r="R58" s="5">
        <f t="shared" si="39"/>
        <v>4.5</v>
      </c>
      <c r="S58" s="24">
        <f t="shared" si="54"/>
        <v>29.024999999999999</v>
      </c>
      <c r="T58" s="24">
        <f t="shared" si="55"/>
        <v>29025</v>
      </c>
      <c r="U58" s="24">
        <f t="shared" si="56"/>
        <v>1.8576713030126628</v>
      </c>
      <c r="V58" s="6">
        <f t="shared" si="57"/>
        <v>1.8576713030126629E-3</v>
      </c>
      <c r="W58" s="5">
        <f t="shared" si="40"/>
        <v>4.5</v>
      </c>
      <c r="X58" s="24">
        <f t="shared" si="58"/>
        <v>3.2250000000000001</v>
      </c>
      <c r="Y58" s="24">
        <f t="shared" si="59"/>
        <v>3225</v>
      </c>
      <c r="Z58" s="24">
        <f t="shared" si="60"/>
        <v>0.29331652152831528</v>
      </c>
      <c r="AA58" s="30">
        <f t="shared" si="61"/>
        <v>2.9331652152831528E-4</v>
      </c>
      <c r="AD58" t="s">
        <v>52</v>
      </c>
      <c r="AQ58">
        <f>$C$2*($AO$53/2-AO52)*1000</f>
        <v>-4300</v>
      </c>
    </row>
    <row r="59" spans="7:50" x14ac:dyDescent="0.25">
      <c r="G59">
        <f t="shared" si="45"/>
        <v>-8600</v>
      </c>
      <c r="H59" s="5">
        <f t="shared" si="78"/>
        <v>5</v>
      </c>
      <c r="I59" s="24">
        <f t="shared" si="46"/>
        <v>64.5</v>
      </c>
      <c r="J59" s="24">
        <f t="shared" si="47"/>
        <v>64500</v>
      </c>
      <c r="K59" s="24">
        <f t="shared" si="48"/>
        <v>7.6286436874854004</v>
      </c>
      <c r="L59" s="25">
        <f t="shared" si="49"/>
        <v>7.6286436874854003E-3</v>
      </c>
      <c r="M59" s="5">
        <f t="shared" si="38"/>
        <v>5</v>
      </c>
      <c r="N59" s="24">
        <f t="shared" si="50"/>
        <v>18.633333333333333</v>
      </c>
      <c r="O59" s="24">
        <f t="shared" si="51"/>
        <v>18633.333333333332</v>
      </c>
      <c r="P59" s="24">
        <f t="shared" si="52"/>
        <v>1.4484766495225445</v>
      </c>
      <c r="Q59" s="28">
        <f t="shared" si="53"/>
        <v>1.4484766495225444E-3</v>
      </c>
      <c r="R59" s="5">
        <f t="shared" si="39"/>
        <v>5</v>
      </c>
      <c r="S59" s="24">
        <f t="shared" si="54"/>
        <v>21.5</v>
      </c>
      <c r="T59" s="24">
        <f t="shared" si="55"/>
        <v>21500</v>
      </c>
      <c r="U59" s="24">
        <f t="shared" si="56"/>
        <v>1.3197231695649849</v>
      </c>
      <c r="V59" s="6">
        <f t="shared" si="57"/>
        <v>1.319723169564985E-3</v>
      </c>
      <c r="W59" s="5">
        <f t="shared" si="40"/>
        <v>5</v>
      </c>
      <c r="X59" s="24">
        <f t="shared" si="58"/>
        <v>-4.3</v>
      </c>
      <c r="Y59" s="24">
        <f t="shared" si="59"/>
        <v>-4300</v>
      </c>
      <c r="Z59" s="24">
        <f t="shared" si="60"/>
        <v>0.16094184994694938</v>
      </c>
      <c r="AA59" s="30">
        <f t="shared" si="61"/>
        <v>1.6094184994694939E-4</v>
      </c>
      <c r="AD59">
        <f t="shared" ref="AD59:AD67" si="79">$C$2*($AB$57/2-AB49)*1000</f>
        <v>17200</v>
      </c>
      <c r="AQ59">
        <f>$C$2*($AO$53/2-AO53)*1000</f>
        <v>-8600</v>
      </c>
    </row>
    <row r="60" spans="7:50" x14ac:dyDescent="0.25">
      <c r="G60">
        <f t="shared" si="45"/>
        <v>-12899.999999999998</v>
      </c>
      <c r="H60" s="5">
        <f t="shared" si="78"/>
        <v>5.5</v>
      </c>
      <c r="I60" s="24">
        <f t="shared" si="46"/>
        <v>59.125</v>
      </c>
      <c r="J60" s="24">
        <f t="shared" si="47"/>
        <v>59125</v>
      </c>
      <c r="K60" s="24">
        <f t="shared" si="48"/>
        <v>6.8822758583564223</v>
      </c>
      <c r="L60" s="25">
        <f t="shared" si="49"/>
        <v>6.8822758583564226E-3</v>
      </c>
      <c r="M60" s="5">
        <f t="shared" si="38"/>
        <v>5.5</v>
      </c>
      <c r="N60" s="24">
        <f t="shared" si="50"/>
        <v>13.258333333333333</v>
      </c>
      <c r="O60" s="24">
        <f t="shared" si="51"/>
        <v>13258.333333333332</v>
      </c>
      <c r="P60" s="24">
        <f t="shared" si="52"/>
        <v>1.2171227402238045</v>
      </c>
      <c r="Q60" s="28">
        <f t="shared" si="53"/>
        <v>1.2171227402238045E-3</v>
      </c>
      <c r="R60" s="5">
        <f t="shared" si="39"/>
        <v>5.5</v>
      </c>
      <c r="S60" s="24">
        <f t="shared" si="54"/>
        <v>11.824999999999999</v>
      </c>
      <c r="T60" s="24">
        <f t="shared" si="55"/>
        <v>11825</v>
      </c>
      <c r="U60" s="24">
        <f t="shared" si="56"/>
        <v>0.68601463539887164</v>
      </c>
      <c r="V60" s="6">
        <f t="shared" si="57"/>
        <v>6.8601463539887163E-4</v>
      </c>
      <c r="W60" s="5">
        <f t="shared" si="40"/>
        <v>5.5</v>
      </c>
      <c r="X60" s="24">
        <f t="shared" si="58"/>
        <v>-13.975</v>
      </c>
      <c r="Y60" s="24">
        <f t="shared" si="59"/>
        <v>-13975</v>
      </c>
      <c r="Z60" s="24">
        <f t="shared" si="60"/>
        <v>4.8684909608952179E-2</v>
      </c>
      <c r="AA60" s="30">
        <f t="shared" si="61"/>
        <v>4.8684909608952176E-5</v>
      </c>
      <c r="AD60">
        <f t="shared" si="79"/>
        <v>12899.999999999998</v>
      </c>
    </row>
    <row r="61" spans="7:50" ht="15.75" thickBot="1" x14ac:dyDescent="0.3">
      <c r="G61">
        <f t="shared" si="45"/>
        <v>-17200</v>
      </c>
      <c r="H61" s="5">
        <f>H60+0.5</f>
        <v>6</v>
      </c>
      <c r="I61" s="24">
        <f t="shared" si="46"/>
        <v>51.599999999999994</v>
      </c>
      <c r="J61" s="24">
        <f t="shared" si="47"/>
        <v>51599.999999999993</v>
      </c>
      <c r="K61" s="24">
        <f t="shared" si="48"/>
        <v>5.871158686064712</v>
      </c>
      <c r="L61" s="25">
        <f t="shared" si="49"/>
        <v>5.8711586860647124E-3</v>
      </c>
      <c r="M61" s="5">
        <f t="shared" si="38"/>
        <v>6</v>
      </c>
      <c r="N61" s="24">
        <f t="shared" si="50"/>
        <v>5.7333333333333334</v>
      </c>
      <c r="O61" s="24">
        <f t="shared" si="51"/>
        <v>5733.333333333333</v>
      </c>
      <c r="P61" s="24">
        <f t="shared" si="52"/>
        <v>0.92702505569442828</v>
      </c>
      <c r="Q61" s="28">
        <f t="shared" si="53"/>
        <v>9.2702505569442829E-4</v>
      </c>
      <c r="R61" s="7">
        <f t="shared" si="39"/>
        <v>6</v>
      </c>
      <c r="S61" s="26">
        <f t="shared" si="54"/>
        <v>0</v>
      </c>
      <c r="T61" s="26">
        <f t="shared" si="55"/>
        <v>0</v>
      </c>
      <c r="U61" s="26">
        <f t="shared" si="56"/>
        <v>0</v>
      </c>
      <c r="V61" s="8">
        <f t="shared" si="57"/>
        <v>0</v>
      </c>
      <c r="W61" s="7">
        <f t="shared" si="40"/>
        <v>6</v>
      </c>
      <c r="X61" s="26">
        <f t="shared" si="58"/>
        <v>-25.8</v>
      </c>
      <c r="Y61" s="26">
        <f t="shared" si="59"/>
        <v>-25800</v>
      </c>
      <c r="Z61" s="26">
        <f t="shared" si="60"/>
        <v>0</v>
      </c>
      <c r="AA61" s="31">
        <f t="shared" si="61"/>
        <v>0</v>
      </c>
      <c r="AD61">
        <f t="shared" si="79"/>
        <v>8600</v>
      </c>
    </row>
    <row r="62" spans="7:50" x14ac:dyDescent="0.25">
      <c r="G62">
        <f t="shared" si="45"/>
        <v>-21500</v>
      </c>
      <c r="H62" s="5">
        <f t="shared" si="78"/>
        <v>6.5</v>
      </c>
      <c r="I62" s="24">
        <f t="shared" si="46"/>
        <v>41.924999999999997</v>
      </c>
      <c r="J62" s="24">
        <f t="shared" si="47"/>
        <v>41925</v>
      </c>
      <c r="K62" s="24">
        <f t="shared" si="48"/>
        <v>4.6290899590991312</v>
      </c>
      <c r="L62" s="25">
        <f t="shared" si="49"/>
        <v>4.6290899590991311E-3</v>
      </c>
      <c r="M62" s="5">
        <f t="shared" si="38"/>
        <v>6.5</v>
      </c>
      <c r="N62" s="24">
        <f t="shared" si="50"/>
        <v>-3.9416666666666669</v>
      </c>
      <c r="O62" s="24">
        <f t="shared" si="51"/>
        <v>-3941.666666666667</v>
      </c>
      <c r="P62" s="24">
        <f t="shared" si="52"/>
        <v>0.61198138442327488</v>
      </c>
      <c r="Q62" s="28">
        <f t="shared" si="53"/>
        <v>6.1198138442327484E-4</v>
      </c>
      <c r="T62" t="s">
        <v>52</v>
      </c>
      <c r="V62">
        <f t="shared" si="57"/>
        <v>0</v>
      </c>
      <c r="AA62">
        <f t="shared" si="61"/>
        <v>0</v>
      </c>
      <c r="AD62">
        <f t="shared" si="79"/>
        <v>4300</v>
      </c>
    </row>
    <row r="63" spans="7:50" x14ac:dyDescent="0.25">
      <c r="G63">
        <f t="shared" si="45"/>
        <v>-25799.999999999996</v>
      </c>
      <c r="H63" s="5">
        <f>H62+0.5</f>
        <v>7</v>
      </c>
      <c r="I63" s="24">
        <f t="shared" si="46"/>
        <v>30.099999999999998</v>
      </c>
      <c r="J63" s="24">
        <f t="shared" si="47"/>
        <v>30099.999999999996</v>
      </c>
      <c r="K63" s="24">
        <f t="shared" si="48"/>
        <v>3.1995239769453532</v>
      </c>
      <c r="L63" s="25">
        <f t="shared" si="49"/>
        <v>3.1995239769453533E-3</v>
      </c>
      <c r="M63" s="5">
        <f t="shared" si="38"/>
        <v>7</v>
      </c>
      <c r="N63" s="24">
        <f t="shared" si="50"/>
        <v>-15.766666666666667</v>
      </c>
      <c r="O63" s="24">
        <f t="shared" si="51"/>
        <v>-15766.666666666668</v>
      </c>
      <c r="P63" s="24">
        <f t="shared" si="52"/>
        <v>0.31544602589602078</v>
      </c>
      <c r="Q63" s="28">
        <f t="shared" si="53"/>
        <v>3.1544602589602078E-4</v>
      </c>
      <c r="T63">
        <f>$C$2*($R$61/2-R49)*1000</f>
        <v>25799.999999999996</v>
      </c>
      <c r="V63">
        <f t="shared" si="57"/>
        <v>0</v>
      </c>
      <c r="AA63">
        <f t="shared" si="61"/>
        <v>0</v>
      </c>
      <c r="AD63">
        <f t="shared" si="79"/>
        <v>0</v>
      </c>
    </row>
    <row r="64" spans="7:50" x14ac:dyDescent="0.25">
      <c r="G64">
        <f t="shared" si="45"/>
        <v>-30099.999999999996</v>
      </c>
      <c r="H64" s="5">
        <f t="shared" si="78"/>
        <v>7.5</v>
      </c>
      <c r="I64" s="24">
        <f t="shared" si="46"/>
        <v>16.125</v>
      </c>
      <c r="J64" s="24">
        <f t="shared" si="47"/>
        <v>16125</v>
      </c>
      <c r="K64" s="24">
        <f t="shared" si="48"/>
        <v>1.635571550085873</v>
      </c>
      <c r="L64" s="25">
        <f t="shared" si="49"/>
        <v>1.6355715500858731E-3</v>
      </c>
      <c r="M64" s="5">
        <f t="shared" si="38"/>
        <v>7.5</v>
      </c>
      <c r="N64" s="24">
        <f t="shared" si="50"/>
        <v>-29.741666666666667</v>
      </c>
      <c r="O64" s="24">
        <f t="shared" si="51"/>
        <v>-29741.666666666668</v>
      </c>
      <c r="P64" s="24">
        <f t="shared" si="52"/>
        <v>9.0529790595159018E-2</v>
      </c>
      <c r="Q64" s="28">
        <f t="shared" si="53"/>
        <v>9.0529790595159014E-5</v>
      </c>
      <c r="T64">
        <f t="shared" ref="T64:T75" si="80">$C$2*($R$61/2-R50)*1000</f>
        <v>21500</v>
      </c>
      <c r="V64">
        <f t="shared" si="57"/>
        <v>0</v>
      </c>
      <c r="AA64">
        <f t="shared" si="61"/>
        <v>0</v>
      </c>
      <c r="AD64">
        <f t="shared" si="79"/>
        <v>-4300</v>
      </c>
    </row>
    <row r="65" spans="3:30" ht="15.75" thickBot="1" x14ac:dyDescent="0.3">
      <c r="G65">
        <f t="shared" si="45"/>
        <v>-34400</v>
      </c>
      <c r="H65" s="7">
        <f>H64+0.5</f>
        <v>8</v>
      </c>
      <c r="I65" s="26">
        <f t="shared" si="46"/>
        <v>0</v>
      </c>
      <c r="J65" s="26">
        <f t="shared" si="47"/>
        <v>0</v>
      </c>
      <c r="K65" s="26">
        <f t="shared" si="48"/>
        <v>0</v>
      </c>
      <c r="L65" s="27">
        <f t="shared" si="49"/>
        <v>0</v>
      </c>
      <c r="M65" s="7">
        <f t="shared" si="38"/>
        <v>8</v>
      </c>
      <c r="N65" s="26">
        <f t="shared" si="50"/>
        <v>-45.866666666666667</v>
      </c>
      <c r="O65" s="26">
        <f t="shared" si="51"/>
        <v>-45866.666666666664</v>
      </c>
      <c r="P65" s="26">
        <f t="shared" si="52"/>
        <v>0</v>
      </c>
      <c r="Q65" s="29">
        <f t="shared" si="53"/>
        <v>0</v>
      </c>
      <c r="T65">
        <f t="shared" si="80"/>
        <v>17200</v>
      </c>
      <c r="V65">
        <f t="shared" si="57"/>
        <v>0</v>
      </c>
      <c r="AA65">
        <f t="shared" si="61"/>
        <v>0</v>
      </c>
      <c r="AD65">
        <f t="shared" si="79"/>
        <v>-8600</v>
      </c>
    </row>
    <row r="66" spans="3:30" ht="15.75" thickBot="1" x14ac:dyDescent="0.3">
      <c r="T66">
        <f t="shared" si="80"/>
        <v>12899.999999999998</v>
      </c>
      <c r="AD66">
        <f t="shared" si="79"/>
        <v>-12899.999999999998</v>
      </c>
    </row>
    <row r="67" spans="3:30" x14ac:dyDescent="0.25">
      <c r="H67" s="53" t="s">
        <v>50</v>
      </c>
      <c r="I67" s="54"/>
      <c r="J67" s="54"/>
      <c r="K67" s="54"/>
      <c r="L67" s="55"/>
      <c r="M67" s="53" t="s">
        <v>51</v>
      </c>
      <c r="N67" s="54"/>
      <c r="O67" s="54"/>
      <c r="P67" s="54"/>
      <c r="Q67" s="55"/>
      <c r="T67">
        <f t="shared" si="80"/>
        <v>8600</v>
      </c>
      <c r="AD67">
        <f t="shared" si="79"/>
        <v>-17200</v>
      </c>
    </row>
    <row r="68" spans="3:30" x14ac:dyDescent="0.25">
      <c r="H68" s="5" t="s">
        <v>1</v>
      </c>
      <c r="I68" s="24" t="s">
        <v>26</v>
      </c>
      <c r="J68" s="24" t="s">
        <v>27</v>
      </c>
      <c r="K68" s="24" t="s">
        <v>28</v>
      </c>
      <c r="L68" s="6" t="s">
        <v>29</v>
      </c>
      <c r="M68" s="5" t="str">
        <f>H68</f>
        <v>L [m]</v>
      </c>
      <c r="N68" s="24" t="s">
        <v>26</v>
      </c>
      <c r="O68" s="24" t="s">
        <v>27</v>
      </c>
      <c r="P68" s="24" t="s">
        <v>31</v>
      </c>
      <c r="Q68" s="6" t="s">
        <v>29</v>
      </c>
      <c r="R68" s="32" t="s">
        <v>52</v>
      </c>
      <c r="T68">
        <f t="shared" si="80"/>
        <v>4300</v>
      </c>
    </row>
    <row r="69" spans="3:30" x14ac:dyDescent="0.25">
      <c r="E69">
        <v>0.3</v>
      </c>
      <c r="H69" s="5">
        <v>0</v>
      </c>
      <c r="I69" s="24">
        <f>(($C$2*H69)/2)*($H$79-H69)</f>
        <v>0</v>
      </c>
      <c r="J69" s="24">
        <f>I69*1000</f>
        <v>0</v>
      </c>
      <c r="K69" s="24">
        <f>(($C$2*H69)/(24*$C$3*$C$7))*($H$79^3-2*$H$79*H69^2+H69^3)</f>
        <v>0</v>
      </c>
      <c r="L69" s="25">
        <f>K69/1000</f>
        <v>0</v>
      </c>
      <c r="M69" s="5">
        <f t="shared" ref="M69:M79" si="81">H69</f>
        <v>0</v>
      </c>
      <c r="N69" s="24">
        <f>($C$2/12)*(6*$M$79*M69 - $M$79^2 - 6*M69^2)</f>
        <v>-63.324666666666623</v>
      </c>
      <c r="O69" s="24">
        <f>N69*1000</f>
        <v>-63324.666666666621</v>
      </c>
      <c r="P69" s="24">
        <f>(($C$2*M69^2)/(24*$C$3*$C$7))*(($M$79-M69)^2)</f>
        <v>0</v>
      </c>
      <c r="Q69" s="28">
        <f>P69/1000</f>
        <v>0</v>
      </c>
      <c r="R69">
        <f>$C$2*($M$79/2-M69)*1000</f>
        <v>40419.999999999985</v>
      </c>
      <c r="T69">
        <f t="shared" si="80"/>
        <v>0</v>
      </c>
    </row>
    <row r="70" spans="3:30" x14ac:dyDescent="0.25">
      <c r="E70">
        <f>E69+0.94</f>
        <v>1.24</v>
      </c>
      <c r="H70" s="5">
        <f>H69+$C$79</f>
        <v>0.93999999999999984</v>
      </c>
      <c r="I70" s="24">
        <f t="shared" ref="I70:I79" si="82">(($C$2*H70)/2)*($H$79-H70)</f>
        <v>34.195319999999981</v>
      </c>
      <c r="J70" s="24">
        <f t="shared" ref="J70:J79" si="83">I70*1000</f>
        <v>34195.319999999978</v>
      </c>
      <c r="K70" s="24">
        <f t="shared" ref="K70:K79" si="84">(($C$2*H70)/(24*$C$3*$C$7))*($H$79^3-2*$H$79*H70^2+H70^3)</f>
        <v>4.9307093403676818</v>
      </c>
      <c r="L70" s="25">
        <f t="shared" ref="L70:L79" si="85">K70/1000</f>
        <v>4.9307093403676821E-3</v>
      </c>
      <c r="M70" s="5">
        <f t="shared" si="81"/>
        <v>0.93999999999999984</v>
      </c>
      <c r="N70" s="24">
        <f t="shared" ref="N70:N79" si="86">($C$2/12)*(6*$M$79*M70 - $M$79^2 - 6*M70^2)</f>
        <v>-29.129346666666649</v>
      </c>
      <c r="O70" s="24">
        <f t="shared" ref="O70:O79" si="87">N70*1000</f>
        <v>-29129.34666666665</v>
      </c>
      <c r="P70" s="24">
        <f t="shared" ref="P70:P79" si="88">(($C$2*M70^2)/(24*$C$3*$C$7))*(($M$79-M70)^2)</f>
        <v>0.40712278957164361</v>
      </c>
      <c r="Q70" s="28">
        <f t="shared" ref="Q70:Q79" si="89">P70/1000</f>
        <v>4.0712278957164363E-4</v>
      </c>
      <c r="R70">
        <f t="shared" ref="R70:R79" si="90">$C$2*($M$79/2-M70)*1000</f>
        <v>32335.999999999985</v>
      </c>
      <c r="T70">
        <f t="shared" si="80"/>
        <v>-4300</v>
      </c>
    </row>
    <row r="71" spans="3:30" x14ac:dyDescent="0.25">
      <c r="E71">
        <f t="shared" ref="E71:E79" si="91">E70+0.94</f>
        <v>2.1799999999999997</v>
      </c>
      <c r="H71" s="5">
        <f t="shared" ref="H71:H79" si="92">H70+$C$79</f>
        <v>1.8799999999999997</v>
      </c>
      <c r="I71" s="24">
        <f t="shared" si="82"/>
        <v>60.791679999999957</v>
      </c>
      <c r="J71" s="24">
        <f t="shared" si="83"/>
        <v>60791.679999999957</v>
      </c>
      <c r="K71" s="24">
        <f t="shared" si="84"/>
        <v>9.3286407091971633</v>
      </c>
      <c r="L71" s="25">
        <f t="shared" si="85"/>
        <v>9.3286407091971637E-3</v>
      </c>
      <c r="M71" s="5">
        <f t="shared" si="81"/>
        <v>1.8799999999999997</v>
      </c>
      <c r="N71" s="24">
        <f t="shared" si="86"/>
        <v>-2.5329866666666652</v>
      </c>
      <c r="O71" s="24">
        <f t="shared" si="87"/>
        <v>-2532.9866666666653</v>
      </c>
      <c r="P71" s="24">
        <f t="shared" si="88"/>
        <v>1.28670906333754</v>
      </c>
      <c r="Q71" s="28">
        <f t="shared" si="89"/>
        <v>1.2867090633375399E-3</v>
      </c>
      <c r="R71">
        <f t="shared" si="90"/>
        <v>24251.999999999985</v>
      </c>
      <c r="T71">
        <f t="shared" si="80"/>
        <v>-8600</v>
      </c>
    </row>
    <row r="72" spans="3:30" x14ac:dyDescent="0.25">
      <c r="E72">
        <f t="shared" si="91"/>
        <v>3.1199999999999997</v>
      </c>
      <c r="H72" s="5">
        <f t="shared" si="92"/>
        <v>2.8199999999999994</v>
      </c>
      <c r="I72" s="24">
        <f t="shared" si="82"/>
        <v>79.789079999999956</v>
      </c>
      <c r="J72" s="24">
        <f t="shared" si="83"/>
        <v>79789.079999999958</v>
      </c>
      <c r="K72" s="24">
        <f t="shared" si="84"/>
        <v>12.771592695080814</v>
      </c>
      <c r="L72" s="25">
        <f t="shared" si="85"/>
        <v>1.2771592695080814E-2</v>
      </c>
      <c r="M72" s="5">
        <f t="shared" si="81"/>
        <v>2.8199999999999994</v>
      </c>
      <c r="N72" s="24">
        <f t="shared" si="86"/>
        <v>16.464413333333312</v>
      </c>
      <c r="O72" s="24">
        <f t="shared" si="87"/>
        <v>16464.413333333312</v>
      </c>
      <c r="P72" s="24">
        <f t="shared" si="88"/>
        <v>2.2165574098900587</v>
      </c>
      <c r="Q72" s="28">
        <f t="shared" si="89"/>
        <v>2.2165574098900586E-3</v>
      </c>
      <c r="R72">
        <f t="shared" si="90"/>
        <v>16167.999999999993</v>
      </c>
      <c r="T72">
        <f t="shared" si="80"/>
        <v>-12899.999999999998</v>
      </c>
    </row>
    <row r="73" spans="3:30" x14ac:dyDescent="0.25">
      <c r="E73">
        <f t="shared" si="91"/>
        <v>4.0599999999999996</v>
      </c>
      <c r="H73" s="5">
        <f t="shared" si="92"/>
        <v>3.7599999999999993</v>
      </c>
      <c r="I73" s="24">
        <f t="shared" si="82"/>
        <v>91.187519999999921</v>
      </c>
      <c r="J73" s="24">
        <f t="shared" si="83"/>
        <v>91187.519999999917</v>
      </c>
      <c r="K73" s="24">
        <f t="shared" si="84"/>
        <v>14.957992861298898</v>
      </c>
      <c r="L73" s="25">
        <f t="shared" si="85"/>
        <v>1.4957992861298898E-2</v>
      </c>
      <c r="M73" s="5">
        <f t="shared" si="81"/>
        <v>3.7599999999999993</v>
      </c>
      <c r="N73" s="24">
        <f t="shared" si="86"/>
        <v>27.862853333333302</v>
      </c>
      <c r="O73" s="24">
        <f t="shared" si="87"/>
        <v>27862.853333333303</v>
      </c>
      <c r="P73" s="24">
        <f t="shared" si="88"/>
        <v>2.8950953925094645</v>
      </c>
      <c r="Q73" s="28">
        <f t="shared" si="89"/>
        <v>2.8950953925094645E-3</v>
      </c>
      <c r="R73">
        <f t="shared" si="90"/>
        <v>8083.9999999999909</v>
      </c>
      <c r="T73">
        <f t="shared" si="80"/>
        <v>-17200</v>
      </c>
    </row>
    <row r="74" spans="3:30" x14ac:dyDescent="0.25">
      <c r="E74">
        <f t="shared" si="91"/>
        <v>5</v>
      </c>
      <c r="H74" s="5">
        <f t="shared" si="92"/>
        <v>4.6999999999999993</v>
      </c>
      <c r="I74" s="24">
        <f t="shared" si="82"/>
        <v>94.986999999999938</v>
      </c>
      <c r="J74" s="24">
        <f t="shared" si="83"/>
        <v>94986.999999999942</v>
      </c>
      <c r="K74" s="24">
        <f t="shared" si="84"/>
        <v>15.706897745819575</v>
      </c>
      <c r="L74" s="25">
        <f t="shared" si="85"/>
        <v>1.5706897745819574E-2</v>
      </c>
      <c r="M74" s="5">
        <f t="shared" si="81"/>
        <v>4.6999999999999993</v>
      </c>
      <c r="N74" s="24">
        <f t="shared" si="86"/>
        <v>31.662333333333297</v>
      </c>
      <c r="O74" s="24">
        <f t="shared" si="87"/>
        <v>31662.333333333296</v>
      </c>
      <c r="P74" s="24">
        <f t="shared" si="88"/>
        <v>3.1413795491639145</v>
      </c>
      <c r="Q74" s="28">
        <f t="shared" si="89"/>
        <v>3.1413795491639146E-3</v>
      </c>
      <c r="R74">
        <f t="shared" si="90"/>
        <v>-7.638334409421077E-12</v>
      </c>
      <c r="T74">
        <f t="shared" si="80"/>
        <v>-21500</v>
      </c>
    </row>
    <row r="75" spans="3:30" x14ac:dyDescent="0.25">
      <c r="E75">
        <f t="shared" si="91"/>
        <v>5.9399999999999995</v>
      </c>
      <c r="H75" s="5">
        <f t="shared" si="92"/>
        <v>5.6399999999999988</v>
      </c>
      <c r="I75" s="24">
        <f t="shared" si="82"/>
        <v>91.187519999999935</v>
      </c>
      <c r="J75" s="24">
        <f t="shared" si="83"/>
        <v>91187.519999999931</v>
      </c>
      <c r="K75" s="24">
        <f t="shared" si="84"/>
        <v>14.957992861298896</v>
      </c>
      <c r="L75" s="25">
        <f t="shared" si="85"/>
        <v>1.4957992861298897E-2</v>
      </c>
      <c r="M75" s="5">
        <f t="shared" si="81"/>
        <v>5.6399999999999988</v>
      </c>
      <c r="N75" s="24">
        <f t="shared" si="86"/>
        <v>27.862853333333273</v>
      </c>
      <c r="O75" s="24">
        <f t="shared" si="87"/>
        <v>27862.853333333274</v>
      </c>
      <c r="P75" s="24">
        <f t="shared" si="88"/>
        <v>2.8950953925094636</v>
      </c>
      <c r="Q75" s="28">
        <f t="shared" si="89"/>
        <v>2.8950953925094636E-3</v>
      </c>
      <c r="R75">
        <f t="shared" si="90"/>
        <v>-8084.0000000000036</v>
      </c>
      <c r="T75">
        <f t="shared" si="80"/>
        <v>-25799.999999999996</v>
      </c>
    </row>
    <row r="76" spans="3:30" x14ac:dyDescent="0.25">
      <c r="E76">
        <f t="shared" si="91"/>
        <v>6.879999999999999</v>
      </c>
      <c r="H76" s="5">
        <f t="shared" si="92"/>
        <v>6.5799999999999983</v>
      </c>
      <c r="I76" s="24">
        <f t="shared" si="82"/>
        <v>79.789079999999927</v>
      </c>
      <c r="J76" s="24">
        <f t="shared" si="83"/>
        <v>79789.079999999929</v>
      </c>
      <c r="K76" s="24">
        <f t="shared" si="84"/>
        <v>12.771592695080811</v>
      </c>
      <c r="L76" s="25">
        <f t="shared" si="85"/>
        <v>1.2771592695080811E-2</v>
      </c>
      <c r="M76" s="5">
        <f t="shared" si="81"/>
        <v>6.5799999999999983</v>
      </c>
      <c r="N76" s="24">
        <f t="shared" si="86"/>
        <v>16.464413333333276</v>
      </c>
      <c r="O76" s="24">
        <f t="shared" si="87"/>
        <v>16464.413333333276</v>
      </c>
      <c r="P76" s="24">
        <f t="shared" si="88"/>
        <v>2.2165574098900582</v>
      </c>
      <c r="Q76" s="28">
        <f t="shared" si="89"/>
        <v>2.2165574098900582E-3</v>
      </c>
      <c r="R76">
        <f t="shared" si="90"/>
        <v>-16168</v>
      </c>
    </row>
    <row r="77" spans="3:30" x14ac:dyDescent="0.25">
      <c r="E77">
        <f t="shared" si="91"/>
        <v>7.8199999999999985</v>
      </c>
      <c r="H77" s="5">
        <f t="shared" si="92"/>
        <v>7.5199999999999978</v>
      </c>
      <c r="I77" s="24">
        <f t="shared" si="82"/>
        <v>60.79167999999995</v>
      </c>
      <c r="J77" s="24">
        <f t="shared" si="83"/>
        <v>60791.679999999949</v>
      </c>
      <c r="K77" s="24">
        <f t="shared" si="84"/>
        <v>9.3286407091971597</v>
      </c>
      <c r="L77" s="25">
        <f t="shared" si="85"/>
        <v>9.3286407091971602E-3</v>
      </c>
      <c r="M77" s="5">
        <f t="shared" si="81"/>
        <v>7.5199999999999978</v>
      </c>
      <c r="N77" s="24">
        <f t="shared" si="86"/>
        <v>-2.5329866666667109</v>
      </c>
      <c r="O77" s="24">
        <f t="shared" si="87"/>
        <v>-2532.9866666667108</v>
      </c>
      <c r="P77" s="24">
        <f t="shared" si="88"/>
        <v>1.2867090633375391</v>
      </c>
      <c r="Q77" s="28">
        <f t="shared" si="89"/>
        <v>1.286709063337539E-3</v>
      </c>
      <c r="R77">
        <f t="shared" si="90"/>
        <v>-24251.999999999996</v>
      </c>
    </row>
    <row r="78" spans="3:30" x14ac:dyDescent="0.25">
      <c r="C78">
        <f>9.7-0.3</f>
        <v>9.3999999999999986</v>
      </c>
      <c r="E78">
        <f t="shared" si="91"/>
        <v>8.759999999999998</v>
      </c>
      <c r="H78" s="5">
        <f t="shared" si="92"/>
        <v>8.4599999999999973</v>
      </c>
      <c r="I78" s="24">
        <f t="shared" si="82"/>
        <v>34.195319999999967</v>
      </c>
      <c r="J78" s="24">
        <f t="shared" si="83"/>
        <v>34195.319999999963</v>
      </c>
      <c r="K78" s="24">
        <f t="shared" si="84"/>
        <v>4.9307093403676836</v>
      </c>
      <c r="L78" s="25">
        <f t="shared" si="85"/>
        <v>4.9307093403676838E-3</v>
      </c>
      <c r="M78" s="5">
        <f t="shared" si="81"/>
        <v>8.4599999999999973</v>
      </c>
      <c r="N78" s="24">
        <f t="shared" si="86"/>
        <v>-29.129346666666709</v>
      </c>
      <c r="O78" s="24">
        <f t="shared" si="87"/>
        <v>-29129.346666666708</v>
      </c>
      <c r="P78" s="24">
        <f t="shared" si="88"/>
        <v>0.40712278957164333</v>
      </c>
      <c r="Q78" s="28">
        <f t="shared" si="89"/>
        <v>4.0712278957164331E-4</v>
      </c>
      <c r="R78">
        <f t="shared" si="90"/>
        <v>-32335.999999999993</v>
      </c>
    </row>
    <row r="79" spans="3:30" x14ac:dyDescent="0.25">
      <c r="C79">
        <f>C78/10</f>
        <v>0.93999999999999984</v>
      </c>
      <c r="E79">
        <f t="shared" si="91"/>
        <v>9.6999999999999975</v>
      </c>
      <c r="H79" s="5">
        <f t="shared" si="92"/>
        <v>9.3999999999999968</v>
      </c>
      <c r="I79" s="24">
        <f t="shared" si="82"/>
        <v>0</v>
      </c>
      <c r="J79" s="24">
        <f t="shared" si="83"/>
        <v>0</v>
      </c>
      <c r="K79" s="24">
        <f t="shared" si="84"/>
        <v>0</v>
      </c>
      <c r="L79" s="25">
        <f t="shared" si="85"/>
        <v>0</v>
      </c>
      <c r="M79" s="5">
        <f t="shared" si="81"/>
        <v>9.3999999999999968</v>
      </c>
      <c r="N79" s="24">
        <f t="shared" si="86"/>
        <v>-63.324666666666637</v>
      </c>
      <c r="O79" s="24">
        <f t="shared" si="87"/>
        <v>-63324.666666666635</v>
      </c>
      <c r="P79" s="24">
        <f t="shared" si="88"/>
        <v>0</v>
      </c>
      <c r="Q79" s="28">
        <f t="shared" si="89"/>
        <v>0</v>
      </c>
      <c r="R79">
        <f t="shared" si="90"/>
        <v>-40419.999999999985</v>
      </c>
    </row>
  </sheetData>
  <mergeCells count="15">
    <mergeCell ref="AO47:AS47"/>
    <mergeCell ref="AT47:AX47"/>
    <mergeCell ref="H67:L67"/>
    <mergeCell ref="M67:Q67"/>
    <mergeCell ref="H2:M2"/>
    <mergeCell ref="R2:W2"/>
    <mergeCell ref="AB2:AJ2"/>
    <mergeCell ref="H47:L47"/>
    <mergeCell ref="M47:Q47"/>
    <mergeCell ref="R47:V47"/>
    <mergeCell ref="W47:AA47"/>
    <mergeCell ref="AB47:AG47"/>
    <mergeCell ref="AH47:AN47"/>
    <mergeCell ref="AB25:AM25"/>
    <mergeCell ref="AN25:AY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D588-3BD0-495F-9EA7-EF8AFC878680}">
  <dimension ref="B1:P22"/>
  <sheetViews>
    <sheetView tabSelected="1" topLeftCell="A16" zoomScale="75" zoomScaleNormal="75" workbookViewId="0">
      <selection activeCell="G48" sqref="G48"/>
    </sheetView>
  </sheetViews>
  <sheetFormatPr defaultRowHeight="15" x14ac:dyDescent="0.25"/>
  <cols>
    <col min="2" max="2" width="19.7109375" bestFit="1" customWidth="1"/>
    <col min="6" max="6" width="18.85546875" customWidth="1"/>
    <col min="8" max="8" width="9.28515625" customWidth="1"/>
    <col min="9" max="9" width="17" customWidth="1"/>
    <col min="13" max="13" width="14.28515625" customWidth="1"/>
    <col min="14" max="14" width="20" customWidth="1"/>
    <col min="15" max="15" width="15.28515625" customWidth="1"/>
    <col min="16" max="16" width="15.85546875" customWidth="1"/>
  </cols>
  <sheetData>
    <row r="1" spans="2:16" ht="15.75" thickBot="1" x14ac:dyDescent="0.3"/>
    <row r="2" spans="2:16" x14ac:dyDescent="0.25">
      <c r="B2" t="s">
        <v>2</v>
      </c>
      <c r="C2">
        <v>8.6</v>
      </c>
      <c r="F2" t="s">
        <v>75</v>
      </c>
      <c r="H2" s="57" t="s">
        <v>74</v>
      </c>
      <c r="I2" s="58"/>
      <c r="J2" s="58"/>
      <c r="K2" s="58"/>
      <c r="L2" s="58"/>
      <c r="M2" s="59"/>
      <c r="N2" s="46" t="s">
        <v>78</v>
      </c>
      <c r="O2" s="57" t="s">
        <v>79</v>
      </c>
      <c r="P2" s="59"/>
    </row>
    <row r="3" spans="2:16" x14ac:dyDescent="0.25">
      <c r="B3" t="s">
        <v>7</v>
      </c>
      <c r="C3">
        <f>5000*SQRT(C4)</f>
        <v>20615.528128088303</v>
      </c>
      <c r="D3">
        <f>25000</f>
        <v>25000</v>
      </c>
      <c r="F3">
        <f>C2*C9^2/8</f>
        <v>107.5</v>
      </c>
      <c r="H3" s="47" t="s">
        <v>69</v>
      </c>
      <c r="I3" s="48" t="s">
        <v>70</v>
      </c>
      <c r="J3" s="48" t="s">
        <v>71</v>
      </c>
      <c r="K3" s="48" t="s">
        <v>72</v>
      </c>
      <c r="L3" s="48" t="s">
        <v>73</v>
      </c>
      <c r="M3" s="49" t="s">
        <v>11</v>
      </c>
      <c r="N3" s="50" t="s">
        <v>11</v>
      </c>
      <c r="O3" s="51" t="s">
        <v>80</v>
      </c>
      <c r="P3" s="52" t="s">
        <v>11</v>
      </c>
    </row>
    <row r="4" spans="2:16" x14ac:dyDescent="0.25">
      <c r="B4" t="s">
        <v>3</v>
      </c>
      <c r="C4">
        <v>17</v>
      </c>
      <c r="F4" t="s">
        <v>76</v>
      </c>
      <c r="H4" s="5">
        <f>'rev1_UDLfor_beamlength=LOS'!R5</f>
        <v>0.5</v>
      </c>
      <c r="I4" s="24">
        <f>H4</f>
        <v>0.5</v>
      </c>
      <c r="J4" s="24">
        <f>($C$9-I4)/2</f>
        <v>4.75</v>
      </c>
      <c r="K4" s="24">
        <f>J4</f>
        <v>4.75</v>
      </c>
      <c r="L4" s="24">
        <f>(($C$2*I4)/(2*$C$9))*((2*K4)+I4)</f>
        <v>2.15</v>
      </c>
      <c r="M4" s="6">
        <f>L4*(J4+(L4/(2*$C$2)))</f>
        <v>10.481249999999999</v>
      </c>
      <c r="N4" s="44">
        <v>5.1100000000000003</v>
      </c>
      <c r="O4" s="5">
        <v>6155</v>
      </c>
      <c r="P4" s="6">
        <f>O4/1000</f>
        <v>6.1550000000000002</v>
      </c>
    </row>
    <row r="5" spans="2:16" x14ac:dyDescent="0.25">
      <c r="B5" t="s">
        <v>5</v>
      </c>
      <c r="C5">
        <v>0.15</v>
      </c>
      <c r="F5">
        <f>C2*C9^2/12</f>
        <v>71.666666666666671</v>
      </c>
      <c r="H5" s="5">
        <f>'rev1_UDLfor_beamlength=LOS'!R6</f>
        <v>1</v>
      </c>
      <c r="I5" s="24">
        <f t="shared" ref="I5:I22" si="0">H5</f>
        <v>1</v>
      </c>
      <c r="J5" s="24">
        <f t="shared" ref="J5:J22" si="1">($C$9-I5)/2</f>
        <v>4.5</v>
      </c>
      <c r="K5" s="24">
        <f t="shared" ref="K5:K22" si="2">J5</f>
        <v>4.5</v>
      </c>
      <c r="L5" s="24">
        <f t="shared" ref="L5:L22" si="3">(($C$2*I5)/(2*$C$9))*((2*K5)+I5)</f>
        <v>4.3</v>
      </c>
      <c r="M5" s="6">
        <f t="shared" ref="M5:M22" si="4">L5*(J5+(L5/(2*$C$2)))</f>
        <v>20.425000000000001</v>
      </c>
      <c r="N5" s="44">
        <v>9.7100000000000009</v>
      </c>
      <c r="O5" s="5">
        <v>9771</v>
      </c>
      <c r="P5" s="6">
        <f t="shared" ref="P5:P22" si="5">O5/1000</f>
        <v>9.7710000000000008</v>
      </c>
    </row>
    <row r="6" spans="2:16" x14ac:dyDescent="0.25">
      <c r="B6" t="s">
        <v>4</v>
      </c>
      <c r="C6">
        <v>0.6</v>
      </c>
      <c r="F6" t="s">
        <v>77</v>
      </c>
      <c r="H6" s="5">
        <f>'rev1_UDLfor_beamlength=LOS'!R7</f>
        <v>1.5</v>
      </c>
      <c r="I6" s="24">
        <f t="shared" si="0"/>
        <v>1.5</v>
      </c>
      <c r="J6" s="24">
        <f t="shared" si="1"/>
        <v>4.25</v>
      </c>
      <c r="K6" s="24">
        <f t="shared" si="2"/>
        <v>4.25</v>
      </c>
      <c r="L6" s="24">
        <f t="shared" si="3"/>
        <v>6.4499999999999993</v>
      </c>
      <c r="M6" s="6">
        <f t="shared" si="4"/>
        <v>29.831249999999997</v>
      </c>
      <c r="N6" s="44">
        <v>13.82</v>
      </c>
      <c r="O6" s="5">
        <v>13130</v>
      </c>
      <c r="P6" s="6">
        <f t="shared" si="5"/>
        <v>13.13</v>
      </c>
    </row>
    <row r="7" spans="2:16" x14ac:dyDescent="0.25">
      <c r="B7" t="s">
        <v>6</v>
      </c>
      <c r="C7">
        <f>(C5*C6^3)/12</f>
        <v>2.6999999999999997E-3</v>
      </c>
      <c r="F7">
        <f>C2*C9^2/24</f>
        <v>35.833333333333336</v>
      </c>
      <c r="H7" s="5">
        <f>'rev1_UDLfor_beamlength=LOS'!R8</f>
        <v>2</v>
      </c>
      <c r="I7" s="24">
        <f t="shared" si="0"/>
        <v>2</v>
      </c>
      <c r="J7" s="24">
        <f t="shared" si="1"/>
        <v>4</v>
      </c>
      <c r="K7" s="24">
        <f t="shared" si="2"/>
        <v>4</v>
      </c>
      <c r="L7" s="24">
        <f t="shared" si="3"/>
        <v>8.6</v>
      </c>
      <c r="M7" s="6">
        <f t="shared" si="4"/>
        <v>38.699999999999996</v>
      </c>
      <c r="N7" s="44">
        <v>17.5</v>
      </c>
      <c r="O7" s="5">
        <v>17319</v>
      </c>
      <c r="P7" s="6">
        <f t="shared" si="5"/>
        <v>17.318999999999999</v>
      </c>
    </row>
    <row r="8" spans="2:16" x14ac:dyDescent="0.25">
      <c r="B8" t="s">
        <v>8</v>
      </c>
      <c r="H8" s="5">
        <f>'rev1_UDLfor_beamlength=LOS'!R9</f>
        <v>2.5</v>
      </c>
      <c r="I8" s="24">
        <f t="shared" si="0"/>
        <v>2.5</v>
      </c>
      <c r="J8" s="24">
        <f t="shared" si="1"/>
        <v>3.75</v>
      </c>
      <c r="K8" s="24">
        <f t="shared" si="2"/>
        <v>3.75</v>
      </c>
      <c r="L8" s="24">
        <f t="shared" si="3"/>
        <v>10.75</v>
      </c>
      <c r="M8" s="6">
        <f t="shared" si="4"/>
        <v>47.03125</v>
      </c>
      <c r="N8" s="44">
        <v>20.72</v>
      </c>
      <c r="O8" s="5">
        <v>21349</v>
      </c>
      <c r="P8" s="6">
        <f t="shared" si="5"/>
        <v>21.349</v>
      </c>
    </row>
    <row r="9" spans="2:16" x14ac:dyDescent="0.25">
      <c r="B9" t="s">
        <v>1</v>
      </c>
      <c r="C9">
        <v>10</v>
      </c>
      <c r="H9" s="5">
        <f>'rev1_UDLfor_beamlength=LOS'!R10</f>
        <v>3</v>
      </c>
      <c r="I9" s="24">
        <f t="shared" si="0"/>
        <v>3</v>
      </c>
      <c r="J9" s="24">
        <f t="shared" si="1"/>
        <v>3.5</v>
      </c>
      <c r="K9" s="24">
        <f t="shared" si="2"/>
        <v>3.5</v>
      </c>
      <c r="L9" s="24">
        <f t="shared" si="3"/>
        <v>12.899999999999999</v>
      </c>
      <c r="M9" s="6">
        <f t="shared" si="4"/>
        <v>54.824999999999996</v>
      </c>
      <c r="N9" s="44">
        <v>23.54</v>
      </c>
      <c r="O9" s="5">
        <v>26329</v>
      </c>
      <c r="P9" s="6">
        <f t="shared" si="5"/>
        <v>26.329000000000001</v>
      </c>
    </row>
    <row r="10" spans="2:16" s="34" customFormat="1" x14ac:dyDescent="0.25">
      <c r="H10" s="5">
        <f>'rev1_UDLfor_beamlength=LOS'!R11</f>
        <v>3.5</v>
      </c>
      <c r="I10" s="24">
        <f t="shared" si="0"/>
        <v>3.5</v>
      </c>
      <c r="J10" s="24">
        <f t="shared" si="1"/>
        <v>3.25</v>
      </c>
      <c r="K10" s="24">
        <f t="shared" si="2"/>
        <v>3.25</v>
      </c>
      <c r="L10" s="24">
        <f t="shared" si="3"/>
        <v>15.049999999999999</v>
      </c>
      <c r="M10" s="6">
        <f t="shared" si="4"/>
        <v>62.081249999999997</v>
      </c>
      <c r="N10" s="43">
        <v>25.99</v>
      </c>
      <c r="O10" s="40">
        <v>31176</v>
      </c>
      <c r="P10" s="6">
        <f t="shared" si="5"/>
        <v>31.175999999999998</v>
      </c>
    </row>
    <row r="11" spans="2:16" x14ac:dyDescent="0.25">
      <c r="H11" s="5">
        <f>'rev1_UDLfor_beamlength=LOS'!R12</f>
        <v>4</v>
      </c>
      <c r="I11" s="24">
        <f t="shared" si="0"/>
        <v>4</v>
      </c>
      <c r="J11" s="24">
        <f t="shared" si="1"/>
        <v>3</v>
      </c>
      <c r="K11" s="24">
        <f t="shared" si="2"/>
        <v>3</v>
      </c>
      <c r="L11" s="24">
        <f t="shared" si="3"/>
        <v>17.2</v>
      </c>
      <c r="M11" s="6">
        <f t="shared" si="4"/>
        <v>68.8</v>
      </c>
      <c r="N11" s="43">
        <v>28.09</v>
      </c>
      <c r="O11" s="5">
        <v>37127</v>
      </c>
      <c r="P11" s="6">
        <f t="shared" si="5"/>
        <v>37.127000000000002</v>
      </c>
    </row>
    <row r="12" spans="2:16" x14ac:dyDescent="0.25">
      <c r="H12" s="5">
        <f>'rev1_UDLfor_beamlength=LOS'!R13</f>
        <v>4.5</v>
      </c>
      <c r="I12" s="24">
        <f t="shared" si="0"/>
        <v>4.5</v>
      </c>
      <c r="J12" s="24">
        <f t="shared" si="1"/>
        <v>2.75</v>
      </c>
      <c r="K12" s="24">
        <f t="shared" si="2"/>
        <v>2.75</v>
      </c>
      <c r="L12" s="24">
        <f t="shared" si="3"/>
        <v>19.349999999999998</v>
      </c>
      <c r="M12" s="6">
        <f t="shared" si="4"/>
        <v>74.981249999999989</v>
      </c>
      <c r="N12" s="43">
        <v>29.87</v>
      </c>
      <c r="O12" s="5">
        <v>42813.9</v>
      </c>
      <c r="P12" s="6">
        <f t="shared" si="5"/>
        <v>42.813900000000004</v>
      </c>
    </row>
    <row r="13" spans="2:16" x14ac:dyDescent="0.25">
      <c r="H13" s="5">
        <f>'rev1_UDLfor_beamlength=LOS'!R14</f>
        <v>5</v>
      </c>
      <c r="I13" s="24">
        <f t="shared" si="0"/>
        <v>5</v>
      </c>
      <c r="J13" s="24">
        <f t="shared" si="1"/>
        <v>2.5</v>
      </c>
      <c r="K13" s="24">
        <f t="shared" si="2"/>
        <v>2.5</v>
      </c>
      <c r="L13" s="24">
        <f t="shared" si="3"/>
        <v>21.5</v>
      </c>
      <c r="M13" s="6">
        <f t="shared" si="4"/>
        <v>80.625</v>
      </c>
      <c r="N13" s="43">
        <v>31.35</v>
      </c>
      <c r="O13" s="5">
        <v>49770</v>
      </c>
      <c r="P13" s="6">
        <f t="shared" si="5"/>
        <v>49.77</v>
      </c>
    </row>
    <row r="14" spans="2:16" x14ac:dyDescent="0.25">
      <c r="H14" s="5">
        <f>'rev1_UDLfor_beamlength=LOS'!R15</f>
        <v>5.5</v>
      </c>
      <c r="I14" s="24">
        <f t="shared" si="0"/>
        <v>5.5</v>
      </c>
      <c r="J14" s="24">
        <f t="shared" si="1"/>
        <v>2.25</v>
      </c>
      <c r="K14" s="24">
        <f t="shared" si="2"/>
        <v>2.25</v>
      </c>
      <c r="L14" s="24">
        <f t="shared" si="3"/>
        <v>23.65</v>
      </c>
      <c r="M14" s="6">
        <f t="shared" si="4"/>
        <v>85.731249999999989</v>
      </c>
      <c r="N14" s="43">
        <v>32.57</v>
      </c>
      <c r="O14" s="5">
        <v>56085</v>
      </c>
      <c r="P14" s="6">
        <f t="shared" si="5"/>
        <v>56.085000000000001</v>
      </c>
    </row>
    <row r="15" spans="2:16" x14ac:dyDescent="0.25">
      <c r="H15" s="5">
        <f>'rev1_UDLfor_beamlength=LOS'!R16</f>
        <v>6</v>
      </c>
      <c r="I15" s="24">
        <f t="shared" si="0"/>
        <v>6</v>
      </c>
      <c r="J15" s="24">
        <f t="shared" si="1"/>
        <v>2</v>
      </c>
      <c r="K15" s="24">
        <f t="shared" si="2"/>
        <v>2</v>
      </c>
      <c r="L15" s="24">
        <f t="shared" si="3"/>
        <v>25.799999999999997</v>
      </c>
      <c r="M15" s="6">
        <f t="shared" si="4"/>
        <v>90.299999999999983</v>
      </c>
      <c r="N15" s="43">
        <v>33.54</v>
      </c>
      <c r="O15" s="5">
        <v>63805</v>
      </c>
      <c r="P15" s="6">
        <f t="shared" si="5"/>
        <v>63.805</v>
      </c>
    </row>
    <row r="16" spans="2:16" x14ac:dyDescent="0.25">
      <c r="H16" s="5">
        <f>'rev1_UDLfor_beamlength=LOS'!R17</f>
        <v>6.5</v>
      </c>
      <c r="I16" s="24">
        <f t="shared" si="0"/>
        <v>6.5</v>
      </c>
      <c r="J16" s="24">
        <f t="shared" si="1"/>
        <v>1.75</v>
      </c>
      <c r="K16" s="24">
        <f t="shared" si="2"/>
        <v>1.75</v>
      </c>
      <c r="L16" s="24">
        <f t="shared" si="3"/>
        <v>27.95</v>
      </c>
      <c r="M16" s="6">
        <f t="shared" si="4"/>
        <v>94.331249999999997</v>
      </c>
      <c r="N16" s="43">
        <v>34.299999999999997</v>
      </c>
      <c r="O16" s="5">
        <v>70398</v>
      </c>
      <c r="P16" s="6">
        <f t="shared" si="5"/>
        <v>70.397999999999996</v>
      </c>
    </row>
    <row r="17" spans="8:16" x14ac:dyDescent="0.25">
      <c r="H17" s="5">
        <f>'rev1_UDLfor_beamlength=LOS'!R18</f>
        <v>7</v>
      </c>
      <c r="I17" s="24">
        <f t="shared" si="0"/>
        <v>7</v>
      </c>
      <c r="J17" s="24">
        <f t="shared" si="1"/>
        <v>1.5</v>
      </c>
      <c r="K17" s="24">
        <f t="shared" si="2"/>
        <v>1.5</v>
      </c>
      <c r="L17" s="24">
        <f t="shared" si="3"/>
        <v>30.099999999999998</v>
      </c>
      <c r="M17" s="6">
        <f t="shared" si="4"/>
        <v>97.824999999999989</v>
      </c>
      <c r="N17" s="43">
        <v>34.869999999999997</v>
      </c>
      <c r="O17" s="5">
        <v>78238</v>
      </c>
      <c r="P17" s="6">
        <f t="shared" si="5"/>
        <v>78.238</v>
      </c>
    </row>
    <row r="18" spans="8:16" s="34" customFormat="1" x14ac:dyDescent="0.25">
      <c r="H18" s="5">
        <f>'rev1_UDLfor_beamlength=LOS'!R19</f>
        <v>7.5</v>
      </c>
      <c r="I18" s="24">
        <f t="shared" si="0"/>
        <v>7.5</v>
      </c>
      <c r="J18" s="24">
        <f t="shared" si="1"/>
        <v>1.25</v>
      </c>
      <c r="K18" s="24">
        <f t="shared" si="2"/>
        <v>1.25</v>
      </c>
      <c r="L18" s="24">
        <f t="shared" si="3"/>
        <v>32.25</v>
      </c>
      <c r="M18" s="6">
        <f t="shared" si="4"/>
        <v>100.78125</v>
      </c>
      <c r="N18" s="43">
        <v>35.270000000000003</v>
      </c>
      <c r="O18" s="40">
        <v>84685</v>
      </c>
      <c r="P18" s="6">
        <f t="shared" si="5"/>
        <v>84.685000000000002</v>
      </c>
    </row>
    <row r="19" spans="8:16" x14ac:dyDescent="0.25">
      <c r="H19" s="5">
        <f>'rev1_UDLfor_beamlength=LOS'!R20</f>
        <v>8</v>
      </c>
      <c r="I19" s="24">
        <f t="shared" si="0"/>
        <v>8</v>
      </c>
      <c r="J19" s="24">
        <f t="shared" si="1"/>
        <v>1</v>
      </c>
      <c r="K19" s="24">
        <f t="shared" si="2"/>
        <v>1</v>
      </c>
      <c r="L19" s="24">
        <f t="shared" si="3"/>
        <v>34.4</v>
      </c>
      <c r="M19" s="6">
        <f t="shared" si="4"/>
        <v>103.19999999999999</v>
      </c>
      <c r="N19" s="43">
        <v>35.54</v>
      </c>
      <c r="O19" s="5">
        <v>92145</v>
      </c>
      <c r="P19" s="6">
        <f t="shared" si="5"/>
        <v>92.144999999999996</v>
      </c>
    </row>
    <row r="20" spans="8:16" s="34" customFormat="1" x14ac:dyDescent="0.25">
      <c r="H20" s="5">
        <f>'rev1_UDLfor_beamlength=LOS'!R21</f>
        <v>8.5</v>
      </c>
      <c r="I20" s="24">
        <f t="shared" si="0"/>
        <v>8.5</v>
      </c>
      <c r="J20" s="24">
        <f t="shared" si="1"/>
        <v>0.75</v>
      </c>
      <c r="K20" s="24">
        <f t="shared" si="2"/>
        <v>0.75</v>
      </c>
      <c r="L20" s="24">
        <f t="shared" si="3"/>
        <v>36.549999999999997</v>
      </c>
      <c r="M20" s="6">
        <f t="shared" si="4"/>
        <v>105.08125</v>
      </c>
      <c r="N20" s="43">
        <v>35.71</v>
      </c>
      <c r="O20" s="40">
        <v>99274</v>
      </c>
      <c r="P20" s="6">
        <f t="shared" si="5"/>
        <v>99.274000000000001</v>
      </c>
    </row>
    <row r="21" spans="8:16" s="34" customFormat="1" x14ac:dyDescent="0.25">
      <c r="H21" s="5">
        <f>'rev1_UDLfor_beamlength=LOS'!R22</f>
        <v>9</v>
      </c>
      <c r="I21" s="24">
        <f t="shared" si="0"/>
        <v>9</v>
      </c>
      <c r="J21" s="24">
        <f t="shared" si="1"/>
        <v>0.5</v>
      </c>
      <c r="K21" s="24">
        <f t="shared" si="2"/>
        <v>0.5</v>
      </c>
      <c r="L21" s="24">
        <f t="shared" si="3"/>
        <v>38.699999999999996</v>
      </c>
      <c r="M21" s="6">
        <f t="shared" si="4"/>
        <v>106.42499999999998</v>
      </c>
      <c r="N21" s="43">
        <v>35.79</v>
      </c>
      <c r="O21" s="40">
        <v>107530</v>
      </c>
      <c r="P21" s="6">
        <f t="shared" si="5"/>
        <v>107.53</v>
      </c>
    </row>
    <row r="22" spans="8:16" ht="15.75" thickBot="1" x14ac:dyDescent="0.3">
      <c r="H22" s="7">
        <v>9.4</v>
      </c>
      <c r="I22" s="26">
        <f t="shared" si="0"/>
        <v>9.4</v>
      </c>
      <c r="J22" s="26">
        <f t="shared" si="1"/>
        <v>0.29999999999999982</v>
      </c>
      <c r="K22" s="26">
        <f t="shared" si="2"/>
        <v>0.29999999999999982</v>
      </c>
      <c r="L22" s="26">
        <f t="shared" si="3"/>
        <v>40.42</v>
      </c>
      <c r="M22" s="8">
        <f t="shared" si="4"/>
        <v>107.113</v>
      </c>
      <c r="N22" s="45">
        <v>35.82</v>
      </c>
      <c r="O22" s="7">
        <v>107530</v>
      </c>
      <c r="P22" s="8">
        <f t="shared" si="5"/>
        <v>107.53</v>
      </c>
    </row>
  </sheetData>
  <mergeCells count="2">
    <mergeCell ref="H2:M2"/>
    <mergeCell ref="O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rev1_UDLfor_beamlength=LOS</vt:lpstr>
      <vt:lpstr>rev2_UDL=LOS_beamlen=found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cp:lastPrinted>2022-11-11T00:33:37Z</cp:lastPrinted>
  <dcterms:created xsi:type="dcterms:W3CDTF">2022-10-24T21:07:55Z</dcterms:created>
  <dcterms:modified xsi:type="dcterms:W3CDTF">2022-11-29T03:16:44Z</dcterms:modified>
</cp:coreProperties>
</file>