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Usersm$\mda153\Home\My Documents\2022\Course Work\ENCI682\Sections to Model\"/>
    </mc:Choice>
  </mc:AlternateContent>
  <xr:revisionPtr revIDLastSave="0" documentId="13_ncr:1_{286B0B0C-1C7E-457B-8605-03EC72A9508E}" xr6:coauthVersionLast="36" xr6:coauthVersionMax="47" xr10:uidLastSave="{00000000-0000-0000-0000-000000000000}"/>
  <bookViews>
    <workbookView xWindow="0" yWindow="0" windowWidth="28800" windowHeight="11625" activeTab="3" xr2:uid="{3B227C90-381A-473D-B04B-C5CA5BAC4385}"/>
  </bookViews>
  <sheets>
    <sheet name="Model Parameters to Vary" sheetId="2" r:id="rId1"/>
    <sheet name="Sensitivity check" sheetId="5" r:id="rId2"/>
    <sheet name="results_vf" sheetId="8" r:id="rId3"/>
    <sheet name="Figures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5" i="8" l="1"/>
  <c r="AD54" i="8"/>
  <c r="AB81" i="8" l="1"/>
  <c r="AA81" i="8"/>
  <c r="Z81" i="8"/>
  <c r="Z82" i="8" s="1"/>
  <c r="AB78" i="8"/>
  <c r="AA78" i="8"/>
  <c r="Z78" i="8"/>
  <c r="AI71" i="8"/>
  <c r="AE71" i="8"/>
  <c r="AD71" i="8"/>
  <c r="AI70" i="8"/>
  <c r="AE70" i="8"/>
  <c r="AD70" i="8"/>
  <c r="AF45" i="8"/>
  <c r="AC45" i="8"/>
  <c r="AB45" i="8"/>
  <c r="AA45" i="8"/>
  <c r="M49" i="8"/>
  <c r="K49" i="8"/>
  <c r="AF44" i="8"/>
  <c r="AC44" i="8"/>
  <c r="AB44" i="8"/>
  <c r="AA44" i="8"/>
  <c r="M48" i="8"/>
  <c r="K48" i="8"/>
  <c r="AF43" i="8"/>
  <c r="AC43" i="8"/>
  <c r="AB43" i="8"/>
  <c r="AA43" i="8"/>
  <c r="M47" i="8"/>
  <c r="K47" i="8"/>
  <c r="AF42" i="8"/>
  <c r="AC42" i="8"/>
  <c r="AB42" i="8"/>
  <c r="AA42" i="8"/>
  <c r="M46" i="8"/>
  <c r="K46" i="8"/>
  <c r="AF41" i="8"/>
  <c r="AC41" i="8"/>
  <c r="AB41" i="8"/>
  <c r="AA41" i="8"/>
  <c r="Z41" i="8"/>
  <c r="Z45" i="8" s="1"/>
  <c r="M45" i="8"/>
  <c r="K45" i="8"/>
  <c r="C45" i="8"/>
  <c r="C49" i="8" s="1"/>
  <c r="AF40" i="8"/>
  <c r="AC40" i="8"/>
  <c r="AB40" i="8"/>
  <c r="AA40" i="8"/>
  <c r="Z40" i="8"/>
  <c r="Z44" i="8" s="1"/>
  <c r="M44" i="8"/>
  <c r="K44" i="8"/>
  <c r="C44" i="8"/>
  <c r="C48" i="8" s="1"/>
  <c r="AF39" i="8"/>
  <c r="AC39" i="8"/>
  <c r="AB39" i="8"/>
  <c r="AA39" i="8"/>
  <c r="Z39" i="8"/>
  <c r="Z43" i="8" s="1"/>
  <c r="M43" i="8"/>
  <c r="C43" i="8"/>
  <c r="C47" i="8" s="1"/>
  <c r="AF38" i="8"/>
  <c r="AC38" i="8"/>
  <c r="AB38" i="8"/>
  <c r="AA38" i="8"/>
  <c r="Z38" i="8"/>
  <c r="Z42" i="8" s="1"/>
  <c r="M42" i="8"/>
  <c r="K42" i="8"/>
  <c r="C42" i="8"/>
  <c r="C46" i="8" s="1"/>
  <c r="AC37" i="8"/>
  <c r="AB37" i="8"/>
  <c r="AA37" i="8"/>
  <c r="M41" i="8"/>
  <c r="K41" i="8"/>
  <c r="I41" i="8"/>
  <c r="G41" i="8"/>
  <c r="M40" i="8"/>
  <c r="K40" i="8"/>
  <c r="M39" i="8"/>
  <c r="K39" i="8"/>
  <c r="U38" i="8"/>
  <c r="AJ35" i="8" s="1"/>
  <c r="T38" i="8"/>
  <c r="S38" i="8"/>
  <c r="M38" i="8"/>
  <c r="K38" i="8"/>
  <c r="U37" i="8"/>
  <c r="T37" i="8"/>
  <c r="AG34" i="8" s="1"/>
  <c r="S37" i="8"/>
  <c r="AD34" i="8" s="1"/>
  <c r="M37" i="8"/>
  <c r="K37" i="8"/>
  <c r="U36" i="8"/>
  <c r="AJ33" i="8" s="1"/>
  <c r="T36" i="8"/>
  <c r="S36" i="8"/>
  <c r="M36" i="8"/>
  <c r="K36" i="8"/>
  <c r="AG35" i="8"/>
  <c r="AD35" i="8"/>
  <c r="AA35" i="8"/>
  <c r="Z35" i="8"/>
  <c r="U35" i="8"/>
  <c r="AJ32" i="8" s="1"/>
  <c r="T35" i="8"/>
  <c r="S35" i="8"/>
  <c r="M35" i="8"/>
  <c r="K35" i="8"/>
  <c r="AJ34" i="8"/>
  <c r="AF34" i="8"/>
  <c r="AA34" i="8"/>
  <c r="M34" i="8"/>
  <c r="K34" i="8"/>
  <c r="AG33" i="8"/>
  <c r="AF33" i="8"/>
  <c r="AD33" i="8"/>
  <c r="AA33" i="8"/>
  <c r="U33" i="8"/>
  <c r="AI35" i="8" s="1"/>
  <c r="T33" i="8"/>
  <c r="AF35" i="8" s="1"/>
  <c r="S33" i="8"/>
  <c r="AC35" i="8" s="1"/>
  <c r="M33" i="8"/>
  <c r="K33" i="8"/>
  <c r="AG32" i="8"/>
  <c r="AD32" i="8"/>
  <c r="AA32" i="8"/>
  <c r="U32" i="8"/>
  <c r="AI34" i="8" s="1"/>
  <c r="T32" i="8"/>
  <c r="S32" i="8"/>
  <c r="AC34" i="8" s="1"/>
  <c r="M32" i="8"/>
  <c r="K32" i="8"/>
  <c r="AH31" i="8"/>
  <c r="AA31" i="8"/>
  <c r="Z31" i="8"/>
  <c r="U31" i="8"/>
  <c r="AI33" i="8" s="1"/>
  <c r="T31" i="8"/>
  <c r="S31" i="8"/>
  <c r="AC33" i="8" s="1"/>
  <c r="M31" i="8"/>
  <c r="K31" i="8"/>
  <c r="AI30" i="8"/>
  <c r="AF30" i="8"/>
  <c r="AA30" i="8"/>
  <c r="U30" i="8"/>
  <c r="AI32" i="8" s="1"/>
  <c r="T30" i="8"/>
  <c r="AF32" i="8" s="1"/>
  <c r="S30" i="8"/>
  <c r="AC32" i="8" s="1"/>
  <c r="M30" i="8"/>
  <c r="K30" i="8"/>
  <c r="AJ29" i="8"/>
  <c r="AB29" i="8"/>
  <c r="AA29" i="8"/>
  <c r="M29" i="8"/>
  <c r="K29" i="8"/>
  <c r="AG28" i="8"/>
  <c r="AA28" i="8"/>
  <c r="U28" i="8"/>
  <c r="AH35" i="8" s="1"/>
  <c r="T28" i="8"/>
  <c r="AE35" i="8" s="1"/>
  <c r="S28" i="8"/>
  <c r="AB35" i="8" s="1"/>
  <c r="M28" i="8"/>
  <c r="K28" i="8"/>
  <c r="U27" i="8"/>
  <c r="AH34" i="8" s="1"/>
  <c r="T27" i="8"/>
  <c r="AE34" i="8" s="1"/>
  <c r="S27" i="8"/>
  <c r="AB34" i="8" s="1"/>
  <c r="M27" i="8"/>
  <c r="K27" i="8"/>
  <c r="U26" i="8"/>
  <c r="AH33" i="8" s="1"/>
  <c r="T26" i="8"/>
  <c r="AE33" i="8" s="1"/>
  <c r="S26" i="8"/>
  <c r="AB33" i="8" s="1"/>
  <c r="M26" i="8"/>
  <c r="K26" i="8"/>
  <c r="U25" i="8"/>
  <c r="AH32" i="8" s="1"/>
  <c r="T25" i="8"/>
  <c r="AE32" i="8" s="1"/>
  <c r="S25" i="8"/>
  <c r="AB32" i="8" s="1"/>
  <c r="M25" i="8"/>
  <c r="K25" i="8"/>
  <c r="M24" i="8"/>
  <c r="K24" i="8"/>
  <c r="F24" i="8"/>
  <c r="M23" i="8"/>
  <c r="K23" i="8"/>
  <c r="M22" i="8"/>
  <c r="K22" i="8"/>
  <c r="C22" i="8"/>
  <c r="M21" i="8"/>
  <c r="K21" i="8"/>
  <c r="U20" i="8"/>
  <c r="AJ31" i="8" s="1"/>
  <c r="T20" i="8"/>
  <c r="AG31" i="8" s="1"/>
  <c r="S20" i="8"/>
  <c r="AD31" i="8" s="1"/>
  <c r="M20" i="8"/>
  <c r="K20" i="8"/>
  <c r="U19" i="8"/>
  <c r="AJ30" i="8" s="1"/>
  <c r="T19" i="8"/>
  <c r="AG30" i="8" s="1"/>
  <c r="S19" i="8"/>
  <c r="AD30" i="8" s="1"/>
  <c r="M19" i="8"/>
  <c r="K19" i="8"/>
  <c r="U18" i="8"/>
  <c r="T18" i="8"/>
  <c r="AG29" i="8" s="1"/>
  <c r="S18" i="8"/>
  <c r="AD29" i="8" s="1"/>
  <c r="M18" i="8"/>
  <c r="K18" i="8"/>
  <c r="U17" i="8"/>
  <c r="AJ28" i="8" s="1"/>
  <c r="T17" i="8"/>
  <c r="S17" i="8"/>
  <c r="AD28" i="8" s="1"/>
  <c r="M17" i="8"/>
  <c r="K17" i="8"/>
  <c r="M16" i="8"/>
  <c r="K16" i="8"/>
  <c r="U15" i="8"/>
  <c r="AI31" i="8" s="1"/>
  <c r="T15" i="8"/>
  <c r="AF31" i="8" s="1"/>
  <c r="S15" i="8"/>
  <c r="AC31" i="8" s="1"/>
  <c r="M15" i="8"/>
  <c r="K15" i="8"/>
  <c r="D15" i="8"/>
  <c r="D20" i="8" s="1"/>
  <c r="D45" i="8" s="1"/>
  <c r="U14" i="8"/>
  <c r="T14" i="8"/>
  <c r="S14" i="8"/>
  <c r="AC30" i="8" s="1"/>
  <c r="M14" i="8"/>
  <c r="K14" i="8"/>
  <c r="U13" i="8"/>
  <c r="AI29" i="8" s="1"/>
  <c r="T13" i="8"/>
  <c r="AF29" i="8" s="1"/>
  <c r="S13" i="8"/>
  <c r="AC29" i="8" s="1"/>
  <c r="M13" i="8"/>
  <c r="K13" i="8"/>
  <c r="U12" i="8"/>
  <c r="AI28" i="8" s="1"/>
  <c r="T12" i="8"/>
  <c r="AF28" i="8" s="1"/>
  <c r="S12" i="8"/>
  <c r="AC28" i="8" s="1"/>
  <c r="M12" i="8"/>
  <c r="K12" i="8"/>
  <c r="M11" i="8"/>
  <c r="K11" i="8"/>
  <c r="D11" i="8"/>
  <c r="D16" i="8" s="1"/>
  <c r="Y10" i="8"/>
  <c r="AE45" i="8" s="1"/>
  <c r="U10" i="8"/>
  <c r="T10" i="8"/>
  <c r="AE31" i="8" s="1"/>
  <c r="S10" i="8"/>
  <c r="AB31" i="8" s="1"/>
  <c r="M10" i="8"/>
  <c r="K10" i="8"/>
  <c r="D10" i="8"/>
  <c r="Y9" i="8"/>
  <c r="AE44" i="8" s="1"/>
  <c r="U9" i="8"/>
  <c r="AH30" i="8" s="1"/>
  <c r="T9" i="8"/>
  <c r="AE30" i="8" s="1"/>
  <c r="S9" i="8"/>
  <c r="AB30" i="8" s="1"/>
  <c r="M9" i="8"/>
  <c r="K9" i="8"/>
  <c r="Y8" i="8"/>
  <c r="Z33" i="8" s="1"/>
  <c r="U8" i="8"/>
  <c r="AH29" i="8" s="1"/>
  <c r="T8" i="8"/>
  <c r="AE29" i="8" s="1"/>
  <c r="S8" i="8"/>
  <c r="M8" i="8"/>
  <c r="K8" i="8"/>
  <c r="Y7" i="8"/>
  <c r="Z32" i="8" s="1"/>
  <c r="U7" i="8"/>
  <c r="AH28" i="8" s="1"/>
  <c r="T7" i="8"/>
  <c r="AE28" i="8" s="1"/>
  <c r="S7" i="8"/>
  <c r="AB28" i="8" s="1"/>
  <c r="M7" i="8"/>
  <c r="K7" i="8"/>
  <c r="M6" i="8"/>
  <c r="K6" i="8"/>
  <c r="O3" i="8"/>
  <c r="M3" i="8"/>
  <c r="D25" i="8" s="1"/>
  <c r="D30" i="8" s="1"/>
  <c r="D35" i="8" s="1"/>
  <c r="D46" i="8" s="1"/>
  <c r="L3" i="8"/>
  <c r="D27" i="8" s="1"/>
  <c r="D32" i="8" s="1"/>
  <c r="D37" i="8" s="1"/>
  <c r="D48" i="8" s="1"/>
  <c r="J3" i="8"/>
  <c r="D26" i="8" s="1"/>
  <c r="D31" i="8" s="1"/>
  <c r="D36" i="8" s="1"/>
  <c r="D47" i="8" s="1"/>
  <c r="I3" i="8"/>
  <c r="D28" i="8" s="1"/>
  <c r="D33" i="8" s="1"/>
  <c r="D38" i="8" s="1"/>
  <c r="D49" i="8" s="1"/>
  <c r="G3" i="8"/>
  <c r="F3" i="8"/>
  <c r="O2" i="8"/>
  <c r="M2" i="8"/>
  <c r="D7" i="8" s="1"/>
  <c r="D12" i="8" s="1"/>
  <c r="D17" i="8" s="1"/>
  <c r="D42" i="8" s="1"/>
  <c r="L2" i="8"/>
  <c r="D9" i="8" s="1"/>
  <c r="D14" i="8" s="1"/>
  <c r="D19" i="8" s="1"/>
  <c r="D44" i="8" s="1"/>
  <c r="J2" i="8"/>
  <c r="D8" i="8" s="1"/>
  <c r="D13" i="8" s="1"/>
  <c r="D18" i="8" s="1"/>
  <c r="D43" i="8" s="1"/>
  <c r="I2" i="8"/>
  <c r="G2" i="8"/>
  <c r="F2" i="8" s="1"/>
  <c r="F1" i="8"/>
  <c r="AA82" i="8" l="1"/>
  <c r="AG70" i="8" s="1"/>
  <c r="AB82" i="8"/>
  <c r="AH70" i="8"/>
  <c r="AH71" i="8"/>
  <c r="AF70" i="8"/>
  <c r="AF71" i="8"/>
  <c r="AE41" i="8"/>
  <c r="Z29" i="8"/>
  <c r="Z30" i="8"/>
  <c r="Z34" i="8"/>
  <c r="AE42" i="8"/>
  <c r="AE38" i="8"/>
  <c r="Z28" i="8"/>
  <c r="AE39" i="8"/>
  <c r="AE43" i="8"/>
  <c r="AE40" i="8"/>
  <c r="AG71" i="8" l="1"/>
  <c r="J16" i="5"/>
  <c r="J17" i="5"/>
  <c r="J18" i="5"/>
  <c r="J15" i="5"/>
  <c r="J10" i="5"/>
  <c r="J11" i="5"/>
  <c r="J12" i="5"/>
  <c r="J9" i="5"/>
  <c r="N18" i="5"/>
  <c r="M18" i="5"/>
  <c r="N17" i="5"/>
  <c r="M17" i="5"/>
  <c r="N16" i="5"/>
  <c r="M16" i="5"/>
  <c r="N12" i="5"/>
  <c r="M12" i="5"/>
  <c r="N11" i="5"/>
  <c r="M11" i="5"/>
  <c r="N10" i="5"/>
  <c r="M10" i="5"/>
  <c r="N9" i="5"/>
  <c r="N15" i="5" s="1"/>
  <c r="M9" i="5"/>
  <c r="M15" i="5" s="1"/>
  <c r="N6" i="5"/>
  <c r="M6" i="5"/>
  <c r="N5" i="5"/>
  <c r="M5" i="5"/>
  <c r="N4" i="5"/>
  <c r="M4" i="5"/>
  <c r="E12" i="5"/>
  <c r="E10" i="5"/>
  <c r="E5" i="5"/>
  <c r="E6" i="5"/>
  <c r="E7" i="5"/>
  <c r="E4" i="5"/>
  <c r="F12" i="5"/>
  <c r="F19" i="5"/>
  <c r="F17" i="5"/>
  <c r="F18" i="5"/>
  <c r="F16" i="5"/>
  <c r="E16" i="5"/>
  <c r="E19" i="5"/>
  <c r="E17" i="5"/>
  <c r="E18" i="5"/>
  <c r="F13" i="5"/>
  <c r="F11" i="5"/>
  <c r="F10" i="5"/>
  <c r="E13" i="5"/>
  <c r="E11" i="5"/>
  <c r="F7" i="5"/>
  <c r="F5" i="5"/>
  <c r="F6" i="5"/>
  <c r="F4" i="5"/>
  <c r="F15" i="5"/>
  <c r="E15" i="5"/>
  <c r="F9" i="5"/>
  <c r="E9" i="5"/>
  <c r="D27" i="2" l="1"/>
  <c r="E27" i="2"/>
  <c r="F27" i="2"/>
  <c r="C27" i="2"/>
  <c r="D23" i="2"/>
  <c r="E23" i="2"/>
  <c r="F23" i="2"/>
  <c r="C23" i="2"/>
  <c r="L13" i="2"/>
  <c r="M13" i="2"/>
  <c r="N13" i="2"/>
  <c r="K13" i="2"/>
  <c r="L12" i="2"/>
  <c r="M12" i="2"/>
  <c r="N12" i="2"/>
  <c r="K12" i="2"/>
  <c r="L11" i="2"/>
  <c r="M11" i="2"/>
  <c r="N11" i="2"/>
  <c r="K11" i="2"/>
  <c r="L9" i="2"/>
  <c r="M9" i="2"/>
  <c r="N9" i="2"/>
  <c r="K9" i="2"/>
  <c r="E26" i="2" l="1"/>
  <c r="F26" i="2"/>
  <c r="D26" i="2"/>
  <c r="D24" i="2"/>
  <c r="E24" i="2"/>
  <c r="F24" i="2"/>
  <c r="C24" i="2"/>
  <c r="J34" i="2"/>
  <c r="L15" i="2"/>
  <c r="L17" i="2" s="1"/>
  <c r="L19" i="2" s="1"/>
  <c r="M15" i="2"/>
  <c r="M17" i="2" s="1"/>
  <c r="M19" i="2" s="1"/>
  <c r="N15" i="2"/>
  <c r="N17" i="2" s="1"/>
  <c r="N19" i="2" s="1"/>
  <c r="K15" i="2"/>
  <c r="K17" i="2" s="1"/>
  <c r="K19" i="2" s="1"/>
  <c r="D16" i="2"/>
  <c r="E16" i="2"/>
  <c r="F16" i="2"/>
  <c r="C16" i="2"/>
  <c r="D14" i="2"/>
  <c r="E14" i="2"/>
  <c r="F14" i="2"/>
  <c r="C14" i="2"/>
</calcChain>
</file>

<file path=xl/sharedStrings.xml><?xml version="1.0" encoding="utf-8"?>
<sst xmlns="http://schemas.openxmlformats.org/spreadsheetml/2006/main" count="322" uniqueCount="124">
  <si>
    <t>TC2 Option 3</t>
  </si>
  <si>
    <t>TC2 Option 4</t>
  </si>
  <si>
    <t>1930-59</t>
  </si>
  <si>
    <t>Cracked</t>
  </si>
  <si>
    <t>Mcr</t>
  </si>
  <si>
    <t>Vertical Displacement (mm)</t>
  </si>
  <si>
    <t>H/H</t>
  </si>
  <si>
    <t>L/H</t>
  </si>
  <si>
    <t>H/L</t>
  </si>
  <si>
    <t>L/L</t>
  </si>
  <si>
    <t>Bending Moment (kNm)</t>
  </si>
  <si>
    <t>Shear Force (kN)</t>
  </si>
  <si>
    <t>4m internal loss of support</t>
  </si>
  <si>
    <t>Henderson: Adding up total house weights</t>
  </si>
  <si>
    <t>Roof</t>
  </si>
  <si>
    <t>Cladding</t>
  </si>
  <si>
    <t>Light</t>
  </si>
  <si>
    <t>Heavy</t>
  </si>
  <si>
    <t xml:space="preserve">Heavy </t>
  </si>
  <si>
    <t xml:space="preserve">Roof </t>
  </si>
  <si>
    <t>Roof Framing</t>
  </si>
  <si>
    <t>Ceiling</t>
  </si>
  <si>
    <t>Ground Floor</t>
  </si>
  <si>
    <t>External Walls</t>
  </si>
  <si>
    <t>Partitions</t>
  </si>
  <si>
    <t>kN</t>
  </si>
  <si>
    <t>External Wall Framing</t>
  </si>
  <si>
    <t>total weight</t>
  </si>
  <si>
    <t>Perimeter length</t>
  </si>
  <si>
    <t>Perimeter load on foundation</t>
  </si>
  <si>
    <t>kN/m</t>
  </si>
  <si>
    <t>Assuming 1-storey</t>
  </si>
  <si>
    <t>Assuming 2-storey</t>
  </si>
  <si>
    <t>First Floor</t>
  </si>
  <si>
    <t>Assuming 1-storey use Hendersons Averages from 12 house plans</t>
  </si>
  <si>
    <t>House weights for modelling 1-storey</t>
  </si>
  <si>
    <t>Perimeter (m)</t>
  </si>
  <si>
    <t>Ave:</t>
  </si>
  <si>
    <t>Average contribution from a 2nd storey</t>
  </si>
  <si>
    <t>House weights for modelling 2-storey</t>
  </si>
  <si>
    <t>LOS</t>
  </si>
  <si>
    <t>m</t>
  </si>
  <si>
    <t>Drift</t>
  </si>
  <si>
    <t>1 Storey</t>
  </si>
  <si>
    <t>2 Storey</t>
  </si>
  <si>
    <t>1 storey</t>
  </si>
  <si>
    <t>2 storey</t>
  </si>
  <si>
    <t>2 sotrey</t>
  </si>
  <si>
    <t>assume 2 ceiling</t>
  </si>
  <si>
    <t>assume double partitions</t>
  </si>
  <si>
    <t>assume double walls</t>
  </si>
  <si>
    <t>Roof/Cladding</t>
  </si>
  <si>
    <t>EL</t>
  </si>
  <si>
    <t>EL = Elastic</t>
  </si>
  <si>
    <t>CR = crack</t>
  </si>
  <si>
    <t>Y = yield</t>
  </si>
  <si>
    <t>4m internal loss of support - raw data</t>
  </si>
  <si>
    <t>4m internal loss of support - plotting data</t>
  </si>
  <si>
    <t>Damage</t>
  </si>
  <si>
    <t>Yeild</t>
  </si>
  <si>
    <t>ULT</t>
  </si>
  <si>
    <t xml:space="preserve"> </t>
  </si>
  <si>
    <t>Mcrack</t>
  </si>
  <si>
    <t>My</t>
  </si>
  <si>
    <t>TC2-O3</t>
  </si>
  <si>
    <t>TC2-O4</t>
  </si>
  <si>
    <t>Mult</t>
  </si>
  <si>
    <t>weight</t>
  </si>
  <si>
    <t>1-storey</t>
  </si>
  <si>
    <t>2-sotrey</t>
  </si>
  <si>
    <t>plasterboard</t>
  </si>
  <si>
    <t>clay brick infill</t>
  </si>
  <si>
    <t>curtain wall glazing</t>
  </si>
  <si>
    <t>median value 1st sight of damage</t>
  </si>
  <si>
    <t>clay brick infull</t>
  </si>
  <si>
    <t>glazing</t>
  </si>
  <si>
    <t>onset of racking</t>
  </si>
  <si>
    <t>delta (mm)</t>
  </si>
  <si>
    <t>DR [%]</t>
  </si>
  <si>
    <t>node spacing (m)</t>
  </si>
  <si>
    <t>TC2-Option 3</t>
  </si>
  <si>
    <t>TC2-Option 4</t>
  </si>
  <si>
    <t>% difference (delta)</t>
  </si>
  <si>
    <t>% difference (DR)</t>
  </si>
  <si>
    <t>Check sensitivity of node spacing</t>
  </si>
  <si>
    <t>Check sensitivity of foundation length</t>
  </si>
  <si>
    <t>foundation length (m)</t>
  </si>
  <si>
    <t>Bending moment</t>
  </si>
  <si>
    <t>Shear force</t>
  </si>
  <si>
    <t>shear force</t>
  </si>
  <si>
    <t>M</t>
  </si>
  <si>
    <t>V</t>
  </si>
  <si>
    <t>Moment Capacities:</t>
  </si>
  <si>
    <t>Ult</t>
  </si>
  <si>
    <t>f'c</t>
  </si>
  <si>
    <t>ft</t>
  </si>
  <si>
    <t>b</t>
  </si>
  <si>
    <t>h</t>
  </si>
  <si>
    <t>Z</t>
  </si>
  <si>
    <t>Plotting</t>
  </si>
  <si>
    <t>tc2 o4</t>
  </si>
  <si>
    <t>tc2 o3</t>
  </si>
  <si>
    <t>Shear Capacities (from CUMBIA with 1000mm section)</t>
  </si>
  <si>
    <t>N/A</t>
  </si>
  <si>
    <t>disp</t>
  </si>
  <si>
    <t>yeild</t>
  </si>
  <si>
    <t>cracking</t>
  </si>
  <si>
    <t>ult</t>
  </si>
  <si>
    <t>el</t>
  </si>
  <si>
    <t>crack</t>
  </si>
  <si>
    <t>elastic</t>
  </si>
  <si>
    <t>Data for plotting V_Final!!</t>
  </si>
  <si>
    <t>vertical sag (mm)</t>
  </si>
  <si>
    <t>moment (kNm)</t>
  </si>
  <si>
    <t>shear (kN)</t>
  </si>
  <si>
    <t>House weight</t>
  </si>
  <si>
    <t>House type</t>
  </si>
  <si>
    <t>2-storey</t>
  </si>
  <si>
    <t>NZSEE guidelines C8</t>
  </si>
  <si>
    <t>DS1</t>
  </si>
  <si>
    <t>DS2</t>
  </si>
  <si>
    <t>Drift plotting data</t>
  </si>
  <si>
    <t>sag requirement - MBIE</t>
  </si>
  <si>
    <t>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</si>
</sst>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164" fontId="0" fillId="0" borderId="0" xfId="0" applyNumberFormat="1" applyBorder="1"/>
    <xf numFmtId="0" fontId="0" fillId="3" borderId="0" xfId="0" applyFill="1" applyBorder="1"/>
    <xf numFmtId="164" fontId="0" fillId="0" borderId="7" xfId="0" applyNumberFormat="1" applyBorder="1"/>
    <xf numFmtId="0" fontId="0" fillId="3" borderId="7" xfId="0" applyFill="1" applyBorder="1"/>
    <xf numFmtId="0" fontId="0" fillId="3" borderId="5" xfId="0" applyFill="1" applyBorder="1"/>
    <xf numFmtId="164" fontId="0" fillId="3" borderId="0" xfId="0" applyNumberFormat="1" applyFill="1" applyBorder="1"/>
    <xf numFmtId="164" fontId="0" fillId="3" borderId="7" xfId="0" applyNumberFormat="1" applyFill="1" applyBorder="1"/>
    <xf numFmtId="164" fontId="0" fillId="0" borderId="5" xfId="0" applyNumberFormat="1" applyBorder="1"/>
    <xf numFmtId="164" fontId="0" fillId="0" borderId="8" xfId="0" applyNumberFormat="1" applyBorder="1"/>
    <xf numFmtId="0" fontId="0" fillId="2" borderId="2" xfId="0" applyFill="1" applyBorder="1"/>
    <xf numFmtId="0" fontId="1" fillId="0" borderId="0" xfId="0" applyFont="1" applyBorder="1"/>
    <xf numFmtId="0" fontId="1" fillId="0" borderId="5" xfId="0" applyFont="1" applyBorder="1"/>
    <xf numFmtId="0" fontId="0" fillId="0" borderId="2" xfId="0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7" xfId="0" applyFill="1" applyBorder="1"/>
    <xf numFmtId="165" fontId="0" fillId="0" borderId="0" xfId="0" applyNumberFormat="1"/>
    <xf numFmtId="164" fontId="0" fillId="2" borderId="0" xfId="0" applyNumberFormat="1" applyFill="1" applyBorder="1"/>
    <xf numFmtId="164" fontId="0" fillId="2" borderId="7" xfId="0" applyNumberFormat="1" applyFill="1" applyBorder="1"/>
    <xf numFmtId="0" fontId="0" fillId="2" borderId="5" xfId="0" applyFill="1" applyBorder="1"/>
    <xf numFmtId="2" fontId="0" fillId="0" borderId="0" xfId="0" applyNumberFormat="1" applyBorder="1"/>
    <xf numFmtId="2" fontId="0" fillId="0" borderId="7" xfId="0" applyNumberFormat="1" applyBorder="1"/>
    <xf numFmtId="0" fontId="0" fillId="3" borderId="11" xfId="0" applyFill="1" applyBorder="1"/>
    <xf numFmtId="0" fontId="0" fillId="0" borderId="12" xfId="0" applyBorder="1"/>
    <xf numFmtId="0" fontId="0" fillId="3" borderId="16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16" xfId="0" applyFill="1" applyBorder="1" applyAlignment="1"/>
    <xf numFmtId="164" fontId="0" fillId="0" borderId="18" xfId="0" applyNumberFormat="1" applyBorder="1"/>
    <xf numFmtId="164" fontId="0" fillId="0" borderId="19" xfId="0" applyNumberFormat="1" applyBorder="1"/>
    <xf numFmtId="164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0" fontId="0" fillId="3" borderId="3" xfId="0" applyFill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17" xfId="0" applyFont="1" applyBorder="1"/>
    <xf numFmtId="0" fontId="1" fillId="0" borderId="10" xfId="0" applyFont="1" applyBorder="1"/>
    <xf numFmtId="2" fontId="1" fillId="0" borderId="0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164" fontId="0" fillId="0" borderId="4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93223977546496E-2"/>
          <c:y val="4.2761683071394406E-2"/>
          <c:w val="0.71641387294625536"/>
          <c:h val="0.8085120378540892"/>
        </c:manualLayout>
      </c:layout>
      <c:scatterChart>
        <c:scatterStyle val="lineMarker"/>
        <c:varyColors val="0"/>
        <c:ser>
          <c:idx val="0"/>
          <c:order val="0"/>
          <c:tx>
            <c:v>TC2 - Option 3 (MBIE, 2012)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results_vf!$AA$28:$AA$35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results_vf!$AB$28:$AB$35</c:f>
              <c:numCache>
                <c:formatCode>0.0</c:formatCode>
                <c:ptCount val="8"/>
                <c:pt idx="0">
                  <c:v>0.44677509999999998</c:v>
                </c:pt>
                <c:pt idx="1">
                  <c:v>0.3560989</c:v>
                </c:pt>
                <c:pt idx="2">
                  <c:v>0.25279107999</c:v>
                </c:pt>
                <c:pt idx="3">
                  <c:v>0.16266478000000001</c:v>
                </c:pt>
                <c:pt idx="4">
                  <c:v>1.895934</c:v>
                </c:pt>
                <c:pt idx="5">
                  <c:v>0.67686179999999996</c:v>
                </c:pt>
                <c:pt idx="6">
                  <c:v>0.36903619998999998</c:v>
                </c:pt>
                <c:pt idx="7">
                  <c:v>0.28288784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6-40E8-81B0-9B97DB2E238B}"/>
            </c:ext>
          </c:extLst>
        </c:ser>
        <c:ser>
          <c:idx val="1"/>
          <c:order val="1"/>
          <c:tx>
            <c:v>TC2 - Option 4 (MBIE, 2012)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381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results_vf!$AA$28:$AA$35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results_vf!$AE$28:$AE$35</c:f>
              <c:numCache>
                <c:formatCode>0.0</c:formatCode>
                <c:ptCount val="8"/>
                <c:pt idx="0">
                  <c:v>2.4089</c:v>
                </c:pt>
                <c:pt idx="1">
                  <c:v>0.93177270000000001</c:v>
                </c:pt>
                <c:pt idx="2">
                  <c:v>0.66354630989999996</c:v>
                </c:pt>
                <c:pt idx="3">
                  <c:v>0.43004780999900005</c:v>
                </c:pt>
                <c:pt idx="4">
                  <c:v>7.7408239999899999</c:v>
                </c:pt>
                <c:pt idx="5">
                  <c:v>5.3191130000000006</c:v>
                </c:pt>
                <c:pt idx="6">
                  <c:v>0.96540869999989998</c:v>
                </c:pt>
                <c:pt idx="7">
                  <c:v>0.74162363000000009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6-40E8-81B0-9B97DB2E238B}"/>
            </c:ext>
          </c:extLst>
        </c:ser>
        <c:ser>
          <c:idx val="3"/>
          <c:order val="2"/>
          <c:tx>
            <c:v>1930 - 59 (Henderson, 2013)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noFill/>
              <a:ln w="381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351590577192787E-2"/>
                  <c:y val="-8.8959064172909066E-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1-H/H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0507595118959923E-2"/>
                      <c:h val="5.35796412832064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5A6-40E8-81B0-9B97DB2E238B}"/>
                </c:ext>
              </c:extLst>
            </c:dLbl>
            <c:dLbl>
              <c:idx val="1"/>
              <c:layout>
                <c:manualLayout>
                  <c:x val="-4.8532030997525955E-2"/>
                  <c:y val="-8.4335546632803654E-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1-L/H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42050565332874E-2"/>
                      <c:h val="6.03838068377418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5A6-40E8-81B0-9B97DB2E238B}"/>
                </c:ext>
              </c:extLst>
            </c:dLbl>
            <c:dLbl>
              <c:idx val="2"/>
              <c:layout>
                <c:manualLayout>
                  <c:x val="-2.5542559544456753E-2"/>
                  <c:y val="-9.4399213252545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1-H/L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A6-40E8-81B0-9B97DB2E238B}"/>
                </c:ext>
              </c:extLst>
            </c:dLbl>
            <c:dLbl>
              <c:idx val="3"/>
              <c:layout>
                <c:manualLayout>
                  <c:x val="-3.962480917640554E-2"/>
                  <c:y val="-8.6325727108000225E-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1-L/L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880068482095265E-2"/>
                      <c:h val="5.55136203484523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5A6-40E8-81B0-9B97DB2E238B}"/>
                </c:ext>
              </c:extLst>
            </c:dLbl>
            <c:dLbl>
              <c:idx val="4"/>
              <c:layout>
                <c:manualLayout>
                  <c:x val="-2.5499069718635643E-2"/>
                  <c:y val="9.02540430228118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2-H/H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A6-40E8-81B0-9B97DB2E238B}"/>
                </c:ext>
              </c:extLst>
            </c:dLbl>
            <c:dLbl>
              <c:idx val="5"/>
              <c:layout>
                <c:manualLayout>
                  <c:x val="-2.4396659284145264E-2"/>
                  <c:y val="-0.167311958846833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2-L/H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A6-40E8-81B0-9B97DB2E238B}"/>
                </c:ext>
              </c:extLst>
            </c:dLbl>
            <c:dLbl>
              <c:idx val="6"/>
              <c:layout>
                <c:manualLayout>
                  <c:x val="-1.906396996047045E-2"/>
                  <c:y val="-7.71334534103864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2-H/L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A6-40E8-81B0-9B97DB2E238B}"/>
                </c:ext>
              </c:extLst>
            </c:dLbl>
            <c:dLbl>
              <c:idx val="7"/>
              <c:layout>
                <c:manualLayout>
                  <c:x val="-2.0911110979411795E-2"/>
                  <c:y val="-0.101015257688885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2-L/L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A6-40E8-81B0-9B97DB2E238B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results_vf!$AA$28:$AA$35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results_vf!$AH$28:$AH$35</c:f>
              <c:numCache>
                <c:formatCode>0.0</c:formatCode>
                <c:ptCount val="8"/>
                <c:pt idx="0">
                  <c:v>2.40012869999999</c:v>
                </c:pt>
                <c:pt idx="1">
                  <c:v>1.6488117</c:v>
                </c:pt>
                <c:pt idx="2">
                  <c:v>0.61656969999990008</c:v>
                </c:pt>
                <c:pt idx="3">
                  <c:v>0.40088629999999997</c:v>
                </c:pt>
                <c:pt idx="4">
                  <c:v>6.7901827990000001</c:v>
                </c:pt>
                <c:pt idx="5">
                  <c:v>4.5636160000000006</c:v>
                </c:pt>
                <c:pt idx="6">
                  <c:v>1.8656377999990001</c:v>
                </c:pt>
                <c:pt idx="7">
                  <c:v>0.68897600000000003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A6-40E8-81B0-9B97DB2E238B}"/>
            </c:ext>
          </c:extLst>
        </c:ser>
        <c:ser>
          <c:idx val="2"/>
          <c:order val="3"/>
          <c:tx>
            <c:v>5mm Sag Requirement (MBIE, 2012)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A6-40E8-81B0-9B97DB2E238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A6-40E8-81B0-9B97DB2E23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results_vf!$AH$53:$AH$54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results_vf!$AI$53:$AI$54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A6-40E8-81B0-9B97DB2E23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00789504"/>
        <c:axId val="1415523328"/>
      </c:scatterChart>
      <c:valAx>
        <c:axId val="15007895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House Weight - w [kN/m]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523328"/>
        <c:crosses val="autoZero"/>
        <c:crossBetween val="midCat"/>
        <c:majorUnit val="1"/>
      </c:valAx>
      <c:valAx>
        <c:axId val="1415523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baseline="0"/>
                  <a:t>Vertical Sag at Centre of LOS [mm</a:t>
                </a:r>
                <a:r>
                  <a:rPr lang="en-NZ"/>
                  <a:t>]</a:t>
                </a:r>
              </a:p>
            </c:rich>
          </c:tx>
          <c:layout>
            <c:manualLayout>
              <c:xMode val="edge"/>
              <c:yMode val="edge"/>
              <c:x val="9.802990217490962E-3"/>
              <c:y val="0.13548804599624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078950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1687909708246542"/>
          <c:y val="3.8847243696180811E-2"/>
          <c:w val="0.17765782117486856"/>
          <c:h val="0.8114793007835335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5465092512385E-2"/>
          <c:y val="4.3798565345647751E-2"/>
          <c:w val="0.71420520833333345"/>
          <c:h val="0.82414291201372381"/>
        </c:manualLayout>
      </c:layout>
      <c:scatterChart>
        <c:scatterStyle val="lineMarker"/>
        <c:varyColors val="0"/>
        <c:ser>
          <c:idx val="0"/>
          <c:order val="0"/>
          <c:tx>
            <c:v>TC2 - Option 3 (MBIE, 2012)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results_vf!$AA$28:$AA$35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results_vf!$AC$28:$AC$35</c:f>
              <c:numCache>
                <c:formatCode>0.0</c:formatCode>
                <c:ptCount val="8"/>
                <c:pt idx="0">
                  <c:v>39.436024400000001</c:v>
                </c:pt>
                <c:pt idx="1">
                  <c:v>31.7191647</c:v>
                </c:pt>
                <c:pt idx="2">
                  <c:v>22.8888563</c:v>
                </c:pt>
                <c:pt idx="3">
                  <c:v>15.1531278</c:v>
                </c:pt>
                <c:pt idx="4">
                  <c:v>44.446714050000004</c:v>
                </c:pt>
                <c:pt idx="5">
                  <c:v>58.869652982489995</c:v>
                </c:pt>
                <c:pt idx="6">
                  <c:v>32.822134582539995</c:v>
                </c:pt>
                <c:pt idx="7">
                  <c:v>25.465549120999999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9F7-8937-AEF228A91017}"/>
            </c:ext>
          </c:extLst>
        </c:ser>
        <c:ser>
          <c:idx val="1"/>
          <c:order val="1"/>
          <c:tx>
            <c:v>TC2 - Option 4 (MBIE, 2012)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381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results_vf!$AA$28:$AA$35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results_vf!$AF$28:$AF$35</c:f>
              <c:numCache>
                <c:formatCode>0.0</c:formatCode>
                <c:ptCount val="8"/>
                <c:pt idx="0">
                  <c:v>19.117943200000003</c:v>
                </c:pt>
                <c:pt idx="1">
                  <c:v>22.067353169999997</c:v>
                </c:pt>
                <c:pt idx="2">
                  <c:v>15.930663599999999</c:v>
                </c:pt>
                <c:pt idx="3">
                  <c:v>10.55014722556</c:v>
                </c:pt>
                <c:pt idx="4">
                  <c:v>28.955917207700001</c:v>
                </c:pt>
                <c:pt idx="5">
                  <c:v>26.271672800000001</c:v>
                </c:pt>
                <c:pt idx="6">
                  <c:v>22.8334628</c:v>
                </c:pt>
                <c:pt idx="7">
                  <c:v>17.721942692839999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6-49F7-8937-AEF228A91017}"/>
            </c:ext>
          </c:extLst>
        </c:ser>
        <c:ser>
          <c:idx val="3"/>
          <c:order val="2"/>
          <c:tx>
            <c:v>1930 - 59 (Henderson, 2013)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noFill/>
              <a:ln w="381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720486111111111E-2"/>
                  <c:y val="0.1568180555555555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1-H/H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dk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E6-49F7-8937-AEF228A91017}"/>
                </c:ext>
              </c:extLst>
            </c:dLbl>
            <c:dLbl>
              <c:idx val="1"/>
              <c:layout>
                <c:manualLayout>
                  <c:x val="-2.9972135416666667E-2"/>
                  <c:y val="8.2587326388888882E-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1-L/H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dk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E6-49F7-8937-AEF228A91017}"/>
                </c:ext>
              </c:extLst>
            </c:dLbl>
            <c:dLbl>
              <c:idx val="2"/>
              <c:layout>
                <c:manualLayout>
                  <c:x val="-2.3925347222222261E-2"/>
                  <c:y val="0.1516104166666666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1-H/L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dk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E6-49F7-8937-AEF228A91017}"/>
                </c:ext>
              </c:extLst>
            </c:dLbl>
            <c:dLbl>
              <c:idx val="3"/>
              <c:layout>
                <c:manualLayout>
                  <c:x val="-2.2822916666666665E-2"/>
                  <c:y val="0.1193538194444444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1-L/L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dk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E6-49F7-8937-AEF228A91017}"/>
                </c:ext>
              </c:extLst>
            </c:dLbl>
            <c:dLbl>
              <c:idx val="4"/>
              <c:layout>
                <c:manualLayout>
                  <c:x val="-2.172048611111119E-2"/>
                  <c:y val="0.1762963541666666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2-H/H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dk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E6-49F7-8937-AEF228A91017}"/>
                </c:ext>
              </c:extLst>
            </c:dLbl>
            <c:dLbl>
              <c:idx val="5"/>
              <c:layout>
                <c:manualLayout>
                  <c:x val="-2.1720486111111111E-2"/>
                  <c:y val="0.1581960069444443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2-L/H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dk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E6-49F7-8937-AEF228A91017}"/>
                </c:ext>
              </c:extLst>
            </c:dLbl>
            <c:dLbl>
              <c:idx val="6"/>
              <c:layout>
                <c:manualLayout>
                  <c:x val="-1.3695920138888889E-2"/>
                  <c:y val="7.1966493055555553E-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2-H/L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dk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E6-49F7-8937-AEF228A91017}"/>
                </c:ext>
              </c:extLst>
            </c:dLbl>
            <c:dLbl>
              <c:idx val="7"/>
              <c:layout>
                <c:manualLayout>
                  <c:x val="-2.0618055555555594E-2"/>
                  <c:y val="0.1528684027777777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2-L/L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dk1"/>
                  </a:solidFill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E6-49F7-8937-AEF228A91017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results_vf!$AA$28:$AA$35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results_vf!$AI$28:$AI$35</c:f>
              <c:numCache>
                <c:formatCode>0.0</c:formatCode>
                <c:ptCount val="8"/>
                <c:pt idx="0">
                  <c:v>25.098056799999998</c:v>
                </c:pt>
                <c:pt idx="1">
                  <c:v>23.002340355000001</c:v>
                </c:pt>
                <c:pt idx="2">
                  <c:v>21.169832450229997</c:v>
                </c:pt>
                <c:pt idx="3">
                  <c:v>14.032693999999999</c:v>
                </c:pt>
                <c:pt idx="4">
                  <c:v>36.126154885000005</c:v>
                </c:pt>
                <c:pt idx="5">
                  <c:v>31.916102492999997</c:v>
                </c:pt>
                <c:pt idx="6">
                  <c:v>22.258311449000001</c:v>
                </c:pt>
                <c:pt idx="7">
                  <c:v>23.541759600000002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E6-49F7-8937-AEF228A91017}"/>
            </c:ext>
          </c:extLst>
        </c:ser>
        <c:ser>
          <c:idx val="2"/>
          <c:order val="3"/>
          <c:tx>
            <c:v>Cracking (TC3 - Option 3)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results_vf!$AC$70:$AC$71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results_vf!$AF$70:$AF$71</c:f>
              <c:numCache>
                <c:formatCode>General</c:formatCode>
                <c:ptCount val="2"/>
                <c:pt idx="0">
                  <c:v>55.210433796520746</c:v>
                </c:pt>
                <c:pt idx="1">
                  <c:v>55.210433796520746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E6-49F7-8937-AEF228A91017}"/>
            </c:ext>
          </c:extLst>
        </c:ser>
        <c:ser>
          <c:idx val="4"/>
          <c:order val="4"/>
          <c:tx>
            <c:v>Cracking (TC2 - Option 4)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results_vf!$AC$70:$AC$71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results_vf!$AG$70:$AG$71</c:f>
              <c:numCache>
                <c:formatCode>General</c:formatCode>
                <c:ptCount val="2"/>
                <c:pt idx="0">
                  <c:v>22.732129304136915</c:v>
                </c:pt>
                <c:pt idx="1">
                  <c:v>22.732129304136915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E6-49F7-8937-AEF228A91017}"/>
            </c:ext>
          </c:extLst>
        </c:ser>
        <c:ser>
          <c:idx val="5"/>
          <c:order val="5"/>
          <c:tx>
            <c:v>Yield (TC2 - Option 4)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results_vf!$AC$70:$AC$71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results_vf!$AD$70:$AD$71</c:f>
              <c:numCache>
                <c:formatCode>General</c:formatCode>
                <c:ptCount val="2"/>
                <c:pt idx="0">
                  <c:v>36.6</c:v>
                </c:pt>
                <c:pt idx="1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9E6-49F7-8937-AEF228A91017}"/>
            </c:ext>
          </c:extLst>
        </c:ser>
        <c:ser>
          <c:idx val="6"/>
          <c:order val="6"/>
          <c:tx>
            <c:v>Cracking (1930 - 59)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results_vf!$AC$70:$AC$71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results_vf!$AH$70:$AH$71</c:f>
              <c:numCache>
                <c:formatCode>General</c:formatCode>
                <c:ptCount val="2"/>
                <c:pt idx="0">
                  <c:v>20.902332884154344</c:v>
                </c:pt>
                <c:pt idx="1">
                  <c:v>20.902332884154344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9E6-49F7-8937-AEF228A91017}"/>
            </c:ext>
          </c:extLst>
        </c:ser>
        <c:ser>
          <c:idx val="7"/>
          <c:order val="7"/>
          <c:tx>
            <c:v>Yield (1930 - 59)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results_vf!$AC$70:$AC$71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results_vf!$AE$70:$AE$71</c:f>
              <c:numCache>
                <c:formatCode>General</c:formatCode>
                <c:ptCount val="2"/>
                <c:pt idx="0">
                  <c:v>32.25</c:v>
                </c:pt>
                <c:pt idx="1">
                  <c:v>32.25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9E6-49F7-8937-AEF228A910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00789504"/>
        <c:axId val="1415523328"/>
      </c:scatterChart>
      <c:valAx>
        <c:axId val="15007895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House Weight - w [kN/m]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523328"/>
        <c:crosses val="autoZero"/>
        <c:crossBetween val="midCat"/>
        <c:majorUnit val="1"/>
      </c:valAx>
      <c:valAx>
        <c:axId val="141552332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baseline="0"/>
                  <a:t>Bending Moment Demand [kNm</a:t>
                </a:r>
                <a:r>
                  <a:rPr lang="en-NZ"/>
                  <a:t>]</a:t>
                </a:r>
              </a:p>
            </c:rich>
          </c:tx>
          <c:layout>
            <c:manualLayout>
              <c:xMode val="edge"/>
              <c:yMode val="edge"/>
              <c:x val="1.2618991928110641E-3"/>
              <c:y val="0.17752161352475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0789504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099110243055555"/>
          <c:y val="3.8899088061515534E-2"/>
          <c:w val="0.18237196180555557"/>
          <c:h val="0.832420812774373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47395833333329E-2"/>
          <c:y val="3.4475694444444448E-2"/>
          <c:w val="0.70101354166666663"/>
          <c:h val="0.84008055555555561"/>
        </c:manualLayout>
      </c:layout>
      <c:scatterChart>
        <c:scatterStyle val="lineMarker"/>
        <c:varyColors val="0"/>
        <c:ser>
          <c:idx val="0"/>
          <c:order val="0"/>
          <c:tx>
            <c:v>TC2 - Option 3 (MBIE, 2012)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results_vf!$AA$28:$AA$35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results_vf!$AD$28:$AD$35</c:f>
              <c:numCache>
                <c:formatCode>0.0</c:formatCode>
                <c:ptCount val="8"/>
                <c:pt idx="0">
                  <c:v>21.949906200000001</c:v>
                </c:pt>
                <c:pt idx="1">
                  <c:v>17.64499829</c:v>
                </c:pt>
                <c:pt idx="2">
                  <c:v>12.725103437</c:v>
                </c:pt>
                <c:pt idx="3">
                  <c:v>8.4201953556999989</c:v>
                </c:pt>
                <c:pt idx="4">
                  <c:v>37.119366309999997</c:v>
                </c:pt>
                <c:pt idx="5">
                  <c:v>32.814673461300004</c:v>
                </c:pt>
                <c:pt idx="6">
                  <c:v>18.2599851475</c:v>
                </c:pt>
                <c:pt idx="7">
                  <c:v>14.160072700000001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7-4BB5-85C2-7E3632AACC4C}"/>
            </c:ext>
          </c:extLst>
        </c:ser>
        <c:ser>
          <c:idx val="1"/>
          <c:order val="1"/>
          <c:tx>
            <c:v>TC2 - Option 4 (MBIE, 2012)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381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results_vf!$AA$28:$AA$35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results_vf!$AG$28:$AG$35</c:f>
              <c:numCache>
                <c:formatCode>0.0</c:formatCode>
                <c:ptCount val="8"/>
                <c:pt idx="0">
                  <c:v>21.9495429702983</c:v>
                </c:pt>
                <c:pt idx="1">
                  <c:v>17.644841090000003</c:v>
                </c:pt>
                <c:pt idx="2">
                  <c:v>12.724990315499999</c:v>
                </c:pt>
                <c:pt idx="3">
                  <c:v>8.42012063496</c:v>
                </c:pt>
                <c:pt idx="4">
                  <c:v>37.118311371999994</c:v>
                </c:pt>
                <c:pt idx="5">
                  <c:v>32.813843399999996</c:v>
                </c:pt>
                <c:pt idx="6">
                  <c:v>18.259822426300001</c:v>
                </c:pt>
                <c:pt idx="7">
                  <c:v>14.159946825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7-4BB5-85C2-7E3632AACC4C}"/>
            </c:ext>
          </c:extLst>
        </c:ser>
        <c:ser>
          <c:idx val="3"/>
          <c:order val="2"/>
          <c:tx>
            <c:v>1930 - 59 (Henderson, 2013)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noFill/>
              <a:ln w="381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29418402777786E-2"/>
                  <c:y val="7.54079861111110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1-H/H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97-4BB5-85C2-7E3632AACC4C}"/>
                </c:ext>
              </c:extLst>
            </c:dLbl>
            <c:dLbl>
              <c:idx val="1"/>
              <c:layout>
                <c:manualLayout>
                  <c:x val="-3.2109461805555517E-2"/>
                  <c:y val="7.1760416666666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1-L/H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97-4BB5-85C2-7E3632AACC4C}"/>
                </c:ext>
              </c:extLst>
            </c:dLbl>
            <c:dLbl>
              <c:idx val="2"/>
              <c:layout>
                <c:manualLayout>
                  <c:x val="-2.562187500000004E-2"/>
                  <c:y val="7.8640972222222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1-H/L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97-4BB5-85C2-7E3632AACC4C}"/>
                </c:ext>
              </c:extLst>
            </c:dLbl>
            <c:dLbl>
              <c:idx val="3"/>
              <c:layout>
                <c:manualLayout>
                  <c:x val="-2.4294184027777777E-2"/>
                  <c:y val="-7.36149305555555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1-L/L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97-4BB5-85C2-7E3632AACC4C}"/>
                </c:ext>
              </c:extLst>
            </c:dLbl>
            <c:dLbl>
              <c:idx val="4"/>
              <c:layout>
                <c:manualLayout>
                  <c:x val="-2.2372135416666668E-2"/>
                  <c:y val="8.21149305555555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2-H/H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97-4BB5-85C2-7E3632AACC4C}"/>
                </c:ext>
              </c:extLst>
            </c:dLbl>
            <c:dLbl>
              <c:idx val="5"/>
              <c:layout>
                <c:manualLayout>
                  <c:x val="-2.401137152777786E-2"/>
                  <c:y val="7.74782986111111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2-L/H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97-4BB5-85C2-7E3632AACC4C}"/>
                </c:ext>
              </c:extLst>
            </c:dLbl>
            <c:dLbl>
              <c:idx val="6"/>
              <c:layout>
                <c:manualLayout>
                  <c:x val="-1.4839670138888889E-2"/>
                  <c:y val="8.00979166666666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2-H/L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97-4BB5-85C2-7E3632AACC4C}"/>
                </c:ext>
              </c:extLst>
            </c:dLbl>
            <c:dLbl>
              <c:idx val="7"/>
              <c:layout>
                <c:manualLayout>
                  <c:x val="-2.3191753472222264E-2"/>
                  <c:y val="7.5982291666666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2-L/L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97-4BB5-85C2-7E3632AACC4C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results_vf!$AA$28:$AA$35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results_vf!$AJ$28:$AJ$35</c:f>
              <c:numCache>
                <c:formatCode>0.0</c:formatCode>
                <c:ptCount val="8"/>
                <c:pt idx="0">
                  <c:v>21.942035000000001</c:v>
                </c:pt>
                <c:pt idx="1">
                  <c:v>17.637193379999999</c:v>
                </c:pt>
                <c:pt idx="2">
                  <c:v>12.717380849</c:v>
                </c:pt>
                <c:pt idx="3">
                  <c:v>8.4124849279999996</c:v>
                </c:pt>
                <c:pt idx="4">
                  <c:v>37.111289289491701</c:v>
                </c:pt>
                <c:pt idx="5">
                  <c:v>32.806577390000001</c:v>
                </c:pt>
                <c:pt idx="6">
                  <c:v>18.252159599999999</c:v>
                </c:pt>
                <c:pt idx="7">
                  <c:v>14.152346087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97-4BB5-85C2-7E3632AACC4C}"/>
            </c:ext>
          </c:extLst>
        </c:ser>
        <c:ser>
          <c:idx val="2"/>
          <c:order val="3"/>
          <c:tx>
            <c:v>Shear Failure (1930 - 59)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results_vf!$AC$70:$AC$71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results_vf!$AI$70:$AI$71</c:f>
              <c:numCache>
                <c:formatCode>General</c:formatCode>
                <c:ptCount val="2"/>
                <c:pt idx="0">
                  <c:v>26.4</c:v>
                </c:pt>
                <c:pt idx="1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97-4BB5-85C2-7E3632AACC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00789504"/>
        <c:axId val="1415523328"/>
      </c:scatterChart>
      <c:valAx>
        <c:axId val="15007895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House Weight - w [kN/m]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523328"/>
        <c:crosses val="autoZero"/>
        <c:crossBetween val="midCat"/>
        <c:majorUnit val="1"/>
      </c:valAx>
      <c:valAx>
        <c:axId val="14155233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baseline="0"/>
                  <a:t>Shear Force Demand [kN</a:t>
                </a:r>
                <a:r>
                  <a:rPr lang="en-NZ"/>
                  <a:t>]</a:t>
                </a:r>
              </a:p>
            </c:rich>
          </c:tx>
          <c:layout>
            <c:manualLayout>
              <c:xMode val="edge"/>
              <c:yMode val="edge"/>
              <c:x val="1.0142432916522542E-2"/>
              <c:y val="0.20618764991468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0789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9731685345895986"/>
          <c:y val="3.2877994834460543E-2"/>
          <c:w val="0.18706553819444444"/>
          <c:h val="0.8440984914519348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44346017578237E-2"/>
          <c:y val="4.5708076707653214E-2"/>
          <c:w val="0.90977637569190151"/>
          <c:h val="0.81793039817656965"/>
        </c:manualLayout>
      </c:layout>
      <c:scatterChart>
        <c:scatterStyle val="lineMarker"/>
        <c:varyColors val="0"/>
        <c:ser>
          <c:idx val="0"/>
          <c:order val="0"/>
          <c:tx>
            <c:v>TC2 - Option 3 (MBIE, 2012)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results_vf!$AF$38:$AF$45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results_vf!$AA$38:$AA$45</c:f>
              <c:numCache>
                <c:formatCode>0.00</c:formatCode>
                <c:ptCount val="8"/>
                <c:pt idx="0">
                  <c:v>0.1821468</c:v>
                </c:pt>
                <c:pt idx="1">
                  <c:v>0.146355233</c:v>
                </c:pt>
                <c:pt idx="2">
                  <c:v>0.10548740435999999</c:v>
                </c:pt>
                <c:pt idx="3">
                  <c:v>6.9758785099999998E-2</c:v>
                </c:pt>
                <c:pt idx="4">
                  <c:v>0.40627531099999997</c:v>
                </c:pt>
                <c:pt idx="5">
                  <c:v>0.27261952555500002</c:v>
                </c:pt>
                <c:pt idx="6">
                  <c:v>0.15146644658299999</c:v>
                </c:pt>
                <c:pt idx="7">
                  <c:v>0.1174032274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B80-B667-0E0588C184E0}"/>
            </c:ext>
          </c:extLst>
        </c:ser>
        <c:ser>
          <c:idx val="1"/>
          <c:order val="1"/>
          <c:tx>
            <c:v>TC2 - Option 4 (MBIE, 2012)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results_vf!$AF$38:$AF$45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results_vf!$AB$38:$AB$45</c:f>
              <c:numCache>
                <c:formatCode>0.00</c:formatCode>
                <c:ptCount val="8"/>
                <c:pt idx="0">
                  <c:v>0.347109</c:v>
                </c:pt>
                <c:pt idx="1">
                  <c:v>0.208437322176</c:v>
                </c:pt>
                <c:pt idx="2">
                  <c:v>0.150151757330105</c:v>
                </c:pt>
                <c:pt idx="3">
                  <c:v>9.9255156999999997E-2</c:v>
                </c:pt>
                <c:pt idx="4">
                  <c:v>0.876552</c:v>
                </c:pt>
                <c:pt idx="5">
                  <c:v>0.65014495800000005</c:v>
                </c:pt>
                <c:pt idx="6">
                  <c:v>0.21573228120999999</c:v>
                </c:pt>
                <c:pt idx="7">
                  <c:v>0.16713834004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5-4B80-B667-0E0588C184E0}"/>
            </c:ext>
          </c:extLst>
        </c:ser>
        <c:ser>
          <c:idx val="2"/>
          <c:order val="2"/>
          <c:tx>
            <c:v>1930 - 59 (Henderson, 2013)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923157100027595E-2"/>
                  <c:y val="-8.72688011965769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1-H/H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55-4B80-B667-0E0588C184E0}"/>
                </c:ext>
              </c:extLst>
            </c:dLbl>
            <c:dLbl>
              <c:idx val="1"/>
              <c:layout>
                <c:manualLayout>
                  <c:x val="-2.9083156413438626E-2"/>
                  <c:y val="-7.85224779374948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1-L/H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55-4B80-B667-0E0588C184E0}"/>
                </c:ext>
              </c:extLst>
            </c:dLbl>
            <c:dLbl>
              <c:idx val="2"/>
              <c:layout>
                <c:manualLayout>
                  <c:x val="-2.21239572317211E-2"/>
                  <c:y val="-8.4344091664516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1-H/L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55-4B80-B667-0E0588C184E0}"/>
                </c:ext>
              </c:extLst>
            </c:dLbl>
            <c:dLbl>
              <c:idx val="3"/>
              <c:layout>
                <c:manualLayout>
                  <c:x val="-2.3240120675300381E-2"/>
                  <c:y val="-8.98003226654896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1-L/L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55-4B80-B667-0E0588C184E0}"/>
                </c:ext>
              </c:extLst>
            </c:dLbl>
            <c:dLbl>
              <c:idx val="4"/>
              <c:layout>
                <c:manualLayout>
                  <c:x val="-2.2002209076240745E-2"/>
                  <c:y val="-9.63271621275655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2-H/H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55-4B80-B667-0E0588C184E0}"/>
                </c:ext>
              </c:extLst>
            </c:dLbl>
            <c:dLbl>
              <c:idx val="5"/>
              <c:layout>
                <c:manualLayout>
                  <c:x val="-2.2082712103062903E-2"/>
                  <c:y val="-0.107436321143816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2-L/H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55-4B80-B667-0E0588C184E0}"/>
                </c:ext>
              </c:extLst>
            </c:dLbl>
            <c:dLbl>
              <c:idx val="6"/>
              <c:layout>
                <c:manualLayout>
                  <c:x val="-1.7419819063742931E-2"/>
                  <c:y val="-8.4315874396495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2-H/L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55-4B80-B667-0E0588C184E0}"/>
                </c:ext>
              </c:extLst>
            </c:dLbl>
            <c:dLbl>
              <c:idx val="7"/>
              <c:layout>
                <c:manualLayout>
                  <c:x val="-2.0956117018484082E-2"/>
                  <c:y val="-8.2543129682238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2-L/L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55-4B80-B667-0E0588C184E0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results_vf!$AF$38:$AF$45</c:f>
              <c:numCache>
                <c:formatCode>General</c:formatCode>
                <c:ptCount val="8"/>
                <c:pt idx="0">
                  <c:v>10.7</c:v>
                </c:pt>
                <c:pt idx="1">
                  <c:v>8.6</c:v>
                </c:pt>
                <c:pt idx="2">
                  <c:v>6.2</c:v>
                </c:pt>
                <c:pt idx="3">
                  <c:v>4.0999999999999996</c:v>
                </c:pt>
                <c:pt idx="4">
                  <c:v>18.100000000000001</c:v>
                </c:pt>
                <c:pt idx="5">
                  <c:v>16</c:v>
                </c:pt>
                <c:pt idx="6">
                  <c:v>8.9</c:v>
                </c:pt>
                <c:pt idx="7">
                  <c:v>6.9</c:v>
                </c:pt>
              </c:numCache>
            </c:numRef>
          </c:xVal>
          <c:yVal>
            <c:numRef>
              <c:f>results_vf!$AC$38:$AC$45</c:f>
              <c:numCache>
                <c:formatCode>0.00</c:formatCode>
                <c:ptCount val="8"/>
                <c:pt idx="0">
                  <c:v>0.497459288</c:v>
                </c:pt>
                <c:pt idx="1">
                  <c:v>0.37457781751809999</c:v>
                </c:pt>
                <c:pt idx="2">
                  <c:v>0.22329468272</c:v>
                </c:pt>
                <c:pt idx="3">
                  <c:v>0.14746896686900299</c:v>
                </c:pt>
                <c:pt idx="4">
                  <c:v>1.0856769749999999</c:v>
                </c:pt>
                <c:pt idx="5">
                  <c:v>0.84487704399999997</c:v>
                </c:pt>
                <c:pt idx="6">
                  <c:v>0.40179007738283701</c:v>
                </c:pt>
                <c:pt idx="7">
                  <c:v>0.2486248606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055-4B80-B667-0E0588C184E0}"/>
            </c:ext>
          </c:extLst>
        </c:ser>
        <c:ser>
          <c:idx val="3"/>
          <c:order val="3"/>
          <c:tx>
            <c:v>Gypsum Plasterboard Edge/Corner Cracking and Screw Failure (Bhatta et al., 2021)</c:v>
          </c:tx>
          <c:spPr>
            <a:ln w="254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results_vf!$Y$54:$Y$55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results_vf!$AF$54:$AF$55</c:f>
              <c:numCache>
                <c:formatCode>General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055-4B80-B667-0E0588C184E0}"/>
            </c:ext>
          </c:extLst>
        </c:ser>
        <c:ser>
          <c:idx val="4"/>
          <c:order val="4"/>
          <c:tx>
            <c:v>Probable Brick Veneer Deformation Capacity (MBIE/NZSEE, 2017)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results_vf!$Y$54:$Y$55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results_vf!$AD$54:$AD$55</c:f>
              <c:numCache>
                <c:formatCode>General</c:formatCode>
                <c:ptCount val="2"/>
                <c:pt idx="0">
                  <c:v>0.28301886792452829</c:v>
                </c:pt>
                <c:pt idx="1">
                  <c:v>0.28301886792452829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055-4B80-B667-0E0588C184E0}"/>
            </c:ext>
          </c:extLst>
        </c:ser>
        <c:ser>
          <c:idx val="7"/>
          <c:order val="6"/>
          <c:tx>
            <c:v>Gypsum Plasterboard Corner Crushing (Bhatta et al., 2021)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results_vf!$Y$66:$Y$67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results_vf!$AG$54:$AG$55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055-4B80-B667-0E0588C1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89504"/>
        <c:axId val="14155233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Median Loss of Glazing System Watertightness (Arifin et al. 2020)</c:v>
                </c:tx>
                <c:spPr>
                  <a:ln w="25400" cap="rnd">
                    <a:solidFill>
                      <a:srgbClr val="FF0000"/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results_vf!$Y$54:$Y$55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results_vf!$AB$54:$AB$55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0.35</c:v>
                      </c:pt>
                      <c:pt idx="1">
                        <c:v>0.35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0055-4B80-B667-0E0588C184E0}"/>
                  </c:ext>
                </c:extLst>
              </c15:ser>
            </c15:filteredScatterSeries>
          </c:ext>
        </c:extLst>
      </c:scatterChart>
      <c:valAx>
        <c:axId val="15007895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House Weight [kN/m]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523328"/>
        <c:crosses val="autoZero"/>
        <c:crossBetween val="midCat"/>
        <c:majorUnit val="1"/>
      </c:valAx>
      <c:valAx>
        <c:axId val="14155233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Drift Demand on House Above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078950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6.6819524838202624E-2"/>
          <c:y val="6.0885655597327643E-2"/>
          <c:w val="0.52910916265325536"/>
          <c:h val="0.3422068745915448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21</xdr:row>
      <xdr:rowOff>0</xdr:rowOff>
    </xdr:from>
    <xdr:to>
      <xdr:col>5</xdr:col>
      <xdr:colOff>447675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C0BD28-F3CE-4CD0-A640-D56B1AF0E413}"/>
            </a:ext>
          </a:extLst>
        </xdr:cNvPr>
        <xdr:cNvSpPr txBox="1"/>
      </xdr:nvSpPr>
      <xdr:spPr>
        <a:xfrm>
          <a:off x="1066800" y="4000500"/>
          <a:ext cx="37338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Sensitivity</a:t>
          </a:r>
          <a:r>
            <a:rPr lang="en-NZ" sz="1100" baseline="0"/>
            <a:t> check on the node spacing within the model:</a:t>
          </a:r>
        </a:p>
        <a:p>
          <a:r>
            <a:rPr lang="en-NZ" sz="1100" baseline="0"/>
            <a:t>When non-linear behaviour occurs, the node spacing is important.</a:t>
          </a:r>
        </a:p>
        <a:p>
          <a:r>
            <a:rPr lang="en-NZ" sz="1100" baseline="0"/>
            <a:t>House weight = 16.0 kN/m corresponding to a 2-L/H for all analysis then is repeated with increased number of nodes until a reasonable amount of convergence is achieved, &lt; 10%. </a:t>
          </a:r>
          <a:r>
            <a:rPr lang="en-NZ" sz="1100" baseline="0">
              <a:solidFill>
                <a:srgbClr val="FF0000"/>
              </a:solidFill>
            </a:rPr>
            <a:t>This occurs at node spacing of 0.1 in this case.</a:t>
          </a:r>
          <a:endParaRPr lang="en-NZ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0</xdr:colOff>
      <xdr:row>22</xdr:row>
      <xdr:rowOff>0</xdr:rowOff>
    </xdr:from>
    <xdr:to>
      <xdr:col>13</xdr:col>
      <xdr:colOff>200025</xdr:colOff>
      <xdr:row>31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D572F7-7B31-445E-A2E5-5E342F4C1E60}"/>
            </a:ext>
          </a:extLst>
        </xdr:cNvPr>
        <xdr:cNvSpPr txBox="1"/>
      </xdr:nvSpPr>
      <xdr:spPr>
        <a:xfrm>
          <a:off x="7296150" y="4200525"/>
          <a:ext cx="37338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Sensitivity</a:t>
          </a:r>
          <a:r>
            <a:rPr lang="en-NZ" sz="1100" baseline="0"/>
            <a:t> check on the foundation length within the model:</a:t>
          </a:r>
        </a:p>
        <a:p>
          <a:endParaRPr lang="en-NZ" sz="1100" baseline="0"/>
        </a:p>
        <a:p>
          <a:r>
            <a:rPr lang="en-NZ" sz="1100" baseline="0"/>
            <a:t>House weight = 16.0 kN/m corresponding to a 2-L/H for all analysis then is repeated with increased number of nodes until a reasonable amount of convergence is achieved, &lt; 10%. </a:t>
          </a:r>
        </a:p>
        <a:p>
          <a:endParaRPr lang="en-NZ" sz="1100" baseline="0">
            <a:solidFill>
              <a:srgbClr val="FF0000"/>
            </a:solidFill>
          </a:endParaRPr>
        </a:p>
        <a:p>
          <a:r>
            <a:rPr lang="en-NZ" sz="1100" baseline="0">
              <a:solidFill>
                <a:srgbClr val="FF0000"/>
              </a:solidFill>
            </a:rPr>
            <a:t>&lt;10% difference in the next result occurs with a foundation length of 15m =&gt; 15m foundation is used for all analysis with 0.1m node spacing</a:t>
          </a:r>
          <a:endParaRPr lang="en-NZ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227495</xdr:colOff>
      <xdr:row>56</xdr:row>
      <xdr:rowOff>7382</xdr:rowOff>
    </xdr:from>
    <xdr:to>
      <xdr:col>27</xdr:col>
      <xdr:colOff>434745</xdr:colOff>
      <xdr:row>63</xdr:row>
      <xdr:rowOff>102419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6B9B19-629C-4E48-A0C6-551E4B44B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92115" y="10712654"/>
          <a:ext cx="4534913" cy="1399548"/>
        </a:xfrm>
        <a:prstGeom prst="rect">
          <a:avLst/>
        </a:prstGeom>
      </xdr:spPr>
    </xdr:pic>
    <xdr:clientData/>
  </xdr:twoCellAnchor>
  <xdr:twoCellAnchor>
    <xdr:from>
      <xdr:col>13</xdr:col>
      <xdr:colOff>66842</xdr:colOff>
      <xdr:row>4</xdr:row>
      <xdr:rowOff>69695</xdr:rowOff>
    </xdr:from>
    <xdr:to>
      <xdr:col>15</xdr:col>
      <xdr:colOff>557561</xdr:colOff>
      <xdr:row>23</xdr:row>
      <xdr:rowOff>81310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E09819E-823E-44AA-82F7-CEAE384EB64E}"/>
            </a:ext>
          </a:extLst>
        </xdr:cNvPr>
        <xdr:cNvSpPr txBox="1"/>
      </xdr:nvSpPr>
      <xdr:spPr>
        <a:xfrm>
          <a:off x="10239542" y="841220"/>
          <a:ext cx="1967094" cy="3650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This sheet contains the results from</a:t>
          </a:r>
          <a:r>
            <a:rPr lang="en-NZ" sz="1100" baseline="0"/>
            <a:t> scripts:</a:t>
          </a:r>
        </a:p>
        <a:p>
          <a:r>
            <a:rPr lang="en-NZ" sz="1100" baseline="0"/>
            <a:t>1. NL_Hend_1930_59.py</a:t>
          </a:r>
        </a:p>
        <a:p>
          <a:r>
            <a:rPr lang="en-NZ" sz="1100" baseline="0"/>
            <a:t>2. NL_TC2_O3.py</a:t>
          </a:r>
        </a:p>
        <a:p>
          <a:r>
            <a:rPr lang="en-NZ" sz="1100" baseline="0"/>
            <a:t>3. NL_TC2_O4.py</a:t>
          </a:r>
        </a:p>
        <a:p>
          <a:endParaRPr lang="en-NZ" sz="1100" baseline="0"/>
        </a:p>
        <a:p>
          <a:r>
            <a:rPr lang="en-NZ" sz="1100" baseline="0"/>
            <a:t>for displacement, moment and shear force demands. plus drift demand on the house above.</a:t>
          </a:r>
        </a:p>
        <a:p>
          <a:endParaRPr lang="en-NZ" sz="1100" baseline="0"/>
        </a:p>
        <a:p>
          <a:r>
            <a:rPr lang="en-NZ" sz="1100" b="1" baseline="0"/>
            <a:t>All analysis completed with 4m loss of central support with a 15m long foundation and 0.1m node spacing. </a:t>
          </a:r>
          <a:r>
            <a:rPr lang="en-NZ" sz="1100" baseline="0"/>
            <a:t>These parameters were determined to be the most computationally efficent based on the preliminary sensitivty check.</a:t>
          </a:r>
        </a:p>
      </xdr:txBody>
    </xdr:sp>
    <xdr:clientData/>
  </xdr:twoCellAnchor>
  <xdr:twoCellAnchor>
    <xdr:from>
      <xdr:col>29</xdr:col>
      <xdr:colOff>746469</xdr:colOff>
      <xdr:row>56</xdr:row>
      <xdr:rowOff>47623</xdr:rowOff>
    </xdr:from>
    <xdr:to>
      <xdr:col>33</xdr:col>
      <xdr:colOff>354598</xdr:colOff>
      <xdr:row>64</xdr:row>
      <xdr:rowOff>24847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ABB54C1-E43B-4F30-A367-CCBC4007BE8C}"/>
            </a:ext>
          </a:extLst>
        </xdr:cNvPr>
        <xdr:cNvSpPr txBox="1"/>
      </xdr:nvSpPr>
      <xdr:spPr>
        <a:xfrm>
          <a:off x="26505382" y="10752895"/>
          <a:ext cx="3645901" cy="14680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Note: NZSEE guidlines on assesment of URM buildings</a:t>
          </a:r>
          <a:r>
            <a:rPr lang="en-NZ" sz="1100" baseline="0"/>
            <a:t> is used to determine the probable brick veneer deformation capacity. </a:t>
          </a:r>
        </a:p>
        <a:p>
          <a:endParaRPr lang="en-NZ" sz="1100" baseline="0"/>
        </a:p>
        <a:p>
          <a:r>
            <a:rPr lang="en-NZ" sz="1100" baseline="0"/>
            <a:t>Calculated as the minimum of L/33 or L/53</a:t>
          </a:r>
          <a:endParaRPr lang="en-NZ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473193</xdr:colOff>
      <xdr:row>29</xdr:row>
      <xdr:rowOff>171457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476B7-164B-45E6-8D58-DC10CD449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42</xdr:col>
      <xdr:colOff>441650</xdr:colOff>
      <xdr:row>30</xdr:row>
      <xdr:rowOff>177092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04AA7-82B3-4C21-B5CF-64DCA773D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21</xdr:col>
      <xdr:colOff>425036</xdr:colOff>
      <xdr:row>60</xdr:row>
      <xdr:rowOff>64761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0CDC5-7335-4B51-B366-F693C7566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41</xdr:col>
      <xdr:colOff>503765</xdr:colOff>
      <xdr:row>56</xdr:row>
      <xdr:rowOff>2981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47A08-7518-428D-9BD1-613069D55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0.12609</cdr:x>
      <cdr:y>0.16871</cdr:y>
    </cdr:from>
    <cdr:to>
      <cdr:x>0.36793</cdr:x>
      <cdr:y>0.49735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B6612B-5B37-4CDF-BF5C-05A2D84116BF}"/>
            </a:ext>
          </a:extLst>
        </cdr:cNvPr>
        <cdr:cNvSpPr txBox="1"/>
      </cdr:nvSpPr>
      <cdr:spPr>
        <a:xfrm xmlns:a="http://schemas.openxmlformats.org/drawingml/2006/main">
          <a:off x="1452538" y="965760"/>
          <a:ext cx="2786062" cy="1881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NZ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0.09198</cdr:x>
      <cdr:y>0.05224</cdr:y>
    </cdr:from>
    <cdr:to>
      <cdr:x>0.44752</cdr:x>
      <cdr:y>0.21863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C05EB25-C0CF-496E-9AF6-6F2D02BFCBF4}"/>
            </a:ext>
          </a:extLst>
        </cdr:cNvPr>
        <cdr:cNvSpPr txBox="1"/>
      </cdr:nvSpPr>
      <cdr:spPr>
        <a:xfrm xmlns:a="http://schemas.openxmlformats.org/drawingml/2006/main">
          <a:off x="1059631" y="299011"/>
          <a:ext cx="4095750" cy="95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NZ" sz="1800" b="0">
              <a:latin typeface="Times New Roman" panose="02020603050405020304" pitchFamily="18" charset="0"/>
              <a:cs typeface="Times New Roman" panose="02020603050405020304" pitchFamily="18" charset="0"/>
            </a:rPr>
            <a:t>Note:</a:t>
          </a:r>
        </a:p>
        <a:p xmlns:a="http://schemas.openxmlformats.org/drawingml/2006/main">
          <a:r>
            <a:rPr lang="en-NZ" sz="1800" b="0">
              <a:latin typeface="Times New Roman" panose="02020603050405020304" pitchFamily="18" charset="0"/>
              <a:cs typeface="Times New Roman" panose="02020603050405020304" pitchFamily="18" charset="0"/>
            </a:rPr>
            <a:t>Shear Failure TC2 - Option 3 = 115.8 kN</a:t>
          </a:r>
        </a:p>
        <a:p xmlns:a="http://schemas.openxmlformats.org/drawingml/2006/main">
          <a:r>
            <a:rPr lang="en-NZ" sz="1800" b="0">
              <a:latin typeface="Times New Roman" panose="02020603050405020304" pitchFamily="18" charset="0"/>
              <a:cs typeface="Times New Roman" panose="02020603050405020304" pitchFamily="18" charset="0"/>
            </a:rPr>
            <a:t>Shear</a:t>
          </a:r>
          <a:r>
            <a:rPr lang="en-NZ" sz="18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Failure TC2 - Option 4 = 67.0 kN</a:t>
          </a:r>
          <a:endParaRPr lang="en-NZ" sz="18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2147-2B1A-4DD4-BFB7-AB71D04BF42D}">
  <dimension ref="B3:P34"/>
  <sheetViews>
    <sheetView workbookViewId="0">
      <selection activeCell="P14" sqref="P14"/>
    </sheetView>
  </sheetViews>
  <sheetFormatPr defaultRowHeight="15" x14ac:dyDescent="0.25"/>
  <cols>
    <col min="2" max="2" width="39.5703125" bestFit="1" customWidth="1"/>
    <col min="10" max="10" width="27.85546875" bestFit="1" customWidth="1"/>
  </cols>
  <sheetData>
    <row r="3" spans="2:16" x14ac:dyDescent="0.25">
      <c r="B3" t="s">
        <v>13</v>
      </c>
    </row>
    <row r="4" spans="2:16" x14ac:dyDescent="0.25">
      <c r="B4" s="54" t="s">
        <v>31</v>
      </c>
      <c r="C4" s="54"/>
      <c r="D4" s="54"/>
      <c r="E4" s="54"/>
      <c r="F4" s="54"/>
      <c r="G4" s="54"/>
      <c r="J4" s="54" t="s">
        <v>32</v>
      </c>
      <c r="K4" s="54"/>
      <c r="L4" s="54"/>
      <c r="M4" s="54"/>
      <c r="N4" s="54"/>
      <c r="O4" s="54"/>
    </row>
    <row r="5" spans="2:16" x14ac:dyDescent="0.25">
      <c r="B5" t="s">
        <v>14</v>
      </c>
      <c r="C5" t="s">
        <v>16</v>
      </c>
      <c r="D5" t="s">
        <v>16</v>
      </c>
      <c r="E5" t="s">
        <v>18</v>
      </c>
      <c r="F5" t="s">
        <v>17</v>
      </c>
      <c r="J5" t="s">
        <v>14</v>
      </c>
      <c r="K5" t="s">
        <v>16</v>
      </c>
      <c r="L5" t="s">
        <v>16</v>
      </c>
      <c r="M5" t="s">
        <v>18</v>
      </c>
      <c r="N5" t="s">
        <v>17</v>
      </c>
    </row>
    <row r="6" spans="2:16" x14ac:dyDescent="0.25">
      <c r="B6" t="s">
        <v>15</v>
      </c>
      <c r="C6" t="s">
        <v>16</v>
      </c>
      <c r="D6" t="s">
        <v>17</v>
      </c>
      <c r="E6" t="s">
        <v>16</v>
      </c>
      <c r="F6" t="s">
        <v>17</v>
      </c>
      <c r="J6" t="s">
        <v>15</v>
      </c>
      <c r="K6" t="s">
        <v>16</v>
      </c>
      <c r="L6" t="s">
        <v>17</v>
      </c>
      <c r="M6" t="s">
        <v>16</v>
      </c>
      <c r="N6" t="s">
        <v>17</v>
      </c>
    </row>
    <row r="7" spans="2:16" x14ac:dyDescent="0.25">
      <c r="B7" t="s">
        <v>19</v>
      </c>
      <c r="C7">
        <v>38</v>
      </c>
      <c r="D7">
        <v>38</v>
      </c>
      <c r="E7">
        <v>152</v>
      </c>
      <c r="F7">
        <v>152</v>
      </c>
      <c r="G7" t="s">
        <v>25</v>
      </c>
      <c r="J7" t="s">
        <v>19</v>
      </c>
      <c r="K7">
        <v>38</v>
      </c>
      <c r="L7">
        <v>38</v>
      </c>
      <c r="M7">
        <v>152</v>
      </c>
      <c r="N7">
        <v>152</v>
      </c>
      <c r="O7" t="s">
        <v>25</v>
      </c>
      <c r="P7">
        <v>1</v>
      </c>
    </row>
    <row r="8" spans="2:16" x14ac:dyDescent="0.25">
      <c r="B8" t="s">
        <v>20</v>
      </c>
      <c r="C8">
        <v>32</v>
      </c>
      <c r="D8">
        <v>32</v>
      </c>
      <c r="E8">
        <v>32</v>
      </c>
      <c r="F8">
        <v>32</v>
      </c>
      <c r="G8" t="s">
        <v>25</v>
      </c>
      <c r="J8" t="s">
        <v>20</v>
      </c>
      <c r="K8">
        <v>32</v>
      </c>
      <c r="L8">
        <v>32</v>
      </c>
      <c r="M8">
        <v>32</v>
      </c>
      <c r="N8">
        <v>32</v>
      </c>
      <c r="O8" t="s">
        <v>25</v>
      </c>
      <c r="P8">
        <v>1</v>
      </c>
    </row>
    <row r="9" spans="2:16" x14ac:dyDescent="0.25">
      <c r="B9" t="s">
        <v>21</v>
      </c>
      <c r="C9">
        <v>26</v>
      </c>
      <c r="D9">
        <v>26</v>
      </c>
      <c r="E9">
        <v>26</v>
      </c>
      <c r="F9">
        <v>26</v>
      </c>
      <c r="G9" t="s">
        <v>25</v>
      </c>
      <c r="J9" t="s">
        <v>21</v>
      </c>
      <c r="K9">
        <f>C9</f>
        <v>26</v>
      </c>
      <c r="L9">
        <f t="shared" ref="L9:N9" si="0">D9</f>
        <v>26</v>
      </c>
      <c r="M9">
        <f t="shared" si="0"/>
        <v>26</v>
      </c>
      <c r="N9">
        <f t="shared" si="0"/>
        <v>26</v>
      </c>
      <c r="O9" t="s">
        <v>25</v>
      </c>
      <c r="P9" s="8" t="s">
        <v>48</v>
      </c>
    </row>
    <row r="10" spans="2:16" x14ac:dyDescent="0.25">
      <c r="B10" t="s">
        <v>22</v>
      </c>
      <c r="C10">
        <v>35</v>
      </c>
      <c r="D10">
        <v>35</v>
      </c>
      <c r="E10">
        <v>35</v>
      </c>
      <c r="F10">
        <v>35</v>
      </c>
      <c r="G10" t="s">
        <v>25</v>
      </c>
      <c r="J10" t="s">
        <v>22</v>
      </c>
      <c r="K10">
        <v>35</v>
      </c>
      <c r="L10">
        <v>35</v>
      </c>
      <c r="M10">
        <v>35</v>
      </c>
      <c r="N10">
        <v>35</v>
      </c>
      <c r="O10" t="s">
        <v>25</v>
      </c>
      <c r="P10">
        <v>1</v>
      </c>
    </row>
    <row r="11" spans="2:16" x14ac:dyDescent="0.25">
      <c r="B11" t="s">
        <v>23</v>
      </c>
      <c r="C11">
        <v>26</v>
      </c>
      <c r="D11">
        <v>285</v>
      </c>
      <c r="E11">
        <v>26</v>
      </c>
      <c r="F11">
        <v>285</v>
      </c>
      <c r="G11" t="s">
        <v>25</v>
      </c>
      <c r="J11" t="s">
        <v>23</v>
      </c>
      <c r="K11">
        <f>C11</f>
        <v>26</v>
      </c>
      <c r="L11">
        <f t="shared" ref="L11:N13" si="1">D11</f>
        <v>285</v>
      </c>
      <c r="M11">
        <f t="shared" si="1"/>
        <v>26</v>
      </c>
      <c r="N11">
        <f t="shared" si="1"/>
        <v>285</v>
      </c>
      <c r="O11" t="s">
        <v>25</v>
      </c>
      <c r="P11" s="8" t="s">
        <v>48</v>
      </c>
    </row>
    <row r="12" spans="2:16" x14ac:dyDescent="0.25">
      <c r="B12" t="s">
        <v>26</v>
      </c>
      <c r="C12">
        <v>8</v>
      </c>
      <c r="D12">
        <v>8</v>
      </c>
      <c r="E12">
        <v>8</v>
      </c>
      <c r="F12">
        <v>8</v>
      </c>
      <c r="G12" t="s">
        <v>25</v>
      </c>
      <c r="J12" t="s">
        <v>26</v>
      </c>
      <c r="K12">
        <f>C12</f>
        <v>8</v>
      </c>
      <c r="L12">
        <f t="shared" si="1"/>
        <v>8</v>
      </c>
      <c r="M12">
        <f t="shared" si="1"/>
        <v>8</v>
      </c>
      <c r="N12">
        <f t="shared" si="1"/>
        <v>8</v>
      </c>
      <c r="O12" t="s">
        <v>25</v>
      </c>
      <c r="P12" s="8" t="s">
        <v>50</v>
      </c>
    </row>
    <row r="13" spans="2:16" x14ac:dyDescent="0.25">
      <c r="B13" t="s">
        <v>24</v>
      </c>
      <c r="C13">
        <v>36</v>
      </c>
      <c r="D13">
        <v>36</v>
      </c>
      <c r="E13">
        <v>36</v>
      </c>
      <c r="F13">
        <v>36</v>
      </c>
      <c r="G13" t="s">
        <v>25</v>
      </c>
      <c r="J13" t="s">
        <v>24</v>
      </c>
      <c r="K13">
        <f>C13</f>
        <v>36</v>
      </c>
      <c r="L13">
        <f t="shared" si="1"/>
        <v>36</v>
      </c>
      <c r="M13">
        <f t="shared" si="1"/>
        <v>36</v>
      </c>
      <c r="N13">
        <f t="shared" si="1"/>
        <v>36</v>
      </c>
      <c r="O13" t="s">
        <v>25</v>
      </c>
      <c r="P13" s="8" t="s">
        <v>49</v>
      </c>
    </row>
    <row r="14" spans="2:16" x14ac:dyDescent="0.25">
      <c r="B14" t="s">
        <v>27</v>
      </c>
      <c r="C14">
        <f>SUM(C7:C13)</f>
        <v>201</v>
      </c>
      <c r="D14">
        <f t="shared" ref="D14:F14" si="2">SUM(D7:D13)</f>
        <v>460</v>
      </c>
      <c r="E14">
        <f t="shared" si="2"/>
        <v>315</v>
      </c>
      <c r="F14">
        <f t="shared" si="2"/>
        <v>574</v>
      </c>
      <c r="J14" t="s">
        <v>33</v>
      </c>
      <c r="K14">
        <v>55.5</v>
      </c>
      <c r="L14">
        <v>55.5</v>
      </c>
      <c r="M14">
        <v>55.5</v>
      </c>
      <c r="N14">
        <v>55.5</v>
      </c>
    </row>
    <row r="15" spans="2:16" x14ac:dyDescent="0.25">
      <c r="B15" t="s">
        <v>28</v>
      </c>
      <c r="C15">
        <v>54</v>
      </c>
      <c r="D15">
        <v>54</v>
      </c>
      <c r="E15">
        <v>54</v>
      </c>
      <c r="F15">
        <v>54</v>
      </c>
      <c r="J15" t="s">
        <v>27</v>
      </c>
      <c r="K15">
        <f>SUM(K7:K14)</f>
        <v>256.5</v>
      </c>
      <c r="L15">
        <f t="shared" ref="L15:N15" si="3">SUM(L7:L14)</f>
        <v>515.5</v>
      </c>
      <c r="M15">
        <f t="shared" si="3"/>
        <v>370.5</v>
      </c>
      <c r="N15">
        <f t="shared" si="3"/>
        <v>629.5</v>
      </c>
    </row>
    <row r="16" spans="2:16" x14ac:dyDescent="0.25">
      <c r="B16" t="s">
        <v>29</v>
      </c>
      <c r="C16">
        <f>C14/C15</f>
        <v>3.7222222222222223</v>
      </c>
      <c r="D16">
        <f t="shared" ref="D16:F16" si="4">D14/D15</f>
        <v>8.518518518518519</v>
      </c>
      <c r="E16">
        <f t="shared" si="4"/>
        <v>5.833333333333333</v>
      </c>
      <c r="F16">
        <f t="shared" si="4"/>
        <v>10.62962962962963</v>
      </c>
      <c r="G16" t="s">
        <v>30</v>
      </c>
      <c r="J16" t="s">
        <v>28</v>
      </c>
      <c r="K16">
        <v>54</v>
      </c>
      <c r="L16">
        <v>54</v>
      </c>
      <c r="M16">
        <v>54</v>
      </c>
      <c r="N16">
        <v>54</v>
      </c>
    </row>
    <row r="17" spans="2:15" x14ac:dyDescent="0.25">
      <c r="J17" t="s">
        <v>29</v>
      </c>
      <c r="K17">
        <f>K15/K16</f>
        <v>4.75</v>
      </c>
      <c r="L17">
        <f t="shared" ref="L17" si="5">L15/L16</f>
        <v>9.5462962962962958</v>
      </c>
      <c r="M17">
        <f t="shared" ref="M17" si="6">M15/M16</f>
        <v>6.8611111111111107</v>
      </c>
      <c r="N17">
        <f t="shared" ref="N17" si="7">N15/N16</f>
        <v>11.657407407407407</v>
      </c>
      <c r="O17" t="s">
        <v>30</v>
      </c>
    </row>
    <row r="19" spans="2:15" x14ac:dyDescent="0.25">
      <c r="K19">
        <f>K17/C16</f>
        <v>1.2761194029850746</v>
      </c>
      <c r="L19">
        <f t="shared" ref="L19:M19" si="8">L17/D16</f>
        <v>1.1206521739130433</v>
      </c>
      <c r="M19">
        <f t="shared" si="8"/>
        <v>1.1761904761904762</v>
      </c>
      <c r="N19">
        <f>N17/F16</f>
        <v>1.0966898954703832</v>
      </c>
    </row>
    <row r="20" spans="2:15" x14ac:dyDescent="0.25">
      <c r="B20" s="54" t="s">
        <v>34</v>
      </c>
      <c r="C20" s="54"/>
      <c r="D20" s="54"/>
      <c r="E20" s="54"/>
      <c r="F20" s="54"/>
      <c r="G20" s="54"/>
    </row>
    <row r="21" spans="2:15" x14ac:dyDescent="0.25">
      <c r="B21" t="s">
        <v>51</v>
      </c>
      <c r="C21" t="s">
        <v>9</v>
      </c>
      <c r="D21" t="s">
        <v>7</v>
      </c>
      <c r="E21" t="s">
        <v>8</v>
      </c>
      <c r="F21" t="s">
        <v>6</v>
      </c>
    </row>
    <row r="22" spans="2:15" x14ac:dyDescent="0.25">
      <c r="B22" s="8" t="s">
        <v>35</v>
      </c>
      <c r="C22" s="9">
        <v>4.12</v>
      </c>
      <c r="D22" s="9">
        <v>8.59</v>
      </c>
      <c r="E22" s="9">
        <v>6.18</v>
      </c>
      <c r="F22" s="9">
        <v>10.66</v>
      </c>
      <c r="G22" s="8" t="s">
        <v>30</v>
      </c>
      <c r="J22" t="s">
        <v>36</v>
      </c>
    </row>
    <row r="23" spans="2:15" x14ac:dyDescent="0.25">
      <c r="B23" t="s">
        <v>38</v>
      </c>
      <c r="C23">
        <f>(K14+K9+K11+K12+K13)/$J$34</f>
        <v>2.7319672131147543</v>
      </c>
      <c r="D23">
        <f t="shared" ref="D23:F23" si="9">(L14+L9+L11+L12+L13)/$J$34</f>
        <v>7.4024590163934425</v>
      </c>
      <c r="E23">
        <f t="shared" si="9"/>
        <v>2.7319672131147543</v>
      </c>
      <c r="F23">
        <f t="shared" si="9"/>
        <v>7.4024590163934425</v>
      </c>
      <c r="G23" t="s">
        <v>30</v>
      </c>
      <c r="J23">
        <v>47</v>
      </c>
    </row>
    <row r="24" spans="2:15" x14ac:dyDescent="0.25">
      <c r="B24" s="8" t="s">
        <v>39</v>
      </c>
      <c r="C24" s="9">
        <f>C22+C23</f>
        <v>6.8519672131147544</v>
      </c>
      <c r="D24" s="9">
        <f t="shared" ref="D24:F24" si="10">D22+D23</f>
        <v>15.992459016393443</v>
      </c>
      <c r="E24" s="9">
        <f t="shared" si="10"/>
        <v>8.9119672131147532</v>
      </c>
      <c r="F24" s="9">
        <f t="shared" si="10"/>
        <v>18.062459016393444</v>
      </c>
      <c r="G24" s="8" t="s">
        <v>30</v>
      </c>
      <c r="J24">
        <v>45</v>
      </c>
    </row>
    <row r="25" spans="2:15" x14ac:dyDescent="0.25">
      <c r="J25">
        <v>50</v>
      </c>
    </row>
    <row r="26" spans="2:15" x14ac:dyDescent="0.25">
      <c r="B26" s="8" t="s">
        <v>40</v>
      </c>
      <c r="C26">
        <v>2</v>
      </c>
      <c r="D26">
        <f>C26+2</f>
        <v>4</v>
      </c>
      <c r="E26">
        <f t="shared" ref="E26:F26" si="11">D26+2</f>
        <v>6</v>
      </c>
      <c r="F26">
        <f t="shared" si="11"/>
        <v>8</v>
      </c>
      <c r="G26" s="8" t="s">
        <v>41</v>
      </c>
      <c r="J26">
        <v>54</v>
      </c>
    </row>
    <row r="27" spans="2:15" x14ac:dyDescent="0.25">
      <c r="C27">
        <f>C24/C22</f>
        <v>1.663098838134649</v>
      </c>
      <c r="D27">
        <f t="shared" ref="D27:F27" si="12">D24/D22</f>
        <v>1.8617530868909713</v>
      </c>
      <c r="E27">
        <f t="shared" si="12"/>
        <v>1.442065892089766</v>
      </c>
      <c r="F27">
        <f t="shared" si="12"/>
        <v>1.6944145418755576</v>
      </c>
      <c r="J27">
        <v>43</v>
      </c>
    </row>
    <row r="28" spans="2:15" x14ac:dyDescent="0.25">
      <c r="J28">
        <v>57</v>
      </c>
    </row>
    <row r="29" spans="2:15" x14ac:dyDescent="0.25">
      <c r="J29">
        <v>65</v>
      </c>
    </row>
    <row r="30" spans="2:15" x14ac:dyDescent="0.25">
      <c r="J30">
        <v>51</v>
      </c>
    </row>
    <row r="31" spans="2:15" x14ac:dyDescent="0.25">
      <c r="J31">
        <v>66</v>
      </c>
    </row>
    <row r="32" spans="2:15" x14ac:dyDescent="0.25">
      <c r="J32">
        <v>68</v>
      </c>
    </row>
    <row r="33" spans="9:10" x14ac:dyDescent="0.25">
      <c r="J33">
        <v>64</v>
      </c>
    </row>
    <row r="34" spans="9:10" x14ac:dyDescent="0.25">
      <c r="I34" t="s">
        <v>37</v>
      </c>
      <c r="J34">
        <f>AVERAGE(J23:J33)</f>
        <v>55.454545454545453</v>
      </c>
    </row>
  </sheetData>
  <mergeCells count="3">
    <mergeCell ref="B4:G4"/>
    <mergeCell ref="J4:O4"/>
    <mergeCell ref="B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2EAF-AEFB-4C30-83A6-800AF7D6B2CA}">
  <dimension ref="B1:N19"/>
  <sheetViews>
    <sheetView workbookViewId="0">
      <selection activeCell="F39" sqref="F39"/>
    </sheetView>
  </sheetViews>
  <sheetFormatPr defaultRowHeight="15" x14ac:dyDescent="0.25"/>
  <cols>
    <col min="2" max="2" width="16.28515625" bestFit="1" customWidth="1"/>
    <col min="3" max="3" width="11.7109375" customWidth="1"/>
    <col min="5" max="5" width="19" bestFit="1" customWidth="1"/>
    <col min="6" max="6" width="16.7109375" bestFit="1" customWidth="1"/>
    <col min="10" max="10" width="20.85546875" bestFit="1" customWidth="1"/>
    <col min="11" max="11" width="10.85546875" bestFit="1" customWidth="1"/>
    <col min="12" max="12" width="6.85546875" bestFit="1" customWidth="1"/>
    <col min="13" max="13" width="19" bestFit="1" customWidth="1"/>
    <col min="14" max="14" width="16.7109375" bestFit="1" customWidth="1"/>
  </cols>
  <sheetData>
    <row r="1" spans="2:14" x14ac:dyDescent="0.25">
      <c r="B1" s="50" t="s">
        <v>84</v>
      </c>
      <c r="C1" s="51"/>
      <c r="D1" s="51"/>
      <c r="E1" s="51"/>
      <c r="F1" s="52"/>
      <c r="J1" s="50" t="s">
        <v>85</v>
      </c>
      <c r="K1" s="51"/>
      <c r="L1" s="51"/>
      <c r="M1" s="51"/>
      <c r="N1" s="52"/>
    </row>
    <row r="2" spans="2:14" x14ac:dyDescent="0.25">
      <c r="B2" s="55" t="s">
        <v>2</v>
      </c>
      <c r="C2" s="53"/>
      <c r="D2" s="53"/>
      <c r="E2" s="2"/>
      <c r="F2" s="3"/>
      <c r="J2" s="55" t="s">
        <v>2</v>
      </c>
      <c r="K2" s="53"/>
      <c r="L2" s="53"/>
      <c r="M2" s="2"/>
      <c r="N2" s="3"/>
    </row>
    <row r="3" spans="2:14" x14ac:dyDescent="0.25">
      <c r="B3" s="1" t="s">
        <v>79</v>
      </c>
      <c r="C3" s="2" t="s">
        <v>77</v>
      </c>
      <c r="D3" s="2" t="s">
        <v>78</v>
      </c>
      <c r="E3" s="2" t="s">
        <v>82</v>
      </c>
      <c r="F3" s="3" t="s">
        <v>83</v>
      </c>
      <c r="J3" s="1" t="s">
        <v>86</v>
      </c>
      <c r="K3" s="2" t="s">
        <v>77</v>
      </c>
      <c r="L3" s="2" t="s">
        <v>78</v>
      </c>
      <c r="M3" s="2" t="s">
        <v>82</v>
      </c>
      <c r="N3" s="3" t="s">
        <v>83</v>
      </c>
    </row>
    <row r="4" spans="2:14" x14ac:dyDescent="0.25">
      <c r="B4" s="1">
        <v>0.5</v>
      </c>
      <c r="C4" s="2">
        <v>43</v>
      </c>
      <c r="D4" s="2">
        <v>2.15</v>
      </c>
      <c r="E4" s="15">
        <f>((ABS(C4-C5))/((C4+C5)/2))*100</f>
        <v>29.333333333333332</v>
      </c>
      <c r="F4" s="22">
        <f>(ABS(D4-D5))/((D4+D5)/2)*100</f>
        <v>28.723404255319139</v>
      </c>
      <c r="J4" s="1">
        <v>20</v>
      </c>
      <c r="K4" s="2">
        <v>24.4</v>
      </c>
      <c r="L4" s="2">
        <v>1.22</v>
      </c>
      <c r="M4" s="15">
        <f>((ABS(K4-K5))/((K4+K5)/2))*100</f>
        <v>0</v>
      </c>
      <c r="N4" s="22">
        <f>(ABS(L4-L5))/((L4+L5)/2)*100</f>
        <v>0</v>
      </c>
    </row>
    <row r="5" spans="2:14" x14ac:dyDescent="0.25">
      <c r="B5" s="1">
        <v>0.25</v>
      </c>
      <c r="C5" s="2">
        <v>32</v>
      </c>
      <c r="D5" s="2">
        <v>1.61</v>
      </c>
      <c r="E5" s="15">
        <f t="shared" ref="E5:E6" si="0">(ABS(C5-C6))/((C5+C6)/2)*100</f>
        <v>13.333333333333334</v>
      </c>
      <c r="F5" s="22">
        <f t="shared" ref="F5:F6" si="1">(ABS(D5-D6))/((D5+D6)/2)*100</f>
        <v>16.107382550335565</v>
      </c>
      <c r="J5" s="1">
        <v>15</v>
      </c>
      <c r="K5" s="2">
        <v>24.4</v>
      </c>
      <c r="L5" s="2">
        <v>1.22</v>
      </c>
      <c r="M5" s="15">
        <f t="shared" ref="M5:M6" si="2">(ABS(K5-K6))/((K5+K6)/2)*100</f>
        <v>11.946050096339119</v>
      </c>
      <c r="N5" s="22">
        <f t="shared" ref="N5:N6" si="3">(ABS(L5-L6))/((L5+L6)/2)*100</f>
        <v>11.583011583011595</v>
      </c>
    </row>
    <row r="6" spans="2:14" x14ac:dyDescent="0.25">
      <c r="B6" s="1">
        <v>0.1</v>
      </c>
      <c r="C6" s="2">
        <v>28</v>
      </c>
      <c r="D6" s="2">
        <v>1.37</v>
      </c>
      <c r="E6" s="15">
        <f t="shared" si="0"/>
        <v>3.5087719298245612</v>
      </c>
      <c r="F6" s="22">
        <f t="shared" si="1"/>
        <v>2.8776978417266048</v>
      </c>
      <c r="J6" s="1">
        <v>10</v>
      </c>
      <c r="K6" s="2">
        <v>27.5</v>
      </c>
      <c r="L6" s="2">
        <v>1.37</v>
      </c>
      <c r="M6" s="15">
        <f t="shared" si="2"/>
        <v>200</v>
      </c>
      <c r="N6" s="22">
        <f t="shared" si="3"/>
        <v>200</v>
      </c>
    </row>
    <row r="7" spans="2:14" x14ac:dyDescent="0.25">
      <c r="B7" s="1">
        <v>0.05</v>
      </c>
      <c r="C7" s="2">
        <v>29</v>
      </c>
      <c r="D7" s="2">
        <v>1.41</v>
      </c>
      <c r="E7" s="15">
        <f>(ABS(C7-C6))/((C7+C6)/2)*100</f>
        <v>3.5087719298245612</v>
      </c>
      <c r="F7" s="22">
        <f>(ABS(D7-D6))/((D7+D6)/2)*100</f>
        <v>2.8776978417266048</v>
      </c>
      <c r="J7" s="1"/>
      <c r="K7" s="2"/>
      <c r="L7" s="2"/>
      <c r="M7" s="15"/>
      <c r="N7" s="22"/>
    </row>
    <row r="8" spans="2:14" x14ac:dyDescent="0.25">
      <c r="B8" s="55" t="s">
        <v>80</v>
      </c>
      <c r="C8" s="53"/>
      <c r="D8" s="53"/>
      <c r="E8" s="2"/>
      <c r="F8" s="3"/>
      <c r="J8" s="55" t="s">
        <v>80</v>
      </c>
      <c r="K8" s="53"/>
      <c r="L8" s="53"/>
      <c r="M8" s="2"/>
      <c r="N8" s="3"/>
    </row>
    <row r="9" spans="2:14" x14ac:dyDescent="0.25">
      <c r="B9" s="1" t="s">
        <v>79</v>
      </c>
      <c r="C9" s="2" t="s">
        <v>77</v>
      </c>
      <c r="D9" s="2" t="s">
        <v>78</v>
      </c>
      <c r="E9" s="2" t="str">
        <f>E3</f>
        <v>% difference (delta)</v>
      </c>
      <c r="F9" s="3" t="str">
        <f>F3</f>
        <v>% difference (DR)</v>
      </c>
      <c r="J9" s="1" t="str">
        <f>J3</f>
        <v>foundation length (m)</v>
      </c>
      <c r="K9" s="2" t="s">
        <v>77</v>
      </c>
      <c r="L9" s="2" t="s">
        <v>78</v>
      </c>
      <c r="M9" s="2" t="str">
        <f>M3</f>
        <v>% difference (delta)</v>
      </c>
      <c r="N9" s="3" t="str">
        <f>N3</f>
        <v>% difference (DR)</v>
      </c>
    </row>
    <row r="10" spans="2:14" x14ac:dyDescent="0.25">
      <c r="B10" s="1">
        <v>0.5</v>
      </c>
      <c r="C10" s="2">
        <v>17</v>
      </c>
      <c r="D10" s="2">
        <v>0.9</v>
      </c>
      <c r="E10" s="2">
        <f>(ABS(C10-C11))/((C10+C11)/2)*100</f>
        <v>12.5</v>
      </c>
      <c r="F10" s="3">
        <f>(ABS(D10-D11))/((D10+D11)/2)*100</f>
        <v>16.346153846153847</v>
      </c>
      <c r="J10" s="1">
        <f t="shared" ref="J10:J12" si="4">J4</f>
        <v>20</v>
      </c>
      <c r="K10" s="2">
        <v>12.9</v>
      </c>
      <c r="L10" s="2">
        <v>0.64600000000000002</v>
      </c>
      <c r="M10" s="2">
        <f>(ABS(K10-K11))/((K10+K11)/2)*100</f>
        <v>0</v>
      </c>
      <c r="N10" s="3">
        <f>(ABS(L10-L11))/((L10+L11)/2)*100</f>
        <v>0.15467904098994598</v>
      </c>
    </row>
    <row r="11" spans="2:14" x14ac:dyDescent="0.25">
      <c r="B11" s="1">
        <v>0.25</v>
      </c>
      <c r="C11" s="2">
        <v>15</v>
      </c>
      <c r="D11" s="2">
        <v>0.76400000000000001</v>
      </c>
      <c r="E11" s="2">
        <f t="shared" ref="E11" si="5">(ABS(C11-C12))/((C11+C12)/2)*100</f>
        <v>6.8965517241379306</v>
      </c>
      <c r="F11" s="3">
        <f t="shared" ref="F11" si="6">(ABS(D11-D12))/((D11+D12)/2)*100</f>
        <v>8.1743869209809326</v>
      </c>
      <c r="J11" s="1">
        <f t="shared" si="4"/>
        <v>15</v>
      </c>
      <c r="K11" s="2">
        <v>12.9</v>
      </c>
      <c r="L11" s="2">
        <v>0.64700000000000002</v>
      </c>
      <c r="M11" s="2">
        <f t="shared" ref="M11" si="7">(ABS(K11-K12))/((K11+K12)/2)*100</f>
        <v>8.1784386617100342</v>
      </c>
      <c r="N11" s="3">
        <f t="shared" ref="N11" si="8">(ABS(L11-L12))/((L11+L12)/2)*100</f>
        <v>8.4381939304219014</v>
      </c>
    </row>
    <row r="12" spans="2:14" x14ac:dyDescent="0.25">
      <c r="B12" s="1">
        <v>0.1</v>
      </c>
      <c r="C12" s="2">
        <v>14</v>
      </c>
      <c r="D12" s="2">
        <v>0.70399999999999996</v>
      </c>
      <c r="E12" s="2">
        <f>(ABS(C12-C13))/((C12+C13)/2)*100</f>
        <v>16.393442622950818</v>
      </c>
      <c r="F12" s="3">
        <f>(ABS(D12-D13))/((D12+D13)/2)*100</f>
        <v>16.067929457870672</v>
      </c>
      <c r="J12" s="1">
        <f t="shared" si="4"/>
        <v>10</v>
      </c>
      <c r="K12" s="2">
        <v>14</v>
      </c>
      <c r="L12" s="2">
        <v>0.70399999999999996</v>
      </c>
      <c r="M12" s="2">
        <f>(ABS(K12-K13))/((K12+K13)/2)*100</f>
        <v>200</v>
      </c>
      <c r="N12" s="3">
        <f>(ABS(L12-L13))/((L12+L13)/2)*100</f>
        <v>200</v>
      </c>
    </row>
    <row r="13" spans="2:14" x14ac:dyDescent="0.25">
      <c r="B13" s="1">
        <v>0.05</v>
      </c>
      <c r="C13" s="2">
        <v>16.5</v>
      </c>
      <c r="D13" s="2">
        <v>0.82699999999999996</v>
      </c>
      <c r="E13" s="2">
        <f>(ABS(C13-C12))/((C13+C12)/2)*100</f>
        <v>16.393442622950818</v>
      </c>
      <c r="F13" s="3">
        <f>(ABS(D13-D12))/((D13+D12)/2)*100</f>
        <v>16.067929457870672</v>
      </c>
      <c r="J13" s="1"/>
      <c r="K13" s="2"/>
      <c r="L13" s="2"/>
      <c r="M13" s="2"/>
      <c r="N13" s="3"/>
    </row>
    <row r="14" spans="2:14" x14ac:dyDescent="0.25">
      <c r="B14" s="55" t="s">
        <v>81</v>
      </c>
      <c r="C14" s="53"/>
      <c r="D14" s="53"/>
      <c r="E14" s="2"/>
      <c r="F14" s="3"/>
      <c r="J14" s="55" t="s">
        <v>81</v>
      </c>
      <c r="K14" s="53"/>
      <c r="L14" s="53"/>
      <c r="M14" s="2"/>
      <c r="N14" s="3"/>
    </row>
    <row r="15" spans="2:14" x14ac:dyDescent="0.25">
      <c r="B15" s="1" t="s">
        <v>79</v>
      </c>
      <c r="C15" s="2" t="s">
        <v>77</v>
      </c>
      <c r="D15" s="2" t="s">
        <v>78</v>
      </c>
      <c r="E15" s="2" t="str">
        <f>E9</f>
        <v>% difference (delta)</v>
      </c>
      <c r="F15" s="3" t="str">
        <f>F9</f>
        <v>% difference (DR)</v>
      </c>
      <c r="J15" s="1" t="str">
        <f>J9</f>
        <v>foundation length (m)</v>
      </c>
      <c r="K15" s="2" t="s">
        <v>77</v>
      </c>
      <c r="L15" s="2" t="s">
        <v>78</v>
      </c>
      <c r="M15" s="2" t="str">
        <f>M9</f>
        <v>% difference (delta)</v>
      </c>
      <c r="N15" s="3" t="str">
        <f>N9</f>
        <v>% difference (DR)</v>
      </c>
    </row>
    <row r="16" spans="2:14" x14ac:dyDescent="0.25">
      <c r="B16" s="1">
        <v>0.5</v>
      </c>
      <c r="C16" s="2">
        <v>41</v>
      </c>
      <c r="D16" s="2">
        <v>2.0499999999999998</v>
      </c>
      <c r="E16" s="2">
        <f>(ABS(C16-C17))/((C16+C17)/2)*100</f>
        <v>15.789473684210526</v>
      </c>
      <c r="F16" s="3">
        <f>(ABS(D16-D17))/((D16+D17)/2)*100</f>
        <v>16.931216931216923</v>
      </c>
      <c r="J16" s="1">
        <f t="shared" ref="J16:J18" si="9">J10</f>
        <v>20</v>
      </c>
      <c r="K16" s="2">
        <v>31.5</v>
      </c>
      <c r="L16" s="2">
        <v>1.575</v>
      </c>
      <c r="M16" s="2">
        <f>(ABS(K16-K17))/((K16+K17)/2)*100</f>
        <v>0</v>
      </c>
      <c r="N16" s="3">
        <f>(ABS(L16-L17))/((L16+L17)/2)*100</f>
        <v>0</v>
      </c>
    </row>
    <row r="17" spans="2:14" x14ac:dyDescent="0.25">
      <c r="B17" s="1">
        <v>0.25</v>
      </c>
      <c r="C17" s="2">
        <v>35</v>
      </c>
      <c r="D17" s="2">
        <v>1.73</v>
      </c>
      <c r="E17" s="2">
        <f t="shared" ref="E17:E18" si="10">(ABS(C17-C18))/((C17+C18)/2)*100</f>
        <v>10.210210210210207</v>
      </c>
      <c r="F17" s="3">
        <f t="shared" ref="F17:F18" si="11">(ABS(D17-D18))/((D17+D18)/2)*100</f>
        <v>9.063444108761324</v>
      </c>
      <c r="J17" s="1">
        <f t="shared" si="9"/>
        <v>15</v>
      </c>
      <c r="K17" s="2">
        <v>31.5</v>
      </c>
      <c r="L17" s="2">
        <v>1.575</v>
      </c>
      <c r="M17" s="2">
        <f t="shared" ref="M17:M18" si="12">(ABS(K17-K18))/((K17+K18)/2)*100</f>
        <v>0.31695721077654965</v>
      </c>
      <c r="N17" s="3">
        <f t="shared" ref="N17:N18" si="13">(ABS(L17-L18))/((L17+L18)/2)*100</f>
        <v>0.31695721077655248</v>
      </c>
    </row>
    <row r="18" spans="2:14" x14ac:dyDescent="0.25">
      <c r="B18" s="1">
        <v>0.1</v>
      </c>
      <c r="C18" s="2">
        <v>31.6</v>
      </c>
      <c r="D18" s="2">
        <v>1.58</v>
      </c>
      <c r="E18" s="2">
        <f t="shared" si="10"/>
        <v>3.215434083601286</v>
      </c>
      <c r="F18" s="3">
        <f t="shared" si="11"/>
        <v>3.2154340836012887</v>
      </c>
      <c r="J18" s="1">
        <f t="shared" si="9"/>
        <v>10</v>
      </c>
      <c r="K18" s="2">
        <v>31.6</v>
      </c>
      <c r="L18" s="2">
        <v>1.58</v>
      </c>
      <c r="M18" s="2">
        <f t="shared" si="12"/>
        <v>200</v>
      </c>
      <c r="N18" s="3">
        <f t="shared" si="13"/>
        <v>200</v>
      </c>
    </row>
    <row r="19" spans="2:14" ht="15.75" thickBot="1" x14ac:dyDescent="0.3">
      <c r="B19" s="4">
        <v>0.05</v>
      </c>
      <c r="C19" s="5">
        <v>30.6</v>
      </c>
      <c r="D19" s="5">
        <v>1.53</v>
      </c>
      <c r="E19" s="5">
        <f>(ABS(C19-C18))/((C19+C18)/2)*100</f>
        <v>3.215434083601286</v>
      </c>
      <c r="F19" s="6">
        <f>(ABS(D19-D18))/((D19+D18)/2)*100</f>
        <v>3.2154340836012887</v>
      </c>
      <c r="J19" s="4"/>
      <c r="K19" s="5"/>
      <c r="L19" s="5"/>
      <c r="M19" s="5"/>
      <c r="N19" s="6"/>
    </row>
  </sheetData>
  <mergeCells count="8">
    <mergeCell ref="B2:D2"/>
    <mergeCell ref="B8:D8"/>
    <mergeCell ref="B14:D14"/>
    <mergeCell ref="B1:F1"/>
    <mergeCell ref="J1:N1"/>
    <mergeCell ref="J2:L2"/>
    <mergeCell ref="J8:L8"/>
    <mergeCell ref="J14:L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225B-E624-4DB8-8A58-A6A7F47CAC24}">
  <dimension ref="B1:BE82"/>
  <sheetViews>
    <sheetView topLeftCell="W4" zoomScale="46" zoomScaleNormal="46" workbookViewId="0">
      <selection activeCell="BC18" sqref="BC18"/>
    </sheetView>
  </sheetViews>
  <sheetFormatPr defaultRowHeight="15" x14ac:dyDescent="0.25"/>
  <cols>
    <col min="1" max="4" width="0" hidden="1" customWidth="1"/>
    <col min="5" max="5" width="0" style="10" hidden="1" customWidth="1"/>
    <col min="6" max="6" width="36.42578125" style="31" hidden="1" customWidth="1"/>
    <col min="7" max="7" width="35" hidden="1" customWidth="1"/>
    <col min="8" max="8" width="9.28515625" style="10" hidden="1" customWidth="1"/>
    <col min="9" max="9" width="15.42578125" hidden="1" customWidth="1"/>
    <col min="10" max="10" width="12.28515625" style="10" hidden="1" customWidth="1"/>
    <col min="11" max="11" width="12.28515625" style="31" hidden="1" customWidth="1"/>
    <col min="12" max="12" width="10.5703125" style="8" hidden="1" customWidth="1"/>
    <col min="13" max="14" width="10.5703125" hidden="1" customWidth="1"/>
    <col min="15" max="15" width="11.5703125" hidden="1" customWidth="1"/>
    <col min="16" max="16" width="0" hidden="1" customWidth="1"/>
    <col min="17" max="17" width="13.85546875" hidden="1" customWidth="1"/>
    <col min="18" max="18" width="0" hidden="1" customWidth="1"/>
    <col min="19" max="19" width="26.42578125" hidden="1" customWidth="1"/>
    <col min="20" max="20" width="18" hidden="1" customWidth="1"/>
    <col min="21" max="21" width="15.5703125" hidden="1" customWidth="1"/>
    <col min="22" max="22" width="14.42578125" hidden="1" customWidth="1"/>
    <col min="23" max="23" width="22.42578125" customWidth="1"/>
    <col min="25" max="25" width="20" bestFit="1" customWidth="1"/>
    <col min="26" max="26" width="16.85546875" bestFit="1" customWidth="1"/>
    <col min="27" max="27" width="28.140625" bestFit="1" customWidth="1"/>
    <col min="28" max="28" width="26.28515625" bestFit="1" customWidth="1"/>
    <col min="29" max="29" width="21.85546875" bestFit="1" customWidth="1"/>
    <col min="30" max="30" width="22.5703125" bestFit="1" customWidth="1"/>
    <col min="31" max="31" width="26.28515625" bestFit="1" customWidth="1"/>
    <col min="32" max="32" width="21.85546875" bestFit="1" customWidth="1"/>
    <col min="33" max="33" width="16.28515625" bestFit="1" customWidth="1"/>
    <col min="34" max="34" width="26.28515625" bestFit="1" customWidth="1"/>
    <col min="35" max="35" width="21.85546875" bestFit="1" customWidth="1"/>
    <col min="36" max="36" width="16.28515625" bestFit="1" customWidth="1"/>
    <col min="40" max="40" width="14.140625" bestFit="1" customWidth="1"/>
    <col min="42" max="42" width="24.5703125" customWidth="1"/>
    <col min="57" max="57" width="18" bestFit="1" customWidth="1"/>
  </cols>
  <sheetData>
    <row r="1" spans="2:57" x14ac:dyDescent="0.25">
      <c r="B1" t="s">
        <v>53</v>
      </c>
      <c r="F1" s="31" t="str">
        <f>G1</f>
        <v>Roof/Cladding</v>
      </c>
      <c r="G1" s="11" t="s">
        <v>51</v>
      </c>
      <c r="H1" s="13"/>
      <c r="I1" s="12" t="s">
        <v>9</v>
      </c>
      <c r="J1" s="13" t="s">
        <v>7</v>
      </c>
      <c r="K1" s="27" t="s">
        <v>8</v>
      </c>
      <c r="L1" s="24" t="s">
        <v>8</v>
      </c>
      <c r="M1" s="12" t="s">
        <v>6</v>
      </c>
      <c r="N1" s="12" t="s">
        <v>6</v>
      </c>
      <c r="O1" s="14"/>
    </row>
    <row r="2" spans="2:57" x14ac:dyDescent="0.25">
      <c r="B2" t="s">
        <v>54</v>
      </c>
      <c r="F2" s="31" t="str">
        <f t="shared" ref="F2:F3" si="0">G2</f>
        <v>House weights for modelling 1-storey</v>
      </c>
      <c r="G2" s="1" t="str">
        <f>'Model Parameters to Vary'!B22</f>
        <v>House weights for modelling 1-storey</v>
      </c>
      <c r="H2" s="16"/>
      <c r="I2" s="15">
        <f>'Model Parameters to Vary'!C22</f>
        <v>4.12</v>
      </c>
      <c r="J2" s="20">
        <f>'Model Parameters to Vary'!D22</f>
        <v>8.59</v>
      </c>
      <c r="K2" s="28">
        <v>6.2</v>
      </c>
      <c r="L2" s="34">
        <f>'Model Parameters to Vary'!E22</f>
        <v>6.18</v>
      </c>
      <c r="M2" s="15">
        <f>'Model Parameters to Vary'!F22</f>
        <v>10.66</v>
      </c>
      <c r="N2" s="15">
        <v>10.7</v>
      </c>
      <c r="O2" s="3" t="str">
        <f>'Model Parameters to Vary'!G22</f>
        <v>kN/m</v>
      </c>
    </row>
    <row r="3" spans="2:57" ht="15.75" thickBot="1" x14ac:dyDescent="0.3">
      <c r="B3" t="s">
        <v>55</v>
      </c>
      <c r="F3" s="31" t="str">
        <f t="shared" si="0"/>
        <v>House weights for modelling 2-storey</v>
      </c>
      <c r="G3" s="4" t="str">
        <f>'Model Parameters to Vary'!B24</f>
        <v>House weights for modelling 2-storey</v>
      </c>
      <c r="H3" s="18"/>
      <c r="I3" s="17">
        <f>'Model Parameters to Vary'!C24</f>
        <v>6.8519672131147544</v>
      </c>
      <c r="J3" s="21">
        <f>'Model Parameters to Vary'!D24</f>
        <v>15.992459016393443</v>
      </c>
      <c r="K3" s="29">
        <v>8.9</v>
      </c>
      <c r="L3" s="35">
        <f>'Model Parameters to Vary'!E24</f>
        <v>8.9119672131147532</v>
      </c>
      <c r="M3" s="17">
        <f>'Model Parameters to Vary'!F24</f>
        <v>18.062459016393444</v>
      </c>
      <c r="N3" s="17">
        <v>18.100000000000001</v>
      </c>
      <c r="O3" s="6" t="str">
        <f>'Model Parameters to Vary'!G24</f>
        <v>kN/m</v>
      </c>
    </row>
    <row r="4" spans="2:57" x14ac:dyDescent="0.25">
      <c r="B4" s="11"/>
      <c r="C4" s="12" t="s">
        <v>56</v>
      </c>
      <c r="D4" s="12"/>
      <c r="E4" s="13"/>
      <c r="F4" s="30"/>
      <c r="G4" s="2"/>
      <c r="H4" s="16"/>
      <c r="I4" s="2"/>
      <c r="J4" s="16"/>
      <c r="K4" s="30"/>
      <c r="L4" s="36"/>
      <c r="Q4" s="11"/>
      <c r="R4" s="24" t="s">
        <v>57</v>
      </c>
      <c r="S4" s="24"/>
      <c r="T4" s="12"/>
      <c r="U4" s="14"/>
    </row>
    <row r="5" spans="2:57" ht="15.75" thickBot="1" x14ac:dyDescent="0.3">
      <c r="B5" s="1"/>
      <c r="C5" s="2"/>
      <c r="D5" s="2"/>
      <c r="E5" s="16"/>
      <c r="F5" s="30" t="s">
        <v>5</v>
      </c>
      <c r="G5" s="2" t="s">
        <v>5</v>
      </c>
      <c r="H5" s="16"/>
      <c r="I5" s="2"/>
      <c r="J5" s="16"/>
      <c r="K5" s="30"/>
      <c r="L5" s="36"/>
      <c r="Q5" s="1"/>
      <c r="R5" s="2"/>
      <c r="S5" s="16" t="s">
        <v>5</v>
      </c>
      <c r="T5" s="2"/>
      <c r="U5" s="3"/>
    </row>
    <row r="6" spans="2:57" x14ac:dyDescent="0.25">
      <c r="B6" s="1"/>
      <c r="C6" s="2"/>
      <c r="D6" s="2"/>
      <c r="E6" s="16" t="s">
        <v>58</v>
      </c>
      <c r="F6" s="30" t="s">
        <v>0</v>
      </c>
      <c r="G6" s="16" t="s">
        <v>0</v>
      </c>
      <c r="H6" s="16" t="s">
        <v>58</v>
      </c>
      <c r="I6" s="16" t="s">
        <v>1</v>
      </c>
      <c r="J6" s="16" t="s">
        <v>58</v>
      </c>
      <c r="K6" s="30" t="str">
        <f>L6</f>
        <v>1930-59</v>
      </c>
      <c r="L6" s="19" t="s">
        <v>2</v>
      </c>
      <c r="M6" t="str">
        <f>L6</f>
        <v>1930-59</v>
      </c>
      <c r="Q6" s="1"/>
      <c r="R6" s="2"/>
      <c r="S6" s="25" t="s">
        <v>0</v>
      </c>
      <c r="T6" s="25" t="s">
        <v>1</v>
      </c>
      <c r="U6" s="26" t="s">
        <v>2</v>
      </c>
      <c r="Y6" s="11"/>
      <c r="Z6" s="12" t="s">
        <v>45</v>
      </c>
      <c r="AA6" s="14" t="s">
        <v>46</v>
      </c>
    </row>
    <row r="7" spans="2:57" x14ac:dyDescent="0.25">
      <c r="B7" s="56" t="s">
        <v>43</v>
      </c>
      <c r="C7" s="2" t="s">
        <v>6</v>
      </c>
      <c r="D7" s="15">
        <f>M2</f>
        <v>10.66</v>
      </c>
      <c r="E7" s="16"/>
      <c r="F7" s="30">
        <v>4.4677509999999998E-4</v>
      </c>
      <c r="G7" s="2">
        <v>1.6337012000000001E-2</v>
      </c>
      <c r="H7" s="16"/>
      <c r="I7" s="2">
        <v>2.4088999999999998E-3</v>
      </c>
      <c r="J7" s="16"/>
      <c r="K7" s="30">
        <f t="shared" ref="K7:K49" si="1">L7</f>
        <v>2.4001286999999899E-3</v>
      </c>
      <c r="L7" s="36">
        <v>2.4001286999999899E-3</v>
      </c>
      <c r="M7">
        <f t="shared" ref="M7:M49" si="2">L7</f>
        <v>2.4001286999999899E-3</v>
      </c>
      <c r="Q7" s="56" t="s">
        <v>43</v>
      </c>
      <c r="R7" s="2" t="s">
        <v>6</v>
      </c>
      <c r="S7" s="15">
        <f>F7*1000</f>
        <v>0.44677509999999998</v>
      </c>
      <c r="T7" s="15">
        <f>I7*1000</f>
        <v>2.4089</v>
      </c>
      <c r="U7" s="22">
        <f>L7*1000</f>
        <v>2.40012869999999</v>
      </c>
      <c r="V7" s="7"/>
      <c r="W7" s="7"/>
      <c r="Y7" s="1" t="str">
        <f>R7</f>
        <v>H/H</v>
      </c>
      <c r="Z7" s="2">
        <v>10.7</v>
      </c>
      <c r="AA7" s="3">
        <v>18.100000000000001</v>
      </c>
    </row>
    <row r="8" spans="2:57" x14ac:dyDescent="0.25">
      <c r="B8" s="56"/>
      <c r="C8" s="2" t="s">
        <v>7</v>
      </c>
      <c r="D8" s="15">
        <f>J2</f>
        <v>8.59</v>
      </c>
      <c r="E8" s="16"/>
      <c r="F8" s="30">
        <v>3.5609889999999999E-4</v>
      </c>
      <c r="G8" s="2">
        <v>1.3131449999999999E-2</v>
      </c>
      <c r="H8" s="16"/>
      <c r="I8" s="2">
        <v>9.317727E-4</v>
      </c>
      <c r="J8" s="16"/>
      <c r="K8" s="30">
        <f t="shared" si="1"/>
        <v>1.6488117E-3</v>
      </c>
      <c r="L8" s="36">
        <v>1.6488117E-3</v>
      </c>
      <c r="M8">
        <f t="shared" si="2"/>
        <v>1.6488117E-3</v>
      </c>
      <c r="Q8" s="56"/>
      <c r="R8" s="2" t="s">
        <v>7</v>
      </c>
      <c r="S8" s="15">
        <f t="shared" ref="S8:S10" si="3">F8*1000</f>
        <v>0.3560989</v>
      </c>
      <c r="T8" s="15">
        <f>I8*1000</f>
        <v>0.93177270000000001</v>
      </c>
      <c r="U8" s="22">
        <f>L8*1000</f>
        <v>1.6488117</v>
      </c>
      <c r="V8" s="7"/>
      <c r="W8" s="7"/>
      <c r="Y8" s="1" t="str">
        <f>R8</f>
        <v>L/H</v>
      </c>
      <c r="Z8" s="2">
        <v>8.6</v>
      </c>
      <c r="AA8" s="3">
        <v>16</v>
      </c>
      <c r="BE8" s="33"/>
    </row>
    <row r="9" spans="2:57" x14ac:dyDescent="0.25">
      <c r="B9" s="56"/>
      <c r="C9" s="2" t="s">
        <v>8</v>
      </c>
      <c r="D9" s="15">
        <f>L2</f>
        <v>6.18</v>
      </c>
      <c r="E9" s="16"/>
      <c r="F9" s="30">
        <v>2.5279107999000002E-4</v>
      </c>
      <c r="G9" s="2">
        <v>9.4680460000000008E-3</v>
      </c>
      <c r="H9" s="16"/>
      <c r="I9" s="2">
        <v>6.6354630989999997E-4</v>
      </c>
      <c r="J9" s="16"/>
      <c r="K9" s="30">
        <f t="shared" si="1"/>
        <v>6.1656969999990003E-4</v>
      </c>
      <c r="L9" s="36">
        <v>6.1656969999990003E-4</v>
      </c>
      <c r="M9">
        <f t="shared" si="2"/>
        <v>6.1656969999990003E-4</v>
      </c>
      <c r="Q9" s="56"/>
      <c r="R9" s="2" t="s">
        <v>8</v>
      </c>
      <c r="S9" s="15">
        <f t="shared" si="3"/>
        <v>0.25279107999</v>
      </c>
      <c r="T9" s="15">
        <f>I9*1000</f>
        <v>0.66354630989999996</v>
      </c>
      <c r="U9" s="22">
        <f>L9*1000</f>
        <v>0.61656969999990008</v>
      </c>
      <c r="V9" s="7"/>
      <c r="W9" s="7"/>
      <c r="Y9" s="1" t="str">
        <f>R9</f>
        <v>H/L</v>
      </c>
      <c r="Z9" s="2">
        <v>6.2</v>
      </c>
      <c r="AA9" s="3">
        <v>8.9</v>
      </c>
    </row>
    <row r="10" spans="2:57" x14ac:dyDescent="0.25">
      <c r="B10" s="56"/>
      <c r="C10" s="2" t="s">
        <v>9</v>
      </c>
      <c r="D10" s="15">
        <f>I2</f>
        <v>4.12</v>
      </c>
      <c r="E10" s="16"/>
      <c r="F10" s="30">
        <v>1.6266478E-4</v>
      </c>
      <c r="G10" s="2">
        <v>6.2626000000000001E-3</v>
      </c>
      <c r="H10" s="16"/>
      <c r="I10" s="2">
        <v>4.3004780999900003E-4</v>
      </c>
      <c r="J10" s="16"/>
      <c r="K10" s="30">
        <f t="shared" si="1"/>
        <v>4.0088629999999998E-4</v>
      </c>
      <c r="L10" s="36">
        <v>4.0088629999999998E-4</v>
      </c>
      <c r="M10">
        <f t="shared" si="2"/>
        <v>4.0088629999999998E-4</v>
      </c>
      <c r="Q10" s="56"/>
      <c r="R10" s="2" t="s">
        <v>9</v>
      </c>
      <c r="S10" s="15">
        <f t="shared" si="3"/>
        <v>0.16266478000000001</v>
      </c>
      <c r="T10" s="15">
        <f>I10*1000</f>
        <v>0.43004780999900005</v>
      </c>
      <c r="U10" s="22">
        <f>L10*1000</f>
        <v>0.40088629999999997</v>
      </c>
      <c r="V10" s="7"/>
      <c r="W10" s="7"/>
      <c r="Y10" s="1" t="str">
        <f>R10</f>
        <v>L/L</v>
      </c>
      <c r="Z10" s="2">
        <v>4.0999999999999996</v>
      </c>
      <c r="AA10" s="3">
        <v>6.9</v>
      </c>
    </row>
    <row r="11" spans="2:57" x14ac:dyDescent="0.25">
      <c r="B11" s="56"/>
      <c r="C11" s="2"/>
      <c r="D11" s="2">
        <f>C11</f>
        <v>0</v>
      </c>
      <c r="E11" s="16"/>
      <c r="F11" s="30" t="s">
        <v>87</v>
      </c>
      <c r="G11" s="2" t="s">
        <v>10</v>
      </c>
      <c r="H11" s="16"/>
      <c r="I11" s="2" t="s">
        <v>90</v>
      </c>
      <c r="J11" s="16"/>
      <c r="K11" s="30">
        <f t="shared" si="1"/>
        <v>0</v>
      </c>
      <c r="L11" s="36"/>
      <c r="M11">
        <f t="shared" si="2"/>
        <v>0</v>
      </c>
      <c r="Q11" s="56"/>
      <c r="R11" s="2"/>
      <c r="S11" s="61" t="s">
        <v>10</v>
      </c>
      <c r="T11" s="2"/>
      <c r="U11" s="3"/>
      <c r="Y11" s="1"/>
      <c r="Z11" s="2"/>
      <c r="AA11" s="3"/>
    </row>
    <row r="12" spans="2:57" x14ac:dyDescent="0.25">
      <c r="B12" s="56"/>
      <c r="C12" s="2" t="s">
        <v>6</v>
      </c>
      <c r="D12" s="15">
        <f>D7</f>
        <v>10.66</v>
      </c>
      <c r="E12" s="16" t="s">
        <v>108</v>
      </c>
      <c r="F12" s="30">
        <v>39436.024400000002</v>
      </c>
      <c r="G12" s="2">
        <v>21872.921405249999</v>
      </c>
      <c r="H12" s="16" t="s">
        <v>109</v>
      </c>
      <c r="I12" s="2">
        <v>19117.943200000002</v>
      </c>
      <c r="J12" s="16" t="s">
        <v>59</v>
      </c>
      <c r="K12" s="30">
        <f t="shared" si="1"/>
        <v>25098.056799999998</v>
      </c>
      <c r="L12" s="36">
        <v>25098.056799999998</v>
      </c>
      <c r="M12">
        <f t="shared" si="2"/>
        <v>25098.056799999998</v>
      </c>
      <c r="Q12" s="56"/>
      <c r="R12" s="2" t="s">
        <v>6</v>
      </c>
      <c r="S12" s="15">
        <f>F12/1000</f>
        <v>39.436024400000001</v>
      </c>
      <c r="T12" s="15">
        <f>I12/1000</f>
        <v>19.117943200000003</v>
      </c>
      <c r="U12" s="22">
        <f>L12/1000</f>
        <v>25.098056799999998</v>
      </c>
      <c r="V12" s="7"/>
      <c r="W12" s="7"/>
      <c r="Y12" s="1" t="s">
        <v>64</v>
      </c>
      <c r="Z12" s="2" t="s">
        <v>65</v>
      </c>
      <c r="AA12" s="3" t="s">
        <v>2</v>
      </c>
    </row>
    <row r="13" spans="2:57" x14ac:dyDescent="0.25">
      <c r="B13" s="56"/>
      <c r="C13" s="2" t="s">
        <v>7</v>
      </c>
      <c r="D13" s="15">
        <f t="shared" ref="D13:D20" si="4">D8</f>
        <v>8.59</v>
      </c>
      <c r="E13" s="16" t="s">
        <v>108</v>
      </c>
      <c r="F13" s="30">
        <v>31719.164700000001</v>
      </c>
      <c r="G13" s="2">
        <v>17581.741232</v>
      </c>
      <c r="H13" s="16" t="s">
        <v>108</v>
      </c>
      <c r="I13" s="2">
        <v>22067.353169999998</v>
      </c>
      <c r="J13" s="16" t="s">
        <v>3</v>
      </c>
      <c r="K13" s="30">
        <f t="shared" si="1"/>
        <v>23002.340355</v>
      </c>
      <c r="L13" s="36">
        <v>23002.340355</v>
      </c>
      <c r="M13">
        <f t="shared" si="2"/>
        <v>23002.340355</v>
      </c>
      <c r="Q13" s="56"/>
      <c r="R13" s="2" t="s">
        <v>7</v>
      </c>
      <c r="S13" s="15">
        <f t="shared" ref="S13:S15" si="5">F13/1000</f>
        <v>31.7191647</v>
      </c>
      <c r="T13" s="15">
        <f>I13/1000</f>
        <v>22.067353169999997</v>
      </c>
      <c r="U13" s="22">
        <f>L13/1000</f>
        <v>23.002340355000001</v>
      </c>
      <c r="V13" s="7" t="s">
        <v>62</v>
      </c>
      <c r="W13" s="7"/>
      <c r="Y13" s="1">
        <v>78.900000000000006</v>
      </c>
      <c r="Z13" s="2">
        <v>32</v>
      </c>
      <c r="AA13" s="3">
        <v>29.7</v>
      </c>
    </row>
    <row r="14" spans="2:57" x14ac:dyDescent="0.25">
      <c r="B14" s="56"/>
      <c r="C14" s="2" t="s">
        <v>8</v>
      </c>
      <c r="D14" s="15">
        <f t="shared" si="4"/>
        <v>6.18</v>
      </c>
      <c r="E14" s="16" t="s">
        <v>108</v>
      </c>
      <c r="F14" s="30">
        <v>22888.856299999999</v>
      </c>
      <c r="G14" s="2">
        <v>12677.456249999999</v>
      </c>
      <c r="H14" s="16" t="s">
        <v>108</v>
      </c>
      <c r="I14" s="2">
        <v>15930.6636</v>
      </c>
      <c r="J14" s="16" t="s">
        <v>52</v>
      </c>
      <c r="K14" s="30">
        <f t="shared" si="1"/>
        <v>21169.832450229998</v>
      </c>
      <c r="L14" s="36">
        <v>21169.832450229998</v>
      </c>
      <c r="M14">
        <f t="shared" si="2"/>
        <v>21169.832450229998</v>
      </c>
      <c r="Q14" s="56"/>
      <c r="R14" s="2" t="s">
        <v>8</v>
      </c>
      <c r="S14" s="15">
        <f t="shared" si="5"/>
        <v>22.8888563</v>
      </c>
      <c r="T14" s="15">
        <f>I14/1000</f>
        <v>15.930663599999999</v>
      </c>
      <c r="U14" s="22">
        <f>L14/1000</f>
        <v>21.169832450229997</v>
      </c>
      <c r="Y14" s="1">
        <v>78.900000000000006</v>
      </c>
      <c r="Z14" s="2">
        <v>32</v>
      </c>
      <c r="AA14" s="3">
        <v>29.7</v>
      </c>
    </row>
    <row r="15" spans="2:57" x14ac:dyDescent="0.25">
      <c r="B15" s="56"/>
      <c r="C15" s="2" t="s">
        <v>9</v>
      </c>
      <c r="D15" s="15">
        <f t="shared" si="4"/>
        <v>4.12</v>
      </c>
      <c r="E15" s="16" t="s">
        <v>108</v>
      </c>
      <c r="F15" s="30">
        <v>15153.1278</v>
      </c>
      <c r="G15" s="2">
        <v>8386.1377553000002</v>
      </c>
      <c r="H15" s="16" t="s">
        <v>108</v>
      </c>
      <c r="I15" s="2">
        <v>10550.14722556</v>
      </c>
      <c r="J15" s="16" t="s">
        <v>52</v>
      </c>
      <c r="K15" s="30">
        <f t="shared" si="1"/>
        <v>14032.694</v>
      </c>
      <c r="L15" s="36">
        <v>14032.694</v>
      </c>
      <c r="M15">
        <f t="shared" si="2"/>
        <v>14032.694</v>
      </c>
      <c r="Q15" s="56"/>
      <c r="R15" s="2" t="s">
        <v>9</v>
      </c>
      <c r="S15" s="15">
        <f t="shared" si="5"/>
        <v>15.1531278</v>
      </c>
      <c r="T15" s="15">
        <f>I15/1000</f>
        <v>10.55014722556</v>
      </c>
      <c r="U15" s="22">
        <f>L15/1000</f>
        <v>14.032693999999999</v>
      </c>
      <c r="V15" s="7" t="s">
        <v>63</v>
      </c>
      <c r="W15" s="7"/>
      <c r="Y15" s="1">
        <v>93.99</v>
      </c>
      <c r="Z15" s="2">
        <v>32</v>
      </c>
      <c r="AA15" s="3">
        <v>32</v>
      </c>
    </row>
    <row r="16" spans="2:57" x14ac:dyDescent="0.25">
      <c r="B16" s="56"/>
      <c r="C16" s="2"/>
      <c r="D16" s="15">
        <f t="shared" si="4"/>
        <v>0</v>
      </c>
      <c r="E16" s="16"/>
      <c r="F16" s="30" t="s">
        <v>89</v>
      </c>
      <c r="G16" s="2" t="s">
        <v>11</v>
      </c>
      <c r="H16" s="16"/>
      <c r="I16" s="2" t="s">
        <v>91</v>
      </c>
      <c r="J16" s="16"/>
      <c r="K16" s="30">
        <f t="shared" si="1"/>
        <v>0</v>
      </c>
      <c r="L16" s="36"/>
      <c r="M16">
        <f t="shared" si="2"/>
        <v>0</v>
      </c>
      <c r="Q16" s="56"/>
      <c r="R16" s="2"/>
      <c r="S16" s="61" t="s">
        <v>11</v>
      </c>
      <c r="T16" s="2"/>
      <c r="U16" s="3"/>
      <c r="Y16" s="1">
        <v>93.99</v>
      </c>
      <c r="Z16" s="2">
        <v>32</v>
      </c>
      <c r="AA16" s="3">
        <v>32</v>
      </c>
      <c r="AB16" t="s">
        <v>61</v>
      </c>
    </row>
    <row r="17" spans="2:36" x14ac:dyDescent="0.25">
      <c r="B17" s="56"/>
      <c r="C17" s="2" t="s">
        <v>6</v>
      </c>
      <c r="D17" s="15">
        <f t="shared" si="4"/>
        <v>10.66</v>
      </c>
      <c r="E17" s="16"/>
      <c r="F17" s="30">
        <v>21949.906200000001</v>
      </c>
      <c r="G17" s="2">
        <v>21941.632578000001</v>
      </c>
      <c r="H17" s="16"/>
      <c r="I17" s="2">
        <v>21949.542970298298</v>
      </c>
      <c r="J17" s="16"/>
      <c r="K17" s="30">
        <f t="shared" si="1"/>
        <v>21942.035</v>
      </c>
      <c r="L17" s="36">
        <v>21942.035</v>
      </c>
      <c r="M17">
        <f t="shared" si="2"/>
        <v>21942.035</v>
      </c>
      <c r="Q17" s="56"/>
      <c r="R17" s="2" t="s">
        <v>6</v>
      </c>
      <c r="S17" s="15">
        <f>F17/1000</f>
        <v>21.949906200000001</v>
      </c>
      <c r="T17" s="15">
        <f>I17/1000</f>
        <v>21.9495429702983</v>
      </c>
      <c r="U17" s="22">
        <f>L17/1000</f>
        <v>21.942035000000001</v>
      </c>
      <c r="V17" s="7" t="s">
        <v>66</v>
      </c>
      <c r="W17" s="7"/>
      <c r="Y17" s="1">
        <v>146</v>
      </c>
      <c r="Z17" s="2">
        <v>65.3</v>
      </c>
      <c r="AA17" s="3">
        <v>54</v>
      </c>
    </row>
    <row r="18" spans="2:36" x14ac:dyDescent="0.25">
      <c r="B18" s="56"/>
      <c r="C18" s="2" t="s">
        <v>7</v>
      </c>
      <c r="D18" s="15">
        <f t="shared" si="4"/>
        <v>8.59</v>
      </c>
      <c r="E18" s="16"/>
      <c r="F18" s="30">
        <v>17644.99829</v>
      </c>
      <c r="G18" s="2">
        <v>17636.839499999998</v>
      </c>
      <c r="H18" s="16"/>
      <c r="I18" s="2">
        <v>17644.841090000002</v>
      </c>
      <c r="J18" s="16"/>
      <c r="K18" s="30">
        <f t="shared" si="1"/>
        <v>17637.193380000001</v>
      </c>
      <c r="L18" s="36">
        <v>17637.193380000001</v>
      </c>
      <c r="M18">
        <f t="shared" si="2"/>
        <v>17637.193380000001</v>
      </c>
      <c r="Q18" s="56"/>
      <c r="R18" s="2" t="s">
        <v>7</v>
      </c>
      <c r="S18" s="15">
        <f t="shared" ref="S18:S20" si="6">F18/1000</f>
        <v>17.64499829</v>
      </c>
      <c r="T18" s="15">
        <f>I18/1000</f>
        <v>17.644841090000003</v>
      </c>
      <c r="U18" s="22">
        <f>L18/1000</f>
        <v>17.637193379999999</v>
      </c>
      <c r="Y18" s="1">
        <v>146</v>
      </c>
      <c r="Z18" s="2">
        <v>65.3</v>
      </c>
      <c r="AA18" s="3">
        <v>54</v>
      </c>
    </row>
    <row r="19" spans="2:36" x14ac:dyDescent="0.25">
      <c r="B19" s="56"/>
      <c r="C19" s="2" t="s">
        <v>8</v>
      </c>
      <c r="D19" s="15">
        <f t="shared" si="4"/>
        <v>6.18</v>
      </c>
      <c r="E19" s="16"/>
      <c r="F19" s="30">
        <v>12725.103437</v>
      </c>
      <c r="G19" s="2">
        <v>12717.075999999999</v>
      </c>
      <c r="H19" s="16"/>
      <c r="I19" s="2">
        <v>12724.990315499999</v>
      </c>
      <c r="J19" s="16"/>
      <c r="K19" s="30">
        <f t="shared" si="1"/>
        <v>12717.380848999999</v>
      </c>
      <c r="L19" s="36">
        <v>12717.380848999999</v>
      </c>
      <c r="M19">
        <f t="shared" si="2"/>
        <v>12717.380848999999</v>
      </c>
      <c r="Q19" s="56"/>
      <c r="R19" s="2" t="s">
        <v>8</v>
      </c>
      <c r="S19" s="15">
        <f t="shared" si="6"/>
        <v>12.725103437</v>
      </c>
      <c r="T19" s="15">
        <f>I19/1000</f>
        <v>12.724990315499999</v>
      </c>
      <c r="U19" s="22">
        <f>L19/1000</f>
        <v>12.717380849</v>
      </c>
      <c r="Y19" s="1"/>
      <c r="Z19" s="2"/>
      <c r="AA19" s="3"/>
    </row>
    <row r="20" spans="2:36" ht="15.75" thickBot="1" x14ac:dyDescent="0.3">
      <c r="B20" s="57"/>
      <c r="C20" s="5" t="s">
        <v>9</v>
      </c>
      <c r="D20" s="17">
        <f t="shared" si="4"/>
        <v>4.12</v>
      </c>
      <c r="E20" s="18"/>
      <c r="F20" s="32">
        <v>8420.1953556999997</v>
      </c>
      <c r="G20" s="5">
        <v>8412.2829999999994</v>
      </c>
      <c r="H20" s="18"/>
      <c r="I20" s="5">
        <v>8420.1206349599997</v>
      </c>
      <c r="J20" s="18"/>
      <c r="K20" s="30">
        <f t="shared" si="1"/>
        <v>8412.4849279999999</v>
      </c>
      <c r="L20" s="36">
        <v>8412.4849279999999</v>
      </c>
      <c r="M20">
        <f t="shared" si="2"/>
        <v>8412.4849279999999</v>
      </c>
      <c r="Q20" s="57"/>
      <c r="R20" s="5" t="s">
        <v>9</v>
      </c>
      <c r="S20" s="17">
        <f t="shared" si="6"/>
        <v>8.4201953556999989</v>
      </c>
      <c r="T20" s="17">
        <f>I20/1000</f>
        <v>8.42012063496</v>
      </c>
      <c r="U20" s="23">
        <f>L20/1000</f>
        <v>8.4124849279999996</v>
      </c>
      <c r="V20" s="7"/>
      <c r="W20" s="7"/>
      <c r="Y20" s="1"/>
      <c r="Z20" s="2"/>
      <c r="AA20" s="3"/>
    </row>
    <row r="21" spans="2:36" ht="15.75" thickBot="1" x14ac:dyDescent="0.3">
      <c r="K21" s="30">
        <f t="shared" si="1"/>
        <v>0</v>
      </c>
      <c r="L21" s="36"/>
      <c r="M21">
        <f t="shared" si="2"/>
        <v>0</v>
      </c>
      <c r="Y21" s="77" t="s">
        <v>67</v>
      </c>
      <c r="Z21" s="2">
        <v>0</v>
      </c>
      <c r="AA21" s="3"/>
    </row>
    <row r="22" spans="2:36" ht="15.75" thickBot="1" x14ac:dyDescent="0.3">
      <c r="B22" s="11"/>
      <c r="C22" s="12" t="str">
        <f>C4</f>
        <v>4m internal loss of support - raw data</v>
      </c>
      <c r="D22" s="12"/>
      <c r="E22" s="13"/>
      <c r="F22" s="27"/>
      <c r="G22" s="12"/>
      <c r="H22" s="13"/>
      <c r="I22" s="12"/>
      <c r="J22" s="13"/>
      <c r="K22" s="30">
        <f t="shared" si="1"/>
        <v>0</v>
      </c>
      <c r="L22" s="36"/>
      <c r="M22">
        <f t="shared" si="2"/>
        <v>0</v>
      </c>
      <c r="Q22" s="11"/>
      <c r="R22" s="12" t="s">
        <v>12</v>
      </c>
      <c r="S22" s="12"/>
      <c r="T22" s="12"/>
      <c r="U22" s="14"/>
      <c r="Y22" s="78"/>
      <c r="Z22" s="5">
        <v>20</v>
      </c>
      <c r="AA22" s="6"/>
    </row>
    <row r="23" spans="2:36" x14ac:dyDescent="0.25">
      <c r="B23" s="1"/>
      <c r="C23" s="2"/>
      <c r="D23" s="2"/>
      <c r="E23" s="16"/>
      <c r="F23" s="30" t="s">
        <v>104</v>
      </c>
      <c r="G23" s="2" t="s">
        <v>5</v>
      </c>
      <c r="H23" s="16"/>
      <c r="I23" s="2"/>
      <c r="J23" s="16"/>
      <c r="K23" s="30">
        <f t="shared" si="1"/>
        <v>0</v>
      </c>
      <c r="L23" s="36"/>
      <c r="M23">
        <f t="shared" si="2"/>
        <v>0</v>
      </c>
      <c r="Q23" s="1"/>
      <c r="R23" s="2"/>
      <c r="S23" s="61" t="s">
        <v>5</v>
      </c>
      <c r="T23" s="2"/>
      <c r="U23" s="3"/>
    </row>
    <row r="24" spans="2:36" x14ac:dyDescent="0.25">
      <c r="B24" s="1"/>
      <c r="C24" s="2"/>
      <c r="D24" s="2"/>
      <c r="E24" s="16"/>
      <c r="F24" s="30" t="str">
        <f>F6</f>
        <v>TC2 Option 3</v>
      </c>
      <c r="G24" s="2" t="s">
        <v>0</v>
      </c>
      <c r="H24" s="16"/>
      <c r="I24" s="2" t="s">
        <v>1</v>
      </c>
      <c r="J24" s="16"/>
      <c r="K24" s="30" t="str">
        <f t="shared" si="1"/>
        <v>1930-59</v>
      </c>
      <c r="L24" s="36" t="s">
        <v>2</v>
      </c>
      <c r="M24" t="str">
        <f t="shared" si="2"/>
        <v>1930-59</v>
      </c>
      <c r="Q24" s="1"/>
      <c r="R24" s="2"/>
      <c r="S24" s="25" t="s">
        <v>0</v>
      </c>
      <c r="T24" s="25" t="s">
        <v>1</v>
      </c>
      <c r="U24" s="26" t="s">
        <v>2</v>
      </c>
    </row>
    <row r="25" spans="2:36" ht="15.75" thickBot="1" x14ac:dyDescent="0.3">
      <c r="B25" s="56" t="s">
        <v>44</v>
      </c>
      <c r="C25" s="2" t="s">
        <v>6</v>
      </c>
      <c r="D25" s="15">
        <f>M3</f>
        <v>18.062459016393444</v>
      </c>
      <c r="E25" s="16" t="s">
        <v>109</v>
      </c>
      <c r="F25" s="30">
        <v>1.8959339999999999E-3</v>
      </c>
      <c r="G25" s="2">
        <v>2.9882667849999999E-2</v>
      </c>
      <c r="H25" s="16"/>
      <c r="I25" s="2">
        <v>7.7408239999899996E-3</v>
      </c>
      <c r="J25" s="16"/>
      <c r="K25" s="30">
        <f t="shared" si="1"/>
        <v>6.7901827990000004E-3</v>
      </c>
      <c r="L25" s="36">
        <v>6.7901827990000004E-3</v>
      </c>
      <c r="M25">
        <f t="shared" si="2"/>
        <v>6.7901827990000004E-3</v>
      </c>
      <c r="Q25" s="56" t="s">
        <v>44</v>
      </c>
      <c r="R25" s="2" t="s">
        <v>6</v>
      </c>
      <c r="S25" s="15">
        <f>F25*1000</f>
        <v>1.895934</v>
      </c>
      <c r="T25" s="15">
        <f>I25*1000</f>
        <v>7.7408239999899999</v>
      </c>
      <c r="U25" s="22">
        <f>L25*1000</f>
        <v>6.7901827990000001</v>
      </c>
      <c r="V25" s="7"/>
      <c r="W25" s="7"/>
    </row>
    <row r="26" spans="2:36" x14ac:dyDescent="0.25">
      <c r="B26" s="56"/>
      <c r="C26" s="2" t="s">
        <v>7</v>
      </c>
      <c r="D26" s="15">
        <f>J3</f>
        <v>15.992459016393443</v>
      </c>
      <c r="E26" s="16" t="s">
        <v>108</v>
      </c>
      <c r="F26" s="30">
        <v>6.7686180000000001E-4</v>
      </c>
      <c r="G26" s="2">
        <v>2.4427500000000001E-2</v>
      </c>
      <c r="H26" s="16"/>
      <c r="I26" s="2">
        <v>5.3191130000000003E-3</v>
      </c>
      <c r="J26" s="16"/>
      <c r="K26" s="30">
        <f t="shared" si="1"/>
        <v>4.5636160000000004E-3</v>
      </c>
      <c r="L26" s="36">
        <v>4.5636160000000004E-3</v>
      </c>
      <c r="M26">
        <f t="shared" si="2"/>
        <v>4.5636160000000004E-3</v>
      </c>
      <c r="Q26" s="56"/>
      <c r="R26" s="2" t="s">
        <v>7</v>
      </c>
      <c r="S26" s="15">
        <f t="shared" ref="S26:S28" si="7">F26*1000</f>
        <v>0.67686179999999996</v>
      </c>
      <c r="T26" s="15">
        <f>I26*1000</f>
        <v>5.3191130000000006</v>
      </c>
      <c r="U26" s="22">
        <f>L26*1000</f>
        <v>4.5636160000000006</v>
      </c>
      <c r="V26" s="7"/>
      <c r="W26" s="7"/>
      <c r="Y26" s="39"/>
      <c r="Z26" s="41"/>
      <c r="AA26" s="45" t="s">
        <v>111</v>
      </c>
      <c r="AB26" s="58" t="s">
        <v>80</v>
      </c>
      <c r="AC26" s="59"/>
      <c r="AD26" s="60"/>
      <c r="AE26" s="58" t="s">
        <v>81</v>
      </c>
      <c r="AF26" s="59"/>
      <c r="AG26" s="60"/>
      <c r="AH26" s="58" t="s">
        <v>2</v>
      </c>
      <c r="AI26" s="59"/>
      <c r="AJ26" s="60"/>
    </row>
    <row r="27" spans="2:36" x14ac:dyDescent="0.25">
      <c r="B27" s="56"/>
      <c r="C27" s="2" t="s">
        <v>8</v>
      </c>
      <c r="D27" s="15">
        <f>L3</f>
        <v>8.9119672131147532</v>
      </c>
      <c r="E27" s="16" t="s">
        <v>108</v>
      </c>
      <c r="F27" s="30">
        <v>3.6903619998999998E-4</v>
      </c>
      <c r="G27" s="2">
        <v>1.358938E-2</v>
      </c>
      <c r="H27" s="16"/>
      <c r="I27" s="2">
        <v>9.6540869999990001E-4</v>
      </c>
      <c r="J27" s="16"/>
      <c r="K27" s="30">
        <f t="shared" si="1"/>
        <v>1.8656377999990001E-3</v>
      </c>
      <c r="L27" s="36">
        <v>1.8656377999990001E-3</v>
      </c>
      <c r="M27">
        <f t="shared" si="2"/>
        <v>1.8656377999990001E-3</v>
      </c>
      <c r="Q27" s="56"/>
      <c r="R27" s="2" t="s">
        <v>8</v>
      </c>
      <c r="S27" s="15">
        <f t="shared" si="7"/>
        <v>0.36903619998999998</v>
      </c>
      <c r="T27" s="15">
        <f>I27*1000</f>
        <v>0.96540869999989998</v>
      </c>
      <c r="U27" s="22">
        <f>L27*1000</f>
        <v>1.8656377999990001</v>
      </c>
      <c r="V27" s="7"/>
      <c r="W27" s="7"/>
      <c r="Y27" s="40"/>
      <c r="Z27" s="70" t="s">
        <v>116</v>
      </c>
      <c r="AA27" s="70" t="s">
        <v>115</v>
      </c>
      <c r="AB27" s="70" t="s">
        <v>112</v>
      </c>
      <c r="AC27" s="70" t="s">
        <v>113</v>
      </c>
      <c r="AD27" s="71" t="s">
        <v>114</v>
      </c>
      <c r="AE27" s="70" t="s">
        <v>112</v>
      </c>
      <c r="AF27" s="70" t="s">
        <v>113</v>
      </c>
      <c r="AG27" s="71" t="s">
        <v>114</v>
      </c>
      <c r="AH27" s="70" t="s">
        <v>112</v>
      </c>
      <c r="AI27" s="70" t="s">
        <v>113</v>
      </c>
      <c r="AJ27" s="71" t="s">
        <v>114</v>
      </c>
    </row>
    <row r="28" spans="2:36" x14ac:dyDescent="0.25">
      <c r="B28" s="56"/>
      <c r="C28" s="2" t="s">
        <v>9</v>
      </c>
      <c r="D28" s="15">
        <f>I3</f>
        <v>6.8519672131147544</v>
      </c>
      <c r="E28" s="16" t="s">
        <v>108</v>
      </c>
      <c r="F28" s="30">
        <v>2.8288784000000001E-4</v>
      </c>
      <c r="G28" s="2">
        <v>1.05365285E-2</v>
      </c>
      <c r="H28" s="16"/>
      <c r="I28" s="2">
        <v>7.4162363000000004E-4</v>
      </c>
      <c r="J28" s="16"/>
      <c r="K28" s="30">
        <f t="shared" si="1"/>
        <v>6.88976E-4</v>
      </c>
      <c r="L28" s="36">
        <v>6.88976E-4</v>
      </c>
      <c r="M28">
        <f t="shared" si="2"/>
        <v>6.88976E-4</v>
      </c>
      <c r="Q28" s="56"/>
      <c r="R28" s="2" t="s">
        <v>9</v>
      </c>
      <c r="S28" s="15">
        <f t="shared" si="7"/>
        <v>0.28288784</v>
      </c>
      <c r="T28" s="15">
        <f>I28*1000</f>
        <v>0.74162363000000009</v>
      </c>
      <c r="U28" s="22">
        <f>L28*1000</f>
        <v>0.68897600000000003</v>
      </c>
      <c r="V28" s="7"/>
      <c r="W28" s="7"/>
      <c r="Y28" s="66" t="s">
        <v>68</v>
      </c>
      <c r="Z28" s="42" t="str">
        <f>Y7</f>
        <v>H/H</v>
      </c>
      <c r="AA28" s="42">
        <f>Z7</f>
        <v>10.7</v>
      </c>
      <c r="AB28" s="46">
        <f>S7</f>
        <v>0.44677509999999998</v>
      </c>
      <c r="AC28" s="46">
        <f>S12</f>
        <v>39.436024400000001</v>
      </c>
      <c r="AD28" s="22">
        <f>S17</f>
        <v>21.949906200000001</v>
      </c>
      <c r="AE28" s="46">
        <f>T7</f>
        <v>2.4089</v>
      </c>
      <c r="AF28" s="46">
        <f>T12</f>
        <v>19.117943200000003</v>
      </c>
      <c r="AG28" s="22">
        <f>T17</f>
        <v>21.9495429702983</v>
      </c>
      <c r="AH28" s="46">
        <f>U7</f>
        <v>2.40012869999999</v>
      </c>
      <c r="AI28" s="46">
        <f>U12</f>
        <v>25.098056799999998</v>
      </c>
      <c r="AJ28" s="22">
        <f>U17</f>
        <v>21.942035000000001</v>
      </c>
    </row>
    <row r="29" spans="2:36" x14ac:dyDescent="0.25">
      <c r="B29" s="56"/>
      <c r="C29" s="2"/>
      <c r="D29" s="15"/>
      <c r="E29" s="16"/>
      <c r="F29" s="30" t="s">
        <v>87</v>
      </c>
      <c r="G29" s="2" t="s">
        <v>10</v>
      </c>
      <c r="H29" s="16"/>
      <c r="I29" s="2" t="s">
        <v>90</v>
      </c>
      <c r="J29" s="16"/>
      <c r="K29" s="30">
        <f t="shared" si="1"/>
        <v>0</v>
      </c>
      <c r="L29" s="36"/>
      <c r="M29">
        <f t="shared" si="2"/>
        <v>0</v>
      </c>
      <c r="Q29" s="56"/>
      <c r="R29" s="2"/>
      <c r="S29" s="61" t="s">
        <v>10</v>
      </c>
      <c r="T29" s="2"/>
      <c r="U29" s="3"/>
      <c r="Y29" s="66"/>
      <c r="Z29" s="42" t="str">
        <f>Y8</f>
        <v>L/H</v>
      </c>
      <c r="AA29" s="42">
        <f>Z8</f>
        <v>8.6</v>
      </c>
      <c r="AB29" s="46">
        <f>S8</f>
        <v>0.3560989</v>
      </c>
      <c r="AC29" s="46">
        <f t="shared" ref="AC29:AC31" si="8">S13</f>
        <v>31.7191647</v>
      </c>
      <c r="AD29" s="22">
        <f t="shared" ref="AD29:AD31" si="9">S18</f>
        <v>17.64499829</v>
      </c>
      <c r="AE29" s="46">
        <f t="shared" ref="AE29:AE31" si="10">T8</f>
        <v>0.93177270000000001</v>
      </c>
      <c r="AF29" s="46">
        <f t="shared" ref="AF29:AF31" si="11">T13</f>
        <v>22.067353169999997</v>
      </c>
      <c r="AG29" s="22">
        <f t="shared" ref="AG29:AG31" si="12">T18</f>
        <v>17.644841090000003</v>
      </c>
      <c r="AH29" s="46">
        <f t="shared" ref="AH29:AH31" si="13">U8</f>
        <v>1.6488117</v>
      </c>
      <c r="AI29" s="46">
        <f t="shared" ref="AI29:AI31" si="14">U13</f>
        <v>23.002340355000001</v>
      </c>
      <c r="AJ29" s="22">
        <f t="shared" ref="AJ29:AJ31" si="15">U18</f>
        <v>17.637193379999999</v>
      </c>
    </row>
    <row r="30" spans="2:36" x14ac:dyDescent="0.25">
      <c r="B30" s="56"/>
      <c r="C30" s="2" t="s">
        <v>6</v>
      </c>
      <c r="D30" s="15">
        <f>D25</f>
        <v>18.062459016393444</v>
      </c>
      <c r="E30" s="16" t="s">
        <v>109</v>
      </c>
      <c r="F30" s="30">
        <v>44446.714050000002</v>
      </c>
      <c r="G30" s="2">
        <v>34806.475979399998</v>
      </c>
      <c r="H30" s="16" t="s">
        <v>107</v>
      </c>
      <c r="I30" s="2">
        <v>28955.9172077</v>
      </c>
      <c r="J30" s="16" t="s">
        <v>60</v>
      </c>
      <c r="K30" s="30">
        <f t="shared" si="1"/>
        <v>36126.154885000004</v>
      </c>
      <c r="L30" s="36">
        <v>36126.154885000004</v>
      </c>
      <c r="M30">
        <f t="shared" si="2"/>
        <v>36126.154885000004</v>
      </c>
      <c r="Q30" s="56"/>
      <c r="R30" s="2" t="s">
        <v>6</v>
      </c>
      <c r="S30" s="15">
        <f>F30/1000</f>
        <v>44.446714050000004</v>
      </c>
      <c r="T30" s="15">
        <f>I30/1000</f>
        <v>28.955917207700001</v>
      </c>
      <c r="U30" s="22">
        <f>L30/1000</f>
        <v>36.126154885000005</v>
      </c>
      <c r="V30" s="7"/>
      <c r="W30" s="7"/>
      <c r="Y30" s="66"/>
      <c r="Z30" s="42" t="str">
        <f>Y9</f>
        <v>H/L</v>
      </c>
      <c r="AA30" s="42">
        <f>Z9</f>
        <v>6.2</v>
      </c>
      <c r="AB30" s="46">
        <f t="shared" ref="AB30:AB31" si="16">S9</f>
        <v>0.25279107999</v>
      </c>
      <c r="AC30" s="46">
        <f t="shared" si="8"/>
        <v>22.8888563</v>
      </c>
      <c r="AD30" s="22">
        <f t="shared" si="9"/>
        <v>12.725103437</v>
      </c>
      <c r="AE30" s="46">
        <f t="shared" si="10"/>
        <v>0.66354630989999996</v>
      </c>
      <c r="AF30" s="46">
        <f t="shared" si="11"/>
        <v>15.930663599999999</v>
      </c>
      <c r="AG30" s="22">
        <f t="shared" si="12"/>
        <v>12.724990315499999</v>
      </c>
      <c r="AH30" s="46">
        <f t="shared" si="13"/>
        <v>0.61656969999990008</v>
      </c>
      <c r="AI30" s="46">
        <f t="shared" si="14"/>
        <v>21.169832450229997</v>
      </c>
      <c r="AJ30" s="22">
        <f t="shared" si="15"/>
        <v>12.717380849</v>
      </c>
    </row>
    <row r="31" spans="2:36" x14ac:dyDescent="0.25">
      <c r="B31" s="56"/>
      <c r="C31" s="2" t="s">
        <v>7</v>
      </c>
      <c r="D31" s="15">
        <f t="shared" ref="D31:D33" si="17">D26</f>
        <v>15.992459016393443</v>
      </c>
      <c r="E31" s="16" t="s">
        <v>108</v>
      </c>
      <c r="F31" s="30">
        <v>58869.652982489999</v>
      </c>
      <c r="G31" s="2">
        <v>32702.755499999999</v>
      </c>
      <c r="H31" s="16" t="s">
        <v>105</v>
      </c>
      <c r="I31" s="2">
        <v>26271.6728</v>
      </c>
      <c r="J31" s="16" t="s">
        <v>105</v>
      </c>
      <c r="K31" s="30">
        <f t="shared" si="1"/>
        <v>31916.102492999999</v>
      </c>
      <c r="L31" s="36">
        <v>31916.102492999999</v>
      </c>
      <c r="M31">
        <f t="shared" si="2"/>
        <v>31916.102492999999</v>
      </c>
      <c r="Q31" s="56"/>
      <c r="R31" s="2" t="s">
        <v>7</v>
      </c>
      <c r="S31" s="15">
        <f t="shared" ref="S31:S33" si="18">F31/1000</f>
        <v>58.869652982489995</v>
      </c>
      <c r="T31" s="15">
        <f>I31/1000</f>
        <v>26.271672800000001</v>
      </c>
      <c r="U31" s="22">
        <f>L31/1000</f>
        <v>31.916102492999997</v>
      </c>
      <c r="V31" s="7"/>
      <c r="W31" s="7"/>
      <c r="Y31" s="66"/>
      <c r="Z31" s="42" t="str">
        <f>Y10</f>
        <v>L/L</v>
      </c>
      <c r="AA31" s="42">
        <f>Z10</f>
        <v>4.0999999999999996</v>
      </c>
      <c r="AB31" s="46">
        <f t="shared" si="16"/>
        <v>0.16266478000000001</v>
      </c>
      <c r="AC31" s="46">
        <f t="shared" si="8"/>
        <v>15.1531278</v>
      </c>
      <c r="AD31" s="22">
        <f t="shared" si="9"/>
        <v>8.4201953556999989</v>
      </c>
      <c r="AE31" s="46">
        <f t="shared" si="10"/>
        <v>0.43004780999900005</v>
      </c>
      <c r="AF31" s="46">
        <f t="shared" si="11"/>
        <v>10.55014722556</v>
      </c>
      <c r="AG31" s="22">
        <f t="shared" si="12"/>
        <v>8.42012063496</v>
      </c>
      <c r="AH31" s="46">
        <f t="shared" si="13"/>
        <v>0.40088629999999997</v>
      </c>
      <c r="AI31" s="46">
        <f t="shared" si="14"/>
        <v>14.032693999999999</v>
      </c>
      <c r="AJ31" s="22">
        <f t="shared" si="15"/>
        <v>8.4124849279999996</v>
      </c>
    </row>
    <row r="32" spans="2:36" x14ac:dyDescent="0.25">
      <c r="B32" s="56"/>
      <c r="C32" s="2" t="s">
        <v>8</v>
      </c>
      <c r="D32" s="15">
        <f t="shared" si="17"/>
        <v>8.9119672131147532</v>
      </c>
      <c r="E32" s="16" t="s">
        <v>108</v>
      </c>
      <c r="F32" s="30">
        <v>32822.134582539999</v>
      </c>
      <c r="G32" s="2">
        <v>18194.770919999999</v>
      </c>
      <c r="H32" s="16" t="s">
        <v>110</v>
      </c>
      <c r="I32" s="2">
        <v>22833.462800000001</v>
      </c>
      <c r="J32" s="16" t="s">
        <v>106</v>
      </c>
      <c r="K32" s="30">
        <f t="shared" si="1"/>
        <v>22258.311449000001</v>
      </c>
      <c r="L32" s="36">
        <v>22258.311449000001</v>
      </c>
      <c r="M32">
        <f t="shared" si="2"/>
        <v>22258.311449000001</v>
      </c>
      <c r="Q32" s="56"/>
      <c r="R32" s="2" t="s">
        <v>8</v>
      </c>
      <c r="S32" s="15">
        <f t="shared" si="18"/>
        <v>32.822134582539995</v>
      </c>
      <c r="T32" s="15">
        <f>I32/1000</f>
        <v>22.8334628</v>
      </c>
      <c r="U32" s="22">
        <f>L32/1000</f>
        <v>22.258311449000001</v>
      </c>
      <c r="V32" s="7"/>
      <c r="W32" s="7"/>
      <c r="Y32" s="67" t="s">
        <v>117</v>
      </c>
      <c r="Z32" s="43" t="str">
        <f>Y7</f>
        <v>H/H</v>
      </c>
      <c r="AA32" s="43">
        <f>AA7</f>
        <v>18.100000000000001</v>
      </c>
      <c r="AB32" s="47">
        <f>S25</f>
        <v>1.895934</v>
      </c>
      <c r="AC32" s="47">
        <f>S30</f>
        <v>44.446714050000004</v>
      </c>
      <c r="AD32" s="48">
        <f>S35</f>
        <v>37.119366309999997</v>
      </c>
      <c r="AE32" s="47">
        <f>T25</f>
        <v>7.7408239999899999</v>
      </c>
      <c r="AF32" s="47">
        <f>T30</f>
        <v>28.955917207700001</v>
      </c>
      <c r="AG32" s="48">
        <f>T35</f>
        <v>37.118311371999994</v>
      </c>
      <c r="AH32" s="47">
        <f>U25</f>
        <v>6.7901827990000001</v>
      </c>
      <c r="AI32" s="47">
        <f>U30</f>
        <v>36.126154885000005</v>
      </c>
      <c r="AJ32" s="48">
        <f>U35</f>
        <v>37.111289289491701</v>
      </c>
    </row>
    <row r="33" spans="2:36" x14ac:dyDescent="0.25">
      <c r="B33" s="56"/>
      <c r="C33" s="2" t="s">
        <v>9</v>
      </c>
      <c r="D33" s="15">
        <f t="shared" si="17"/>
        <v>6.8519672131147544</v>
      </c>
      <c r="E33" s="16" t="s">
        <v>108</v>
      </c>
      <c r="F33" s="30">
        <v>25465.549121</v>
      </c>
      <c r="G33" s="2">
        <v>14107.8814</v>
      </c>
      <c r="H33" s="16" t="s">
        <v>110</v>
      </c>
      <c r="I33" s="2">
        <v>17721.942692839999</v>
      </c>
      <c r="J33" s="16" t="s">
        <v>52</v>
      </c>
      <c r="K33" s="30">
        <f t="shared" si="1"/>
        <v>23541.759600000001</v>
      </c>
      <c r="L33" s="36">
        <v>23541.759600000001</v>
      </c>
      <c r="M33">
        <f t="shared" si="2"/>
        <v>23541.759600000001</v>
      </c>
      <c r="Q33" s="56"/>
      <c r="R33" s="2" t="s">
        <v>9</v>
      </c>
      <c r="S33" s="15">
        <f t="shared" si="18"/>
        <v>25.465549120999999</v>
      </c>
      <c r="T33" s="15">
        <f>I33/1000</f>
        <v>17.721942692839999</v>
      </c>
      <c r="U33" s="22">
        <f>L33/1000</f>
        <v>23.541759600000002</v>
      </c>
      <c r="V33" s="7"/>
      <c r="W33" s="7"/>
      <c r="Y33" s="66"/>
      <c r="Z33" s="42" t="str">
        <f>Y8</f>
        <v>L/H</v>
      </c>
      <c r="AA33" s="43">
        <f>AA8</f>
        <v>16</v>
      </c>
      <c r="AB33" s="47">
        <f t="shared" ref="AB33:AB35" si="19">S26</f>
        <v>0.67686179999999996</v>
      </c>
      <c r="AC33" s="47">
        <f t="shared" ref="AC33:AC35" si="20">S31</f>
        <v>58.869652982489995</v>
      </c>
      <c r="AD33" s="48">
        <f t="shared" ref="AD33:AD35" si="21">S36</f>
        <v>32.814673461300004</v>
      </c>
      <c r="AE33" s="47">
        <f t="shared" ref="AE33:AE35" si="22">T26</f>
        <v>5.3191130000000006</v>
      </c>
      <c r="AF33" s="47">
        <f t="shared" ref="AF33:AF35" si="23">T31</f>
        <v>26.271672800000001</v>
      </c>
      <c r="AG33" s="48">
        <f t="shared" ref="AG33:AG35" si="24">T36</f>
        <v>32.813843399999996</v>
      </c>
      <c r="AH33" s="47">
        <f t="shared" ref="AH33:AH35" si="25">U26</f>
        <v>4.5636160000000006</v>
      </c>
      <c r="AI33" s="47">
        <f t="shared" ref="AI33:AI35" si="26">U31</f>
        <v>31.916102492999997</v>
      </c>
      <c r="AJ33" s="48">
        <f t="shared" ref="AJ33:AJ35" si="27">U36</f>
        <v>32.806577390000001</v>
      </c>
    </row>
    <row r="34" spans="2:36" x14ac:dyDescent="0.25">
      <c r="B34" s="56"/>
      <c r="C34" s="2"/>
      <c r="D34" s="15"/>
      <c r="E34" s="16"/>
      <c r="F34" s="30" t="s">
        <v>88</v>
      </c>
      <c r="G34" s="2" t="s">
        <v>11</v>
      </c>
      <c r="H34" s="16"/>
      <c r="I34" s="2" t="s">
        <v>91</v>
      </c>
      <c r="J34" s="16"/>
      <c r="K34" s="30">
        <f t="shared" si="1"/>
        <v>0</v>
      </c>
      <c r="L34" s="36"/>
      <c r="M34">
        <f t="shared" si="2"/>
        <v>0</v>
      </c>
      <c r="Q34" s="56"/>
      <c r="R34" s="2"/>
      <c r="S34" s="61" t="s">
        <v>11</v>
      </c>
      <c r="T34" s="2"/>
      <c r="U34" s="3"/>
      <c r="Y34" s="66"/>
      <c r="Z34" s="42" t="str">
        <f>Y9</f>
        <v>H/L</v>
      </c>
      <c r="AA34" s="43">
        <f>AA9</f>
        <v>8.9</v>
      </c>
      <c r="AB34" s="47">
        <f t="shared" si="19"/>
        <v>0.36903619998999998</v>
      </c>
      <c r="AC34" s="47">
        <f t="shared" si="20"/>
        <v>32.822134582539995</v>
      </c>
      <c r="AD34" s="48">
        <f t="shared" si="21"/>
        <v>18.2599851475</v>
      </c>
      <c r="AE34" s="47">
        <f t="shared" si="22"/>
        <v>0.96540869999989998</v>
      </c>
      <c r="AF34" s="47">
        <f t="shared" si="23"/>
        <v>22.8334628</v>
      </c>
      <c r="AG34" s="48">
        <f t="shared" si="24"/>
        <v>18.259822426300001</v>
      </c>
      <c r="AH34" s="47">
        <f t="shared" si="25"/>
        <v>1.8656377999990001</v>
      </c>
      <c r="AI34" s="47">
        <f t="shared" si="26"/>
        <v>22.258311449000001</v>
      </c>
      <c r="AJ34" s="48">
        <f t="shared" si="27"/>
        <v>18.252159599999999</v>
      </c>
    </row>
    <row r="35" spans="2:36" ht="15.75" thickBot="1" x14ac:dyDescent="0.3">
      <c r="B35" s="56"/>
      <c r="C35" s="2" t="s">
        <v>6</v>
      </c>
      <c r="D35" s="15">
        <f>D30</f>
        <v>18.062459016393444</v>
      </c>
      <c r="E35" s="16"/>
      <c r="F35" s="30">
        <v>37119.366309999998</v>
      </c>
      <c r="G35" s="2">
        <v>37110.8055510911</v>
      </c>
      <c r="H35" s="16"/>
      <c r="I35" s="2">
        <v>37118.311371999996</v>
      </c>
      <c r="J35" s="16"/>
      <c r="K35" s="30">
        <f t="shared" si="1"/>
        <v>37111.289289491702</v>
      </c>
      <c r="L35" s="36">
        <v>37111.289289491702</v>
      </c>
      <c r="M35">
        <f t="shared" si="2"/>
        <v>37111.289289491702</v>
      </c>
      <c r="Q35" s="56"/>
      <c r="R35" s="2" t="s">
        <v>6</v>
      </c>
      <c r="S35" s="15">
        <f>F35/1000</f>
        <v>37.119366309999997</v>
      </c>
      <c r="T35" s="15">
        <f>I35/1000</f>
        <v>37.118311371999994</v>
      </c>
      <c r="U35" s="22">
        <f>L35/1000</f>
        <v>37.111289289491701</v>
      </c>
      <c r="V35" s="7"/>
      <c r="W35" s="7"/>
      <c r="Y35" s="68"/>
      <c r="Z35" s="44" t="str">
        <f>Y10</f>
        <v>L/L</v>
      </c>
      <c r="AA35" s="62">
        <f>AA10</f>
        <v>6.9</v>
      </c>
      <c r="AB35" s="63">
        <f t="shared" si="19"/>
        <v>0.28288784</v>
      </c>
      <c r="AC35" s="63">
        <f t="shared" si="20"/>
        <v>25.465549120999999</v>
      </c>
      <c r="AD35" s="64">
        <f t="shared" si="21"/>
        <v>14.160072700000001</v>
      </c>
      <c r="AE35" s="63">
        <f t="shared" si="22"/>
        <v>0.74162363000000009</v>
      </c>
      <c r="AF35" s="63">
        <f t="shared" si="23"/>
        <v>17.721942692839999</v>
      </c>
      <c r="AG35" s="64">
        <f t="shared" si="24"/>
        <v>14.159946825</v>
      </c>
      <c r="AH35" s="63">
        <f t="shared" si="25"/>
        <v>0.68897600000000003</v>
      </c>
      <c r="AI35" s="63">
        <f t="shared" si="26"/>
        <v>23.541759600000002</v>
      </c>
      <c r="AJ35" s="64">
        <f t="shared" si="27"/>
        <v>14.152346087</v>
      </c>
    </row>
    <row r="36" spans="2:36" ht="15.75" thickBot="1" x14ac:dyDescent="0.3">
      <c r="B36" s="56"/>
      <c r="C36" s="2" t="s">
        <v>7</v>
      </c>
      <c r="D36" s="15">
        <f t="shared" ref="D36:D38" si="28">D31</f>
        <v>15.992459016393443</v>
      </c>
      <c r="E36" s="16"/>
      <c r="F36" s="30">
        <v>32814.673461300001</v>
      </c>
      <c r="G36" s="2">
        <v>32806.110193</v>
      </c>
      <c r="H36" s="16"/>
      <c r="I36" s="2">
        <v>32813.843399999998</v>
      </c>
      <c r="J36" s="16"/>
      <c r="K36" s="30">
        <f t="shared" si="1"/>
        <v>32806.577389999999</v>
      </c>
      <c r="L36" s="36">
        <v>32806.577389999999</v>
      </c>
      <c r="M36">
        <f t="shared" si="2"/>
        <v>32806.577389999999</v>
      </c>
      <c r="Q36" s="56"/>
      <c r="R36" s="2" t="s">
        <v>7</v>
      </c>
      <c r="S36" s="15">
        <f t="shared" ref="S36:S38" si="29">F36/1000</f>
        <v>32.814673461300004</v>
      </c>
      <c r="T36" s="15">
        <f>I36/1000</f>
        <v>32.813843399999996</v>
      </c>
      <c r="U36" s="22">
        <f>L36/1000</f>
        <v>32.806577390000001</v>
      </c>
      <c r="V36" s="7"/>
      <c r="W36" s="7"/>
    </row>
    <row r="37" spans="2:36" x14ac:dyDescent="0.25">
      <c r="B37" s="56"/>
      <c r="C37" s="2" t="s">
        <v>8</v>
      </c>
      <c r="D37" s="15">
        <f t="shared" si="28"/>
        <v>8.9119672131147532</v>
      </c>
      <c r="E37" s="16"/>
      <c r="F37" s="30">
        <v>18259.9851475</v>
      </c>
      <c r="G37" s="2">
        <v>18251.8099</v>
      </c>
      <c r="H37" s="16"/>
      <c r="I37" s="2">
        <v>18259.822426300001</v>
      </c>
      <c r="J37" s="16"/>
      <c r="K37" s="30">
        <f t="shared" si="1"/>
        <v>18252.159599999999</v>
      </c>
      <c r="L37" s="36">
        <v>18252.159599999999</v>
      </c>
      <c r="M37">
        <f t="shared" si="2"/>
        <v>18252.159599999999</v>
      </c>
      <c r="Q37" s="56"/>
      <c r="R37" s="2" t="s">
        <v>8</v>
      </c>
      <c r="S37" s="15">
        <f t="shared" si="29"/>
        <v>18.2599851475</v>
      </c>
      <c r="T37" s="15">
        <f>I37/1000</f>
        <v>18.259822426300001</v>
      </c>
      <c r="U37" s="22">
        <f>L37/1000</f>
        <v>18.252159599999999</v>
      </c>
      <c r="V37" s="7"/>
      <c r="W37" s="7"/>
      <c r="Y37" s="69" t="s">
        <v>121</v>
      </c>
      <c r="Z37" s="13"/>
      <c r="AA37" s="13" t="str">
        <f>S24</f>
        <v>TC2 Option 3</v>
      </c>
      <c r="AB37" s="13" t="str">
        <f>T24</f>
        <v>TC2 Option 4</v>
      </c>
      <c r="AC37" s="13" t="str">
        <f>U24</f>
        <v>1930-59</v>
      </c>
      <c r="AD37" s="13"/>
      <c r="AE37" s="13"/>
      <c r="AF37" s="65" t="s">
        <v>67</v>
      </c>
    </row>
    <row r="38" spans="2:36" ht="15.75" thickBot="1" x14ac:dyDescent="0.3">
      <c r="B38" s="57"/>
      <c r="C38" s="5" t="s">
        <v>9</v>
      </c>
      <c r="D38" s="17">
        <f t="shared" si="28"/>
        <v>6.8519672131147544</v>
      </c>
      <c r="E38" s="18"/>
      <c r="F38" s="32">
        <v>14160.072700000001</v>
      </c>
      <c r="G38" s="5">
        <v>14152.007100000001</v>
      </c>
      <c r="H38" s="18"/>
      <c r="I38" s="5">
        <v>14159.946825000001</v>
      </c>
      <c r="J38" s="18"/>
      <c r="K38" s="30">
        <f t="shared" si="1"/>
        <v>14152.346087</v>
      </c>
      <c r="L38" s="36">
        <v>14152.346087</v>
      </c>
      <c r="M38">
        <f t="shared" si="2"/>
        <v>14152.346087</v>
      </c>
      <c r="Q38" s="57"/>
      <c r="R38" s="5" t="s">
        <v>9</v>
      </c>
      <c r="S38" s="17">
        <f t="shared" si="29"/>
        <v>14.160072700000001</v>
      </c>
      <c r="T38" s="17">
        <f>I38/1000</f>
        <v>14.159946825</v>
      </c>
      <c r="U38" s="23">
        <f>L38/1000</f>
        <v>14.152346087</v>
      </c>
      <c r="V38" s="7"/>
      <c r="W38" s="7"/>
      <c r="Y38" s="56" t="s">
        <v>45</v>
      </c>
      <c r="Z38" s="2" t="str">
        <f>R35</f>
        <v>H/H</v>
      </c>
      <c r="AA38" s="37">
        <f>F42</f>
        <v>0.1821468</v>
      </c>
      <c r="AB38" s="37">
        <f>I42</f>
        <v>0.347109</v>
      </c>
      <c r="AC38" s="37">
        <f>L42</f>
        <v>0.497459288</v>
      </c>
      <c r="AD38" s="72" t="s">
        <v>68</v>
      </c>
      <c r="AE38" s="37" t="str">
        <f>Y7</f>
        <v>H/H</v>
      </c>
      <c r="AF38" s="3">
        <f>Z7</f>
        <v>10.7</v>
      </c>
    </row>
    <row r="39" spans="2:36" x14ac:dyDescent="0.25">
      <c r="K39" s="30">
        <f t="shared" si="1"/>
        <v>0</v>
      </c>
      <c r="L39" s="36"/>
      <c r="M39">
        <f t="shared" si="2"/>
        <v>0</v>
      </c>
      <c r="Y39" s="56"/>
      <c r="Z39" s="2" t="str">
        <f>R36</f>
        <v>L/H</v>
      </c>
      <c r="AA39" s="37">
        <f>F43</f>
        <v>0.146355233</v>
      </c>
      <c r="AB39" s="37">
        <f>I43</f>
        <v>0.208437322176</v>
      </c>
      <c r="AC39" s="37">
        <f>L43</f>
        <v>0.37457781751809999</v>
      </c>
      <c r="AD39" s="72"/>
      <c r="AE39" s="37" t="str">
        <f>Y8</f>
        <v>L/H</v>
      </c>
      <c r="AF39" s="3">
        <f>Z8</f>
        <v>8.6</v>
      </c>
    </row>
    <row r="40" spans="2:36" ht="15.75" thickBot="1" x14ac:dyDescent="0.3">
      <c r="K40" s="30">
        <f t="shared" si="1"/>
        <v>0</v>
      </c>
      <c r="L40" s="36"/>
      <c r="M40">
        <f t="shared" si="2"/>
        <v>0</v>
      </c>
      <c r="Y40" s="56"/>
      <c r="Z40" s="2" t="str">
        <f>R37</f>
        <v>H/L</v>
      </c>
      <c r="AA40" s="37">
        <f>F44</f>
        <v>0.10548740435999999</v>
      </c>
      <c r="AB40" s="37">
        <f>I44</f>
        <v>0.150151757330105</v>
      </c>
      <c r="AC40" s="37">
        <f>L44</f>
        <v>0.22329468272</v>
      </c>
      <c r="AD40" s="72"/>
      <c r="AE40" s="37" t="str">
        <f>Y9</f>
        <v>H/L</v>
      </c>
      <c r="AF40" s="3">
        <f>Z9</f>
        <v>6.2</v>
      </c>
    </row>
    <row r="41" spans="2:36" x14ac:dyDescent="0.25">
      <c r="B41" s="11" t="s">
        <v>42</v>
      </c>
      <c r="C41" s="12"/>
      <c r="D41" s="12"/>
      <c r="E41" s="13"/>
      <c r="F41" s="27" t="s">
        <v>0</v>
      </c>
      <c r="G41" s="12" t="str">
        <f>G24</f>
        <v>TC2 Option 3</v>
      </c>
      <c r="H41" s="13"/>
      <c r="I41" s="12" t="str">
        <f>I24</f>
        <v>TC2 Option 4</v>
      </c>
      <c r="J41" s="13"/>
      <c r="K41" s="30" t="str">
        <f t="shared" si="1"/>
        <v>1930-59</v>
      </c>
      <c r="L41" s="36" t="s">
        <v>2</v>
      </c>
      <c r="M41" t="str">
        <f t="shared" si="2"/>
        <v>1930-59</v>
      </c>
      <c r="Y41" s="56"/>
      <c r="Z41" s="2" t="str">
        <f>R38</f>
        <v>L/L</v>
      </c>
      <c r="AA41" s="37">
        <f>F45</f>
        <v>6.9758785099999998E-2</v>
      </c>
      <c r="AB41" s="37">
        <f>I45</f>
        <v>9.9255156999999997E-2</v>
      </c>
      <c r="AC41" s="37">
        <f>L45</f>
        <v>0.14746896686900299</v>
      </c>
      <c r="AD41" s="72"/>
      <c r="AE41" s="37" t="str">
        <f>Y10</f>
        <v>L/L</v>
      </c>
      <c r="AF41" s="3">
        <f>Z10</f>
        <v>4.0999999999999996</v>
      </c>
    </row>
    <row r="42" spans="2:36" x14ac:dyDescent="0.25">
      <c r="B42" s="1" t="s">
        <v>45</v>
      </c>
      <c r="C42" s="2" t="str">
        <f>C35</f>
        <v>H/H</v>
      </c>
      <c r="D42" s="15">
        <f>D17</f>
        <v>10.66</v>
      </c>
      <c r="E42" s="16"/>
      <c r="F42" s="30">
        <v>0.1821468</v>
      </c>
      <c r="G42" s="2">
        <v>0.81685061000000003</v>
      </c>
      <c r="H42" s="16"/>
      <c r="I42" s="2">
        <v>0.347109</v>
      </c>
      <c r="J42" s="16"/>
      <c r="K42" s="30">
        <f t="shared" si="1"/>
        <v>0.497459288</v>
      </c>
      <c r="L42" s="36">
        <v>0.497459288</v>
      </c>
      <c r="M42">
        <f t="shared" si="2"/>
        <v>0.497459288</v>
      </c>
      <c r="Y42" s="56" t="s">
        <v>47</v>
      </c>
      <c r="Z42" s="2" t="str">
        <f>Z38</f>
        <v>H/H</v>
      </c>
      <c r="AA42" s="37">
        <f>F46</f>
        <v>0.40627531099999997</v>
      </c>
      <c r="AB42" s="37">
        <f>I46</f>
        <v>0.876552</v>
      </c>
      <c r="AC42" s="37">
        <f>L46</f>
        <v>1.0856769749999999</v>
      </c>
      <c r="AD42" s="72" t="s">
        <v>69</v>
      </c>
      <c r="AE42" s="37" t="str">
        <f>Y7</f>
        <v>H/H</v>
      </c>
      <c r="AF42" s="3">
        <f>AA7</f>
        <v>18.100000000000001</v>
      </c>
    </row>
    <row r="43" spans="2:36" x14ac:dyDescent="0.25">
      <c r="B43" s="1"/>
      <c r="C43" s="2" t="str">
        <f>C36</f>
        <v>L/H</v>
      </c>
      <c r="D43" s="15">
        <f t="shared" ref="D43:D45" si="30">D18</f>
        <v>8.59</v>
      </c>
      <c r="E43" s="16"/>
      <c r="F43" s="30">
        <v>0.146355233</v>
      </c>
      <c r="G43" s="2">
        <v>0.17295511840533501</v>
      </c>
      <c r="H43" s="16"/>
      <c r="I43" s="2">
        <v>0.208437322176</v>
      </c>
      <c r="J43" s="16"/>
      <c r="K43" s="30">
        <v>0.65657251000000005</v>
      </c>
      <c r="L43" s="36">
        <v>0.37457781751809999</v>
      </c>
      <c r="M43">
        <f t="shared" si="2"/>
        <v>0.37457781751809999</v>
      </c>
      <c r="Y43" s="56"/>
      <c r="Z43" s="2" t="str">
        <f t="shared" ref="Z43:Z45" si="31">Z39</f>
        <v>L/H</v>
      </c>
      <c r="AA43" s="37">
        <f>F47</f>
        <v>0.27261952555500002</v>
      </c>
      <c r="AB43" s="37">
        <f>I47</f>
        <v>0.65014495800000005</v>
      </c>
      <c r="AC43" s="37">
        <f>L47</f>
        <v>0.84487704399999997</v>
      </c>
      <c r="AD43" s="72"/>
      <c r="AE43" s="37" t="str">
        <f>Y8</f>
        <v>L/H</v>
      </c>
      <c r="AF43" s="3">
        <f>AA8</f>
        <v>16</v>
      </c>
    </row>
    <row r="44" spans="2:36" x14ac:dyDescent="0.25">
      <c r="B44" s="1"/>
      <c r="C44" s="2" t="str">
        <f>C37</f>
        <v>H/L</v>
      </c>
      <c r="D44" s="15">
        <f t="shared" si="30"/>
        <v>6.18</v>
      </c>
      <c r="E44" s="16"/>
      <c r="F44" s="30">
        <v>0.10548740435999999</v>
      </c>
      <c r="G44" s="2">
        <v>0.47340230873520001</v>
      </c>
      <c r="H44" s="16"/>
      <c r="I44" s="2">
        <v>0.150151757330105</v>
      </c>
      <c r="J44" s="16"/>
      <c r="K44" s="30">
        <f t="shared" si="1"/>
        <v>0.22329468272</v>
      </c>
      <c r="L44" s="36">
        <v>0.22329468272</v>
      </c>
      <c r="M44">
        <f t="shared" si="2"/>
        <v>0.22329468272</v>
      </c>
      <c r="Y44" s="56"/>
      <c r="Z44" s="2" t="str">
        <f t="shared" si="31"/>
        <v>H/L</v>
      </c>
      <c r="AA44" s="37">
        <f>F48</f>
        <v>0.15146644658299999</v>
      </c>
      <c r="AB44" s="37">
        <f>I48</f>
        <v>0.21573228120999999</v>
      </c>
      <c r="AC44" s="37">
        <f>L48</f>
        <v>0.40179007738283701</v>
      </c>
      <c r="AD44" s="72"/>
      <c r="AE44" s="37" t="str">
        <f>Y9</f>
        <v>H/L</v>
      </c>
      <c r="AF44" s="3">
        <f>AA9</f>
        <v>8.9</v>
      </c>
    </row>
    <row r="45" spans="2:36" ht="15.75" thickBot="1" x14ac:dyDescent="0.3">
      <c r="B45" s="1"/>
      <c r="C45" s="2" t="str">
        <f>C38</f>
        <v>L/L</v>
      </c>
      <c r="D45" s="15">
        <f t="shared" si="30"/>
        <v>4.12</v>
      </c>
      <c r="E45" s="16"/>
      <c r="F45" s="30">
        <v>6.9758785099999998E-2</v>
      </c>
      <c r="G45" s="2">
        <v>0.31313000000000002</v>
      </c>
      <c r="H45" s="16"/>
      <c r="I45" s="2">
        <v>9.9255156999999997E-2</v>
      </c>
      <c r="J45" s="16"/>
      <c r="K45" s="30">
        <f t="shared" si="1"/>
        <v>0.14746896686900299</v>
      </c>
      <c r="L45" s="36">
        <v>0.14746896686900299</v>
      </c>
      <c r="M45">
        <f t="shared" si="2"/>
        <v>0.14746896686900299</v>
      </c>
      <c r="Y45" s="57"/>
      <c r="Z45" s="5" t="str">
        <f t="shared" si="31"/>
        <v>L/L</v>
      </c>
      <c r="AA45" s="38">
        <f>F49</f>
        <v>0.1174032274</v>
      </c>
      <c r="AB45" s="38">
        <f>I49</f>
        <v>0.16713834004</v>
      </c>
      <c r="AC45" s="38">
        <f>L49</f>
        <v>0.2486248606</v>
      </c>
      <c r="AD45" s="73"/>
      <c r="AE45" s="38" t="str">
        <f>Y10</f>
        <v>L/L</v>
      </c>
      <c r="AF45" s="6">
        <f>AA10</f>
        <v>6.9</v>
      </c>
    </row>
    <row r="46" spans="2:36" x14ac:dyDescent="0.25">
      <c r="B46" s="1" t="s">
        <v>47</v>
      </c>
      <c r="C46" s="2" t="str">
        <f>C42</f>
        <v>H/H</v>
      </c>
      <c r="D46" s="15">
        <f>D35</f>
        <v>18.062459016393444</v>
      </c>
      <c r="E46" s="16"/>
      <c r="F46" s="30">
        <v>0.40627531099999997</v>
      </c>
      <c r="G46" s="2">
        <v>1.4941333919999999</v>
      </c>
      <c r="H46" s="16"/>
      <c r="I46" s="2">
        <v>0.876552</v>
      </c>
      <c r="J46" s="16"/>
      <c r="K46" s="30">
        <f t="shared" si="1"/>
        <v>1.0856769749999999</v>
      </c>
      <c r="L46" s="36">
        <v>1.0856769749999999</v>
      </c>
      <c r="M46">
        <f t="shared" si="2"/>
        <v>1.0856769749999999</v>
      </c>
    </row>
    <row r="47" spans="2:36" x14ac:dyDescent="0.25">
      <c r="B47" s="1"/>
      <c r="C47" s="2" t="str">
        <f t="shared" ref="C47:C49" si="32">C43</f>
        <v>L/H</v>
      </c>
      <c r="D47" s="15">
        <f t="shared" ref="D47:D49" si="33">D36</f>
        <v>15.992459016393443</v>
      </c>
      <c r="E47" s="16"/>
      <c r="F47" s="30">
        <v>0.27261952555500002</v>
      </c>
      <c r="G47" s="2">
        <v>1.221379</v>
      </c>
      <c r="H47" s="16"/>
      <c r="I47" s="2">
        <v>0.65014495800000005</v>
      </c>
      <c r="J47" s="16"/>
      <c r="K47" s="30">
        <f t="shared" si="1"/>
        <v>0.84487704399999997</v>
      </c>
      <c r="L47" s="36">
        <v>0.84487704399999997</v>
      </c>
      <c r="M47">
        <f t="shared" si="2"/>
        <v>0.84487704399999997</v>
      </c>
    </row>
    <row r="48" spans="2:36" x14ac:dyDescent="0.25">
      <c r="B48" s="1"/>
      <c r="C48" s="2" t="str">
        <f t="shared" si="32"/>
        <v>H/L</v>
      </c>
      <c r="D48" s="15">
        <f t="shared" si="33"/>
        <v>8.9119672131147532</v>
      </c>
      <c r="E48" s="16"/>
      <c r="F48" s="30">
        <v>0.15146644658299999</v>
      </c>
      <c r="G48" s="2">
        <v>0.67946914369843003</v>
      </c>
      <c r="H48" s="16"/>
      <c r="I48" s="2">
        <v>0.21573228120999999</v>
      </c>
      <c r="J48" s="16"/>
      <c r="K48" s="30">
        <f t="shared" si="1"/>
        <v>0.40179007738283701</v>
      </c>
      <c r="L48" s="36">
        <v>0.40179007738283701</v>
      </c>
      <c r="M48">
        <f t="shared" si="2"/>
        <v>0.40179007738283701</v>
      </c>
    </row>
    <row r="49" spans="2:35" ht="15.75" thickBot="1" x14ac:dyDescent="0.3">
      <c r="B49" s="4"/>
      <c r="C49" s="5" t="str">
        <f t="shared" si="32"/>
        <v>L/L</v>
      </c>
      <c r="D49" s="15">
        <f t="shared" si="33"/>
        <v>6.8519672131147544</v>
      </c>
      <c r="E49" s="18"/>
      <c r="F49" s="32">
        <v>0.1174032274</v>
      </c>
      <c r="G49" s="5">
        <v>0.52682642000000002</v>
      </c>
      <c r="H49" s="18"/>
      <c r="I49" s="5">
        <v>0.16713834004</v>
      </c>
      <c r="J49" s="18"/>
      <c r="K49" s="30">
        <f t="shared" si="1"/>
        <v>0.2486248606</v>
      </c>
      <c r="L49" s="36">
        <v>0.2486248606</v>
      </c>
      <c r="M49">
        <f t="shared" si="2"/>
        <v>0.2486248606</v>
      </c>
    </row>
    <row r="51" spans="2:35" ht="15.75" thickBot="1" x14ac:dyDescent="0.3"/>
    <row r="52" spans="2:35" x14ac:dyDescent="0.25">
      <c r="Y52" s="50" t="s">
        <v>73</v>
      </c>
      <c r="Z52" s="51"/>
      <c r="AA52" s="51"/>
      <c r="AB52" s="49"/>
      <c r="AC52" s="49"/>
      <c r="AD52" s="12" t="s">
        <v>118</v>
      </c>
      <c r="AE52" s="12"/>
      <c r="AF52" s="12" t="s">
        <v>119</v>
      </c>
      <c r="AG52" s="14" t="s">
        <v>120</v>
      </c>
      <c r="AH52" s="11" t="s">
        <v>122</v>
      </c>
      <c r="AI52" s="14"/>
    </row>
    <row r="53" spans="2:35" x14ac:dyDescent="0.25">
      <c r="Y53" s="1" t="s">
        <v>67</v>
      </c>
      <c r="Z53" s="2" t="s">
        <v>70</v>
      </c>
      <c r="AA53" s="2" t="s">
        <v>71</v>
      </c>
      <c r="AB53" s="2" t="s">
        <v>72</v>
      </c>
      <c r="AC53" s="2"/>
      <c r="AD53" s="2">
        <v>15</v>
      </c>
      <c r="AE53" s="2">
        <v>53</v>
      </c>
      <c r="AF53" s="2"/>
      <c r="AG53" s="3"/>
      <c r="AH53" s="1">
        <v>0</v>
      </c>
      <c r="AI53" s="3">
        <v>5</v>
      </c>
    </row>
    <row r="54" spans="2:35" ht="15.75" thickBot="1" x14ac:dyDescent="0.3">
      <c r="Y54" s="1">
        <v>0</v>
      </c>
      <c r="Z54" s="2">
        <v>0.28999999999999998</v>
      </c>
      <c r="AA54" s="2">
        <v>0.14000000000000001</v>
      </c>
      <c r="AB54" s="2">
        <v>0.35</v>
      </c>
      <c r="AC54" s="2"/>
      <c r="AD54" s="2">
        <f>AD53/AE53</f>
        <v>0.28301886792452829</v>
      </c>
      <c r="AE54" s="2"/>
      <c r="AF54" s="2">
        <v>0.51</v>
      </c>
      <c r="AG54" s="3">
        <v>1.4</v>
      </c>
      <c r="AH54" s="4">
        <v>20</v>
      </c>
      <c r="AI54" s="6">
        <v>5</v>
      </c>
    </row>
    <row r="55" spans="2:35" ht="15.75" thickBot="1" x14ac:dyDescent="0.3">
      <c r="Y55" s="4">
        <v>20</v>
      </c>
      <c r="Z55" s="5">
        <v>0.28999999999999998</v>
      </c>
      <c r="AA55" s="5">
        <v>0.14000000000000001</v>
      </c>
      <c r="AB55" s="5">
        <v>0.35</v>
      </c>
      <c r="AC55" s="5"/>
      <c r="AD55" s="5">
        <f>AD53/AE53</f>
        <v>0.28301886792452829</v>
      </c>
      <c r="AE55" s="5"/>
      <c r="AF55" s="5">
        <v>0.51</v>
      </c>
      <c r="AG55" s="6">
        <v>1.4</v>
      </c>
    </row>
    <row r="64" spans="2:35" ht="15.75" thickBot="1" x14ac:dyDescent="0.3"/>
    <row r="65" spans="25:35" x14ac:dyDescent="0.25">
      <c r="Y65" s="11" t="s">
        <v>67</v>
      </c>
      <c r="Z65" s="12" t="s">
        <v>70</v>
      </c>
      <c r="AA65" s="12" t="s">
        <v>74</v>
      </c>
      <c r="AB65" s="14" t="s">
        <v>75</v>
      </c>
    </row>
    <row r="66" spans="25:35" ht="15.75" thickBot="1" x14ac:dyDescent="0.3">
      <c r="Y66" s="1">
        <v>0</v>
      </c>
      <c r="Z66" s="2">
        <v>2</v>
      </c>
      <c r="AA66" s="2">
        <v>1.05</v>
      </c>
      <c r="AB66" s="3">
        <v>5</v>
      </c>
    </row>
    <row r="67" spans="25:35" ht="15.75" thickBot="1" x14ac:dyDescent="0.3">
      <c r="Y67" s="4">
        <v>20</v>
      </c>
      <c r="Z67" s="5">
        <v>2</v>
      </c>
      <c r="AA67" s="5">
        <v>1.05</v>
      </c>
      <c r="AB67" s="6">
        <v>5</v>
      </c>
      <c r="AC67" s="74" t="s">
        <v>123</v>
      </c>
      <c r="AD67" s="75"/>
      <c r="AE67" s="75"/>
      <c r="AF67" s="75"/>
      <c r="AG67" s="75"/>
      <c r="AH67" s="75"/>
      <c r="AI67" s="76"/>
    </row>
    <row r="68" spans="25:35" x14ac:dyDescent="0.25">
      <c r="AA68" t="s">
        <v>76</v>
      </c>
      <c r="AC68" s="11"/>
      <c r="AD68" s="12" t="s">
        <v>100</v>
      </c>
      <c r="AE68" s="12" t="s">
        <v>2</v>
      </c>
      <c r="AF68" s="12" t="s">
        <v>101</v>
      </c>
      <c r="AG68" s="12" t="s">
        <v>100</v>
      </c>
      <c r="AH68" s="12" t="s">
        <v>2</v>
      </c>
      <c r="AI68" s="14" t="s">
        <v>2</v>
      </c>
    </row>
    <row r="69" spans="25:35" ht="15.75" thickBot="1" x14ac:dyDescent="0.3">
      <c r="AC69" s="1" t="s">
        <v>99</v>
      </c>
      <c r="AD69" s="2" t="s">
        <v>63</v>
      </c>
      <c r="AE69" s="2" t="s">
        <v>63</v>
      </c>
      <c r="AF69" s="2" t="s">
        <v>4</v>
      </c>
      <c r="AG69" s="2" t="s">
        <v>4</v>
      </c>
      <c r="AH69" s="2" t="s">
        <v>4</v>
      </c>
      <c r="AI69" s="3" t="s">
        <v>91</v>
      </c>
    </row>
    <row r="70" spans="25:35" x14ac:dyDescent="0.25">
      <c r="Y70" s="50" t="s">
        <v>92</v>
      </c>
      <c r="Z70" s="51"/>
      <c r="AA70" s="51"/>
      <c r="AB70" s="51"/>
      <c r="AC70" s="1">
        <v>0</v>
      </c>
      <c r="AD70" s="2">
        <f>AA72</f>
        <v>36.6</v>
      </c>
      <c r="AE70" s="2">
        <f>AB72</f>
        <v>32.25</v>
      </c>
      <c r="AF70" s="2">
        <f>Z82</f>
        <v>55.210433796520746</v>
      </c>
      <c r="AG70" s="2">
        <f>AA82</f>
        <v>22.732129304136915</v>
      </c>
      <c r="AH70" s="2">
        <f>AB82</f>
        <v>20.902332884154344</v>
      </c>
      <c r="AI70" s="3">
        <f>AB75</f>
        <v>26.4</v>
      </c>
    </row>
    <row r="71" spans="25:35" x14ac:dyDescent="0.25">
      <c r="Y71" s="1"/>
      <c r="Z71" s="2" t="s">
        <v>64</v>
      </c>
      <c r="AA71" s="2" t="s">
        <v>65</v>
      </c>
      <c r="AB71" s="2" t="s">
        <v>2</v>
      </c>
      <c r="AC71" s="1">
        <v>20</v>
      </c>
      <c r="AD71" s="2">
        <f>AA72</f>
        <v>36.6</v>
      </c>
      <c r="AE71" s="2">
        <f>AB72</f>
        <v>32.25</v>
      </c>
      <c r="AF71" s="2">
        <f>Z82</f>
        <v>55.210433796520746</v>
      </c>
      <c r="AG71" s="2">
        <f>AA82</f>
        <v>22.732129304136915</v>
      </c>
      <c r="AH71" s="2">
        <f>AB82</f>
        <v>20.902332884154344</v>
      </c>
      <c r="AI71" s="3">
        <f>AB75</f>
        <v>26.4</v>
      </c>
    </row>
    <row r="72" spans="25:35" x14ac:dyDescent="0.25">
      <c r="Y72" s="1" t="s">
        <v>59</v>
      </c>
      <c r="Z72" s="2">
        <v>104.55</v>
      </c>
      <c r="AA72" s="2">
        <v>36.6</v>
      </c>
      <c r="AB72" s="2">
        <v>32.25</v>
      </c>
      <c r="AC72" s="1"/>
      <c r="AD72" s="2"/>
      <c r="AE72" s="2" t="s">
        <v>107</v>
      </c>
      <c r="AF72" s="2"/>
      <c r="AG72" s="2"/>
      <c r="AH72" s="2"/>
      <c r="AI72" s="3"/>
    </row>
    <row r="73" spans="25:35" x14ac:dyDescent="0.25">
      <c r="Y73" s="1" t="s">
        <v>93</v>
      </c>
      <c r="Z73" s="2">
        <v>151.81</v>
      </c>
      <c r="AA73" s="2">
        <v>48</v>
      </c>
      <c r="AB73" s="2">
        <v>51.55</v>
      </c>
      <c r="AC73" s="1"/>
      <c r="AD73" s="2"/>
      <c r="AE73" s="2">
        <v>52.31</v>
      </c>
      <c r="AF73" s="2"/>
      <c r="AG73" s="2"/>
      <c r="AH73" s="2"/>
      <c r="AI73" s="3"/>
    </row>
    <row r="74" spans="25:35" ht="15.75" thickBot="1" x14ac:dyDescent="0.3">
      <c r="Y74" s="55" t="s">
        <v>102</v>
      </c>
      <c r="Z74" s="53"/>
      <c r="AA74" s="53"/>
      <c r="AB74" s="53"/>
      <c r="AC74" s="4"/>
      <c r="AD74" s="5"/>
      <c r="AE74" s="5">
        <v>52.31</v>
      </c>
      <c r="AF74" s="5"/>
      <c r="AG74" s="5"/>
      <c r="AH74" s="5"/>
      <c r="AI74" s="6"/>
    </row>
    <row r="75" spans="25:35" x14ac:dyDescent="0.25">
      <c r="Y75" s="1" t="s">
        <v>91</v>
      </c>
      <c r="Z75" s="2" t="s">
        <v>103</v>
      </c>
      <c r="AA75" s="2" t="s">
        <v>103</v>
      </c>
      <c r="AB75" s="3">
        <v>26.4</v>
      </c>
    </row>
    <row r="76" spans="25:35" x14ac:dyDescent="0.25">
      <c r="Y76" s="1"/>
      <c r="Z76" s="2"/>
      <c r="AA76" s="2"/>
      <c r="AB76" s="3"/>
    </row>
    <row r="77" spans="25:35" x14ac:dyDescent="0.25">
      <c r="Y77" s="1" t="s">
        <v>94</v>
      </c>
      <c r="Z77" s="2">
        <v>30</v>
      </c>
      <c r="AA77" s="2">
        <v>30</v>
      </c>
      <c r="AB77" s="3">
        <v>17.2</v>
      </c>
    </row>
    <row r="78" spans="25:35" x14ac:dyDescent="0.25">
      <c r="Y78" s="1" t="s">
        <v>95</v>
      </c>
      <c r="Z78" s="2">
        <f>0.56*SQRT(Z77)</f>
        <v>3.0672463220289305</v>
      </c>
      <c r="AA78" s="2">
        <f>0.56*SQRT(AA77)</f>
        <v>3.0672463220289305</v>
      </c>
      <c r="AB78" s="3">
        <f>0.56*SQRT(AB77)</f>
        <v>2.3224814315727049</v>
      </c>
    </row>
    <row r="79" spans="25:35" x14ac:dyDescent="0.25">
      <c r="Y79" s="1" t="s">
        <v>96</v>
      </c>
      <c r="Z79" s="2">
        <v>300</v>
      </c>
      <c r="AA79" s="2">
        <v>300</v>
      </c>
      <c r="AB79" s="3">
        <v>150</v>
      </c>
    </row>
    <row r="80" spans="25:35" x14ac:dyDescent="0.25">
      <c r="Y80" s="1" t="s">
        <v>97</v>
      </c>
      <c r="Z80" s="2">
        <v>600</v>
      </c>
      <c r="AA80" s="2">
        <v>385</v>
      </c>
      <c r="AB80" s="3">
        <v>600</v>
      </c>
    </row>
    <row r="81" spans="25:28" x14ac:dyDescent="0.25">
      <c r="Y81" s="1" t="s">
        <v>98</v>
      </c>
      <c r="Z81" s="2">
        <f>(Z79*(Z80^2))/6</f>
        <v>18000000</v>
      </c>
      <c r="AA81" s="2">
        <f t="shared" ref="AA81:AB81" si="34">(AA79*AA80^2)/6</f>
        <v>7411250</v>
      </c>
      <c r="AB81" s="3">
        <f t="shared" si="34"/>
        <v>9000000</v>
      </c>
    </row>
    <row r="82" spans="25:28" ht="15.75" thickBot="1" x14ac:dyDescent="0.3">
      <c r="Y82" s="4" t="s">
        <v>4</v>
      </c>
      <c r="Z82" s="5">
        <f>Z81*Z78/1000/1000</f>
        <v>55.210433796520746</v>
      </c>
      <c r="AA82" s="5">
        <f t="shared" ref="AA82:AB82" si="35">AA81*AA78/1000/1000</f>
        <v>22.732129304136915</v>
      </c>
      <c r="AB82" s="6">
        <f t="shared" si="35"/>
        <v>20.902332884154344</v>
      </c>
    </row>
  </sheetData>
  <mergeCells count="17">
    <mergeCell ref="AD42:AD45"/>
    <mergeCell ref="AC67:AI67"/>
    <mergeCell ref="Y74:AB74"/>
    <mergeCell ref="B7:B20"/>
    <mergeCell ref="Q7:Q20"/>
    <mergeCell ref="B25:B38"/>
    <mergeCell ref="Q25:Q38"/>
    <mergeCell ref="AB26:AD26"/>
    <mergeCell ref="AE26:AG26"/>
    <mergeCell ref="AH26:AJ26"/>
    <mergeCell ref="Y28:Y31"/>
    <mergeCell ref="Y32:Y35"/>
    <mergeCell ref="Y70:AB70"/>
    <mergeCell ref="Y52:AA52"/>
    <mergeCell ref="Y38:Y41"/>
    <mergeCell ref="Y42:Y45"/>
    <mergeCell ref="AD38:AD41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06EE-3CFD-4051-9C1B-06B065F9DDF1}">
  <dimension ref="A1"/>
  <sheetViews>
    <sheetView tabSelected="1" zoomScale="53" zoomScaleNormal="53" workbookViewId="0">
      <selection activeCell="AA63" sqref="AA6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Parameters to Vary</vt:lpstr>
      <vt:lpstr>Sensitivity check</vt:lpstr>
      <vt:lpstr>results_vf</vt:lpstr>
      <vt:lpstr>Figures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Dawson</dc:creator>
  <cp:lastModifiedBy>Max Dawson</cp:lastModifiedBy>
  <cp:lastPrinted>2022-11-29T01:41:54Z</cp:lastPrinted>
  <dcterms:created xsi:type="dcterms:W3CDTF">2022-11-17T01:12:22Z</dcterms:created>
  <dcterms:modified xsi:type="dcterms:W3CDTF">2023-02-01T04:58:18Z</dcterms:modified>
</cp:coreProperties>
</file>