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jdaqua\Python\Projects\HGOR\Code\data\"/>
    </mc:Choice>
  </mc:AlternateContent>
  <xr:revisionPtr revIDLastSave="0" documentId="13_ncr:1_{1E183946-CC33-418D-B3E1-B814105CE97A}" xr6:coauthVersionLast="47" xr6:coauthVersionMax="47" xr10:uidLastSave="{00000000-0000-0000-0000-000000000000}"/>
  <bookViews>
    <workbookView xWindow="34545" yWindow="900" windowWidth="17940" windowHeight="13275" xr2:uid="{00000000-000D-0000-FFFF-FFFF00000000}"/>
  </bookViews>
  <sheets>
    <sheet name="Data" sheetId="1" r:id="rId1"/>
    <sheet name="Sheet1" sheetId="2" r:id="rId2"/>
  </sheets>
  <definedNames>
    <definedName name="_xlnm._FilterDatabase" localSheetId="0" hidden="1">Data!$A$2:$O$156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6" i="1" l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9" i="2"/>
  <c r="C135" i="2"/>
  <c r="C128" i="2"/>
  <c r="E107" i="2"/>
  <c r="C107" i="2"/>
  <c r="E106" i="2"/>
  <c r="C106" i="2"/>
  <c r="E95" i="2"/>
  <c r="C95" i="2"/>
  <c r="E90" i="2"/>
  <c r="C90" i="2"/>
  <c r="E89" i="2"/>
  <c r="C89" i="2"/>
  <c r="E85" i="2"/>
  <c r="C85" i="2"/>
  <c r="E81" i="2"/>
  <c r="C81" i="2"/>
  <c r="E80" i="2"/>
  <c r="C80" i="2"/>
  <c r="E79" i="2"/>
  <c r="C79" i="2"/>
  <c r="E71" i="2"/>
  <c r="C71" i="2"/>
  <c r="E70" i="2"/>
  <c r="C70" i="2"/>
  <c r="E69" i="2"/>
  <c r="C69" i="2"/>
  <c r="E68" i="2"/>
  <c r="E67" i="2"/>
  <c r="E66" i="2"/>
  <c r="C66" i="2"/>
  <c r="E65" i="2"/>
  <c r="C65" i="2"/>
  <c r="E64" i="2"/>
  <c r="E63" i="2"/>
  <c r="C63" i="2"/>
  <c r="E60" i="2"/>
  <c r="C60" i="2"/>
  <c r="E57" i="2"/>
  <c r="C57" i="2"/>
  <c r="E53" i="2"/>
  <c r="C53" i="2"/>
  <c r="E33" i="2"/>
  <c r="C33" i="2"/>
  <c r="E31" i="2"/>
  <c r="C31" i="2"/>
  <c r="E15" i="2"/>
  <c r="C15" i="2"/>
  <c r="E12" i="2"/>
  <c r="C12" i="2"/>
  <c r="E10" i="2"/>
  <c r="C10" i="2"/>
  <c r="D129" i="1"/>
  <c r="D122" i="1"/>
  <c r="K27" i="1"/>
  <c r="F9" i="1" l="1"/>
  <c r="D9" i="1"/>
  <c r="F65" i="1" l="1"/>
  <c r="D65" i="1"/>
  <c r="F4" i="1"/>
  <c r="D4" i="1"/>
  <c r="F25" i="1"/>
  <c r="D25" i="1"/>
  <c r="F74" i="1" l="1"/>
  <c r="F62" i="1"/>
  <c r="F61" i="1"/>
  <c r="F58" i="1"/>
  <c r="F27" i="1"/>
  <c r="D27" i="1"/>
  <c r="F83" i="1"/>
  <c r="D83" i="1"/>
  <c r="F84" i="1"/>
  <c r="D84" i="1"/>
  <c r="F79" i="1"/>
  <c r="D79" i="1"/>
  <c r="F75" i="1"/>
  <c r="D75" i="1"/>
  <c r="F73" i="1"/>
  <c r="D73" i="1"/>
  <c r="F64" i="1"/>
  <c r="D64" i="1"/>
  <c r="F59" i="1"/>
  <c r="D59" i="1"/>
  <c r="F6" i="1"/>
  <c r="D6" i="1"/>
  <c r="F54" i="1"/>
  <c r="D54" i="1"/>
  <c r="F89" i="1"/>
  <c r="D89" i="1"/>
  <c r="F51" i="1"/>
  <c r="D51" i="1"/>
  <c r="F47" i="1"/>
  <c r="D47" i="1"/>
  <c r="F63" i="1"/>
  <c r="D63" i="1"/>
  <c r="F60" i="1"/>
  <c r="D60" i="1"/>
  <c r="F57" i="1"/>
  <c r="D57" i="1"/>
  <c r="D101" i="1"/>
  <c r="F101" i="1"/>
  <c r="F100" i="1" l="1"/>
  <c r="D100" i="1"/>
  <c r="D74" i="1" l="1"/>
  <c r="K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Wanat, Edward C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I2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viscosity calculations based on composition reported</t>
        </r>
      </text>
    </comment>
    <comment ref="I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G4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Bo for condenstate at Psat</t>
        </r>
      </text>
    </comment>
    <comment ref="I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5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5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6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6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65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H6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6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only CCE</t>
        </r>
      </text>
    </comment>
    <comment ref="L6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M6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CCE Measurement Only
</t>
        </r>
      </text>
    </comment>
    <comment ref="I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on composition reported</t>
        </r>
      </text>
    </comment>
    <comment ref="I7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7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8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G9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G92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M92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Value not provided by lab
</t>
        </r>
      </text>
    </comment>
    <comment ref="I10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  <comment ref="I10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Wanat, Edward C:</t>
        </r>
        <r>
          <rPr>
            <sz val="9"/>
            <color indexed="81"/>
            <rFont val="Tahoma"/>
            <family val="2"/>
          </rPr>
          <t xml:space="preserve">
No viscosity measurements made, no calculated viscosity based off composition reported</t>
        </r>
      </text>
    </comment>
  </commentList>
</comments>
</file>

<file path=xl/sharedStrings.xml><?xml version="1.0" encoding="utf-8"?>
<sst xmlns="http://schemas.openxmlformats.org/spreadsheetml/2006/main" count="539" uniqueCount="37">
  <si>
    <t>Oil API at 60 F (MSST)</t>
  </si>
  <si>
    <t>Sat P (Pb/ Pdew) , psia</t>
  </si>
  <si>
    <t>Res P(psia)</t>
  </si>
  <si>
    <t xml:space="preserve">  Cum. Gas Specific Gravity (calculate from msst)</t>
  </si>
  <si>
    <t>Reservoir Temperature (F)</t>
  </si>
  <si>
    <t>N/A</t>
  </si>
  <si>
    <t>Oil viscosity/Gas viscosity at Psat, cp</t>
  </si>
  <si>
    <t>Bg at Psat rb/scf</t>
  </si>
  <si>
    <t>Bg at Pres rb/scf</t>
  </si>
  <si>
    <t xml:space="preserve">Bo at Pres (HC Liquid Vol / STB HC Liquid Vol) </t>
  </si>
  <si>
    <t xml:space="preserve">Bo at Psat (HC Liquid Vol / STB HC Liquid Vol) </t>
  </si>
  <si>
    <t>Compressibility 1/psi at Psat</t>
  </si>
  <si>
    <t>BAK</t>
  </si>
  <si>
    <t>MID</t>
  </si>
  <si>
    <t>DEL</t>
  </si>
  <si>
    <t>basin</t>
  </si>
  <si>
    <t>Rs</t>
  </si>
  <si>
    <t>gamma</t>
  </si>
  <si>
    <t>API</t>
  </si>
  <si>
    <t>Bo</t>
  </si>
  <si>
    <t>Bg</t>
  </si>
  <si>
    <t>p</t>
  </si>
  <si>
    <t>c_o_psat</t>
  </si>
  <si>
    <t>p_sat</t>
  </si>
  <si>
    <t>Rs (scf/stb) at saturation pressure</t>
  </si>
  <si>
    <t>temperature</t>
  </si>
  <si>
    <t>C1</t>
  </si>
  <si>
    <t>C2</t>
  </si>
  <si>
    <t>C3</t>
  </si>
  <si>
    <t>RS</t>
  </si>
  <si>
    <t>Reservoir conditions</t>
  </si>
  <si>
    <t>gamma_s</t>
  </si>
  <si>
    <t>visc_o</t>
  </si>
  <si>
    <t>p_res</t>
  </si>
  <si>
    <t>Bo_pres</t>
  </si>
  <si>
    <t>Bg_pres</t>
  </si>
  <si>
    <t>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</si>
</sst>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b/>
      <sz val="11"/>
      <color theme="1"/>
      <name val="EMprint"/>
      <family val="2"/>
    </font>
    <font>
      <sz val="11"/>
      <name val="EMprint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2" xfId="0" applyFont="1" applyFill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2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horizontal="center" vertical="center" wrapText="1"/>
    </xf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2" fillId="3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/>
    <xf numFmtId="2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5" fontId="1" fillId="4" borderId="2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1" fontId="1" fillId="0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1" fontId="1" fillId="4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3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6"/>
  <sheetViews>
    <sheetView tabSelected="1" zoomScaleNormal="100" workbookViewId="0">
      <pane xSplit="3" ySplit="1" topLeftCell="D2" activePane="bottomRight" state="frozen"/>
      <selection pane="topRight" activeCell="G1" sqref="G1"/>
      <selection pane="bottomLeft" activeCell="A3" sqref="A3"/>
      <selection pane="bottomRight" activeCell="F9" sqref="F9"/>
    </sheetView>
  </sheetViews>
  <sheetFormatPr defaultColWidth="9" defaultRowHeight="15.75" x14ac:dyDescent="0.3"/>
  <cols>
    <col min="1" max="1" width="11.140625" style="1" customWidth="1"/>
    <col min="2" max="2" width="29.140625" style="1" customWidth="1"/>
    <col min="3" max="4" width="34.42578125" style="1" customWidth="1"/>
    <col min="5" max="5" width="24.42578125" style="14" customWidth="1"/>
    <col min="6" max="6" width="23.5703125" style="1" customWidth="1"/>
    <col min="7" max="7" width="50.85546875" style="1" customWidth="1"/>
    <col min="8" max="8" width="25" style="1" customWidth="1"/>
    <col min="9" max="10" width="31.5703125" style="1" customWidth="1"/>
    <col min="11" max="11" width="29.28515625" style="1" customWidth="1"/>
    <col min="12" max="12" width="21.140625" style="1" customWidth="1"/>
    <col min="13" max="13" width="45.5703125" style="1" customWidth="1"/>
    <col min="14" max="14" width="23.5703125" style="1" customWidth="1"/>
    <col min="15" max="15" width="15.28515625" style="1" customWidth="1"/>
    <col min="16" max="16384" width="9" style="1"/>
  </cols>
  <sheetData>
    <row r="1" spans="1:15" s="9" customFormat="1" ht="31.5" x14ac:dyDescent="0.3">
      <c r="B1" s="40" t="s">
        <v>1</v>
      </c>
      <c r="C1" s="40" t="s">
        <v>4</v>
      </c>
      <c r="D1" s="40" t="s">
        <v>3</v>
      </c>
      <c r="E1" s="39" t="s">
        <v>0</v>
      </c>
      <c r="F1" s="41" t="s">
        <v>24</v>
      </c>
      <c r="G1" s="10" t="s">
        <v>10</v>
      </c>
      <c r="H1" s="10" t="s">
        <v>7</v>
      </c>
      <c r="I1" s="10" t="s">
        <v>6</v>
      </c>
      <c r="J1" s="10"/>
      <c r="K1" s="10" t="s">
        <v>11</v>
      </c>
      <c r="L1" s="10" t="s">
        <v>2</v>
      </c>
      <c r="M1" s="10" t="s">
        <v>9</v>
      </c>
      <c r="N1" s="10" t="s">
        <v>8</v>
      </c>
    </row>
    <row r="2" spans="1:15" s="9" customFormat="1" ht="31.5" x14ac:dyDescent="0.3">
      <c r="A2" s="10" t="s">
        <v>15</v>
      </c>
      <c r="B2" s="10" t="s">
        <v>21</v>
      </c>
      <c r="C2" s="10" t="s">
        <v>25</v>
      </c>
      <c r="D2" s="10" t="s">
        <v>31</v>
      </c>
      <c r="E2" s="13" t="s">
        <v>18</v>
      </c>
      <c r="F2" s="10" t="s">
        <v>36</v>
      </c>
      <c r="G2" s="10" t="s">
        <v>19</v>
      </c>
      <c r="H2" s="10" t="s">
        <v>20</v>
      </c>
      <c r="I2" s="10" t="s">
        <v>32</v>
      </c>
      <c r="J2" s="10"/>
      <c r="K2" s="10" t="s">
        <v>22</v>
      </c>
      <c r="L2" s="10" t="s">
        <v>33</v>
      </c>
      <c r="M2" s="10" t="s">
        <v>34</v>
      </c>
      <c r="N2" s="10" t="s">
        <v>35</v>
      </c>
      <c r="O2" s="10" t="s">
        <v>30</v>
      </c>
    </row>
    <row r="3" spans="1:15" s="2" customFormat="1" x14ac:dyDescent="0.3">
      <c r="A3" s="2" t="s">
        <v>14</v>
      </c>
      <c r="B3" s="12">
        <v>3501</v>
      </c>
      <c r="C3" s="28">
        <v>174</v>
      </c>
      <c r="D3" s="17">
        <v>0.83574909006792664</v>
      </c>
      <c r="E3" s="11">
        <v>46.658961138443573</v>
      </c>
      <c r="F3" s="18">
        <v>1667.7686823505701</v>
      </c>
      <c r="G3" s="29">
        <v>1.9055786070768399</v>
      </c>
      <c r="H3" s="11" t="s">
        <v>5</v>
      </c>
      <c r="I3" s="30">
        <v>0.1800575556996</v>
      </c>
      <c r="J3" s="30"/>
      <c r="K3" s="4">
        <v>2.5861872746664799E-5</v>
      </c>
      <c r="L3" s="12">
        <v>8227</v>
      </c>
      <c r="M3" s="29">
        <v>1.75703537278207</v>
      </c>
      <c r="N3" s="11" t="s">
        <v>5</v>
      </c>
      <c r="O3" s="2" t="str">
        <f>IF(L3&gt;B3,"'Undersaturated","Saturated")</f>
        <v>'Undersaturated</v>
      </c>
    </row>
    <row r="4" spans="1:15" s="2" customFormat="1" x14ac:dyDescent="0.3">
      <c r="A4" s="2" t="s">
        <v>14</v>
      </c>
      <c r="B4" s="12">
        <v>6415</v>
      </c>
      <c r="C4" s="28">
        <v>159</v>
      </c>
      <c r="D4" s="17">
        <f>(3011*1.0461*0.7329+24*1.0283+15*1.3503)/(3011*1.0461+39)</f>
        <v>0.73802749736413975</v>
      </c>
      <c r="E4" s="11">
        <v>42.1</v>
      </c>
      <c r="F4" s="18">
        <f>(3011*1.0461+39)</f>
        <v>3188.8071</v>
      </c>
      <c r="G4" s="29" t="s">
        <v>5</v>
      </c>
      <c r="H4" s="31" t="s">
        <v>5</v>
      </c>
      <c r="I4" s="29" t="s">
        <v>5</v>
      </c>
      <c r="J4" s="29"/>
      <c r="K4" s="4">
        <v>2.9828500000000001E-5</v>
      </c>
      <c r="L4" s="12">
        <v>5439</v>
      </c>
      <c r="M4" s="29" t="s">
        <v>5</v>
      </c>
      <c r="N4" s="11" t="s">
        <v>5</v>
      </c>
      <c r="O4" s="2" t="str">
        <f t="shared" ref="O4:O67" si="0">IF(L4&gt;B4,"'Undersaturated","Saturated")</f>
        <v>Saturated</v>
      </c>
    </row>
    <row r="5" spans="1:15" x14ac:dyDescent="0.3">
      <c r="A5" s="2" t="s">
        <v>14</v>
      </c>
      <c r="B5" s="12">
        <v>3265</v>
      </c>
      <c r="C5" s="28">
        <v>157</v>
      </c>
      <c r="D5" s="17">
        <v>0.8500077412459377</v>
      </c>
      <c r="E5" s="11">
        <v>44.23</v>
      </c>
      <c r="F5" s="18">
        <v>1133.4462691607539</v>
      </c>
      <c r="G5" s="29">
        <v>1.5995999999999999</v>
      </c>
      <c r="H5" s="11" t="s">
        <v>5</v>
      </c>
      <c r="I5" s="30">
        <v>0.30599999999999999</v>
      </c>
      <c r="J5" s="30"/>
      <c r="K5" s="4">
        <v>1.78112E-5</v>
      </c>
      <c r="L5" s="12">
        <v>5690</v>
      </c>
      <c r="M5" s="29">
        <v>1.5450999999999999</v>
      </c>
      <c r="N5" s="11" t="s">
        <v>5</v>
      </c>
      <c r="O5" s="2" t="str">
        <f t="shared" si="0"/>
        <v>'Undersaturated</v>
      </c>
    </row>
    <row r="6" spans="1:15" s="2" customFormat="1" x14ac:dyDescent="0.3">
      <c r="A6" s="2" t="s">
        <v>14</v>
      </c>
      <c r="B6" s="12">
        <v>5575</v>
      </c>
      <c r="C6" s="28">
        <v>190</v>
      </c>
      <c r="D6" s="17">
        <f>(7899*1.0611*0.742+23*0.9619+19*1.4441)/(7899*1.0611+41)</f>
        <v>0.74427240214750523</v>
      </c>
      <c r="E6" s="11">
        <v>51.48</v>
      </c>
      <c r="F6" s="18">
        <f>(7899*1.0611+41)</f>
        <v>8422.6288999999997</v>
      </c>
      <c r="G6" s="29" t="s">
        <v>5</v>
      </c>
      <c r="H6" s="32">
        <v>6.4061909429272449E-4</v>
      </c>
      <c r="I6" s="29" t="s">
        <v>5</v>
      </c>
      <c r="J6" s="29"/>
      <c r="K6" s="21">
        <v>6.183155080213914E-5</v>
      </c>
      <c r="L6" s="12">
        <v>9061</v>
      </c>
      <c r="M6" s="29" t="s">
        <v>5</v>
      </c>
      <c r="N6" s="32">
        <v>5.5599417318106506E-4</v>
      </c>
      <c r="O6" s="2" t="str">
        <f t="shared" si="0"/>
        <v>'Undersaturated</v>
      </c>
    </row>
    <row r="7" spans="1:15" s="2" customFormat="1" x14ac:dyDescent="0.3">
      <c r="A7" s="2" t="s">
        <v>14</v>
      </c>
      <c r="B7" s="12">
        <v>3415</v>
      </c>
      <c r="C7" s="28">
        <v>153</v>
      </c>
      <c r="D7" s="17">
        <v>0.84958189781021909</v>
      </c>
      <c r="E7" s="11">
        <v>45.07</v>
      </c>
      <c r="F7" s="18">
        <v>1371</v>
      </c>
      <c r="G7" s="29">
        <v>1.7246999999999999</v>
      </c>
      <c r="H7" s="11" t="s">
        <v>5</v>
      </c>
      <c r="I7" s="30">
        <v>0.254</v>
      </c>
      <c r="J7" s="30"/>
      <c r="K7" s="4">
        <v>2.0641000000000001E-5</v>
      </c>
      <c r="L7" s="12">
        <v>5605</v>
      </c>
      <c r="M7" s="29">
        <v>1.6646000000000001</v>
      </c>
      <c r="N7" s="11" t="s">
        <v>5</v>
      </c>
      <c r="O7" s="2" t="str">
        <f t="shared" si="0"/>
        <v>'Undersaturated</v>
      </c>
    </row>
    <row r="8" spans="1:15" s="2" customFormat="1" x14ac:dyDescent="0.3">
      <c r="A8" s="2" t="s">
        <v>14</v>
      </c>
      <c r="B8" s="12">
        <v>2965</v>
      </c>
      <c r="C8" s="28">
        <v>156</v>
      </c>
      <c r="D8" s="17">
        <v>0.84233779366700712</v>
      </c>
      <c r="E8" s="11">
        <v>41.5</v>
      </c>
      <c r="F8" s="18">
        <v>979</v>
      </c>
      <c r="G8" s="29">
        <v>1.5277000000000001</v>
      </c>
      <c r="H8" s="31" t="s">
        <v>5</v>
      </c>
      <c r="I8" s="30">
        <v>0.38600000000000001</v>
      </c>
      <c r="J8" s="30"/>
      <c r="K8" s="4">
        <v>1.84603E-5</v>
      </c>
      <c r="L8" s="12">
        <v>5578</v>
      </c>
      <c r="M8" s="29">
        <v>1.4709000000000001</v>
      </c>
      <c r="N8" s="11" t="s">
        <v>5</v>
      </c>
      <c r="O8" s="2" t="str">
        <f t="shared" si="0"/>
        <v>'Undersaturated</v>
      </c>
    </row>
    <row r="9" spans="1:15" s="2" customFormat="1" x14ac:dyDescent="0.3">
      <c r="A9" s="2" t="s">
        <v>14</v>
      </c>
      <c r="B9" s="12">
        <v>4215</v>
      </c>
      <c r="C9" s="28">
        <v>135</v>
      </c>
      <c r="D9" s="17">
        <f>(1607*1.0505*0.7748+19*0.8601+40*1.4479)/(1607*1.0505+60)</f>
        <v>0.79068527552071366</v>
      </c>
      <c r="E9" s="11">
        <v>43.13</v>
      </c>
      <c r="F9" s="18">
        <f>(1607*1.0505+60)</f>
        <v>1748.1534999999999</v>
      </c>
      <c r="G9" s="29">
        <v>1.3649</v>
      </c>
      <c r="H9" s="31" t="s">
        <v>5</v>
      </c>
      <c r="I9" s="30" t="s">
        <v>5</v>
      </c>
      <c r="J9" s="30"/>
      <c r="K9" s="4">
        <v>2.21206E-5</v>
      </c>
      <c r="L9" s="12">
        <v>4087</v>
      </c>
      <c r="M9" s="29">
        <v>1.3649</v>
      </c>
      <c r="N9" s="11" t="s">
        <v>5</v>
      </c>
      <c r="O9" s="2" t="str">
        <f t="shared" si="0"/>
        <v>Saturated</v>
      </c>
    </row>
    <row r="10" spans="1:15" s="2" customFormat="1" x14ac:dyDescent="0.3">
      <c r="A10" s="2" t="s">
        <v>14</v>
      </c>
      <c r="B10" s="12">
        <v>2915.0250000000001</v>
      </c>
      <c r="C10" s="28">
        <v>132</v>
      </c>
      <c r="D10" s="17">
        <v>0.81936949846468798</v>
      </c>
      <c r="E10" s="11">
        <v>39.19</v>
      </c>
      <c r="F10" s="18">
        <v>977</v>
      </c>
      <c r="G10" s="29">
        <v>1.4986911732675505</v>
      </c>
      <c r="H10" s="31" t="s">
        <v>5</v>
      </c>
      <c r="I10" s="30">
        <v>0.44900000000000001</v>
      </c>
      <c r="J10" s="30"/>
      <c r="K10" s="4">
        <v>1.54185158706069E-5</v>
      </c>
      <c r="L10" s="12">
        <v>3962.0250000000001</v>
      </c>
      <c r="M10" s="29">
        <v>1.4773948236521384</v>
      </c>
      <c r="N10" s="11" t="s">
        <v>5</v>
      </c>
      <c r="O10" s="2" t="str">
        <f t="shared" si="0"/>
        <v>'Undersaturated</v>
      </c>
    </row>
    <row r="11" spans="1:15" s="6" customFormat="1" x14ac:dyDescent="0.3">
      <c r="A11" s="2" t="s">
        <v>14</v>
      </c>
      <c r="B11" s="12">
        <v>325.02499999999998</v>
      </c>
      <c r="C11" s="28">
        <v>90</v>
      </c>
      <c r="D11" s="17">
        <v>1.2951339285714287</v>
      </c>
      <c r="E11" s="11">
        <v>42.1</v>
      </c>
      <c r="F11" s="18">
        <v>224</v>
      </c>
      <c r="G11" s="29">
        <v>1.1680999999999999</v>
      </c>
      <c r="H11" s="11" t="s">
        <v>5</v>
      </c>
      <c r="I11" s="30">
        <v>1.1719999999999999</v>
      </c>
      <c r="J11" s="30"/>
      <c r="K11" s="4">
        <v>1.03558E-5</v>
      </c>
      <c r="L11" s="12">
        <v>1297.0250000000001</v>
      </c>
      <c r="M11" s="29">
        <v>1.156944645</v>
      </c>
      <c r="N11" s="11" t="s">
        <v>5</v>
      </c>
      <c r="O11" s="2" t="str">
        <f t="shared" si="0"/>
        <v>'Undersaturated</v>
      </c>
    </row>
    <row r="12" spans="1:15" s="2" customFormat="1" x14ac:dyDescent="0.3">
      <c r="A12" s="2" t="s">
        <v>14</v>
      </c>
      <c r="B12" s="12">
        <v>2515</v>
      </c>
      <c r="C12" s="28">
        <v>155</v>
      </c>
      <c r="D12" s="17">
        <v>0.86946729910714293</v>
      </c>
      <c r="E12" s="11">
        <v>42.65</v>
      </c>
      <c r="F12" s="18">
        <v>895</v>
      </c>
      <c r="G12" s="29">
        <v>1.4924999999999999</v>
      </c>
      <c r="H12" s="11" t="s">
        <v>5</v>
      </c>
      <c r="I12" s="30">
        <v>0.26800000000000002</v>
      </c>
      <c r="J12" s="30"/>
      <c r="K12" s="4">
        <v>1.72274E-5</v>
      </c>
      <c r="L12" s="12">
        <v>4278</v>
      </c>
      <c r="M12" s="29">
        <v>1.4563999999999999</v>
      </c>
      <c r="N12" s="11" t="s">
        <v>5</v>
      </c>
      <c r="O12" s="2" t="str">
        <f t="shared" si="0"/>
        <v>'Undersaturated</v>
      </c>
    </row>
    <row r="13" spans="1:15" s="2" customFormat="1" ht="16.5" customHeight="1" x14ac:dyDescent="0.3">
      <c r="A13" s="2" t="s">
        <v>14</v>
      </c>
      <c r="B13" s="12">
        <v>3162</v>
      </c>
      <c r="C13" s="28">
        <v>157</v>
      </c>
      <c r="D13" s="17">
        <v>0.85150169491525418</v>
      </c>
      <c r="E13" s="11">
        <v>42</v>
      </c>
      <c r="F13" s="18">
        <v>1179</v>
      </c>
      <c r="G13" s="29">
        <v>1.6050995510203501</v>
      </c>
      <c r="H13" s="31" t="s">
        <v>5</v>
      </c>
      <c r="I13" s="30">
        <v>0.29599999999999999</v>
      </c>
      <c r="J13" s="30"/>
      <c r="K13" s="21">
        <v>1.794705998628507E-5</v>
      </c>
      <c r="L13" s="12">
        <v>4698</v>
      </c>
      <c r="M13" s="29">
        <v>1.569312227992639</v>
      </c>
      <c r="N13" s="11" t="s">
        <v>5</v>
      </c>
      <c r="O13" s="2" t="str">
        <f t="shared" si="0"/>
        <v>'Undersaturated</v>
      </c>
    </row>
    <row r="14" spans="1:15" s="2" customFormat="1" x14ac:dyDescent="0.3">
      <c r="A14" s="2" t="s">
        <v>14</v>
      </c>
      <c r="B14" s="12">
        <v>2915</v>
      </c>
      <c r="C14" s="28">
        <v>157</v>
      </c>
      <c r="D14" s="17">
        <v>0.8712595864661653</v>
      </c>
      <c r="E14" s="11">
        <v>42.8</v>
      </c>
      <c r="F14" s="18">
        <v>1064</v>
      </c>
      <c r="G14" s="29">
        <v>1.5653999999999999</v>
      </c>
      <c r="H14" s="11" t="s">
        <v>5</v>
      </c>
      <c r="I14" s="30">
        <v>0.309</v>
      </c>
      <c r="J14" s="30"/>
      <c r="K14" s="4">
        <v>1.7852200000000002E-5</v>
      </c>
      <c r="L14" s="12">
        <v>6165</v>
      </c>
      <c r="M14" s="29">
        <v>1.4995000000000001</v>
      </c>
      <c r="N14" s="11" t="s">
        <v>5</v>
      </c>
      <c r="O14" s="2" t="str">
        <f t="shared" si="0"/>
        <v>'Undersaturated</v>
      </c>
    </row>
    <row r="15" spans="1:15" s="2" customFormat="1" x14ac:dyDescent="0.3">
      <c r="A15" s="2" t="s">
        <v>14</v>
      </c>
      <c r="B15" s="12">
        <v>3981</v>
      </c>
      <c r="C15" s="28">
        <v>144</v>
      </c>
      <c r="D15" s="17">
        <v>0.77204269293924499</v>
      </c>
      <c r="E15" s="11">
        <v>45.6</v>
      </c>
      <c r="F15" s="18">
        <v>1827</v>
      </c>
      <c r="G15" s="29">
        <v>1.88574002017762</v>
      </c>
      <c r="H15" s="11" t="s">
        <v>5</v>
      </c>
      <c r="I15" s="30">
        <v>0.184</v>
      </c>
      <c r="J15" s="30"/>
      <c r="K15" s="21">
        <v>3.0246998091170203E-5</v>
      </c>
      <c r="L15" s="12">
        <v>4554</v>
      </c>
      <c r="M15" s="29">
        <v>1.86044577651448</v>
      </c>
      <c r="N15" s="11" t="s">
        <v>5</v>
      </c>
      <c r="O15" s="2" t="str">
        <f t="shared" si="0"/>
        <v>'Undersaturated</v>
      </c>
    </row>
    <row r="16" spans="1:15" s="2" customFormat="1" x14ac:dyDescent="0.3">
      <c r="A16" s="2" t="s">
        <v>14</v>
      </c>
      <c r="B16" s="12">
        <v>3765.0250000000001</v>
      </c>
      <c r="C16" s="28">
        <v>164</v>
      </c>
      <c r="D16" s="17">
        <v>0.79283404776485</v>
      </c>
      <c r="E16" s="11">
        <v>47.66</v>
      </c>
      <c r="F16" s="18">
        <v>1633</v>
      </c>
      <c r="G16" s="29">
        <v>1.905</v>
      </c>
      <c r="H16" s="11" t="s">
        <v>5</v>
      </c>
      <c r="I16" s="30">
        <v>0.20899999999999999</v>
      </c>
      <c r="J16" s="30"/>
      <c r="K16" s="4">
        <v>2.86722E-5</v>
      </c>
      <c r="L16" s="12">
        <v>7671.0249999999996</v>
      </c>
      <c r="M16" s="29">
        <v>1.7716207204278491</v>
      </c>
      <c r="N16" s="11" t="s">
        <v>5</v>
      </c>
      <c r="O16" s="2" t="str">
        <f t="shared" si="0"/>
        <v>'Undersaturated</v>
      </c>
    </row>
    <row r="17" spans="1:15" s="2" customFormat="1" x14ac:dyDescent="0.3">
      <c r="A17" s="2" t="s">
        <v>14</v>
      </c>
      <c r="B17" s="12">
        <v>4115</v>
      </c>
      <c r="C17" s="28">
        <v>165</v>
      </c>
      <c r="D17" s="17">
        <v>0.80648070107880954</v>
      </c>
      <c r="E17" s="11">
        <v>44.5</v>
      </c>
      <c r="F17" s="18">
        <v>1921.8963562753036</v>
      </c>
      <c r="G17" s="29">
        <v>2.032</v>
      </c>
      <c r="H17" s="31" t="s">
        <v>5</v>
      </c>
      <c r="I17" s="30">
        <v>0.13337967864028299</v>
      </c>
      <c r="J17" s="30"/>
      <c r="K17" s="4">
        <v>2.6290000000000001E-5</v>
      </c>
      <c r="L17" s="12">
        <v>6180</v>
      </c>
      <c r="M17" s="29">
        <v>1.944</v>
      </c>
      <c r="N17" s="11" t="s">
        <v>5</v>
      </c>
      <c r="O17" s="2" t="str">
        <f t="shared" si="0"/>
        <v>'Undersaturated</v>
      </c>
    </row>
    <row r="18" spans="1:15" s="2" customFormat="1" x14ac:dyDescent="0.3">
      <c r="A18" s="2" t="s">
        <v>14</v>
      </c>
      <c r="B18" s="12">
        <v>2115</v>
      </c>
      <c r="C18" s="28">
        <v>142</v>
      </c>
      <c r="D18" s="17">
        <v>0.92616719858156027</v>
      </c>
      <c r="E18" s="11">
        <v>38.86</v>
      </c>
      <c r="F18" s="18">
        <v>564</v>
      </c>
      <c r="G18" s="29">
        <v>1.3082</v>
      </c>
      <c r="H18" s="31" t="s">
        <v>5</v>
      </c>
      <c r="I18" s="30">
        <v>0.59299999999999997</v>
      </c>
      <c r="J18" s="30"/>
      <c r="K18" s="4">
        <v>1.2208800000000001E-5</v>
      </c>
      <c r="L18" s="12">
        <v>5968</v>
      </c>
      <c r="M18" s="29">
        <v>1.2613000000000001</v>
      </c>
      <c r="N18" s="11" t="s">
        <v>5</v>
      </c>
      <c r="O18" s="2" t="str">
        <f t="shared" si="0"/>
        <v>'Undersaturated</v>
      </c>
    </row>
    <row r="19" spans="1:15" s="2" customFormat="1" x14ac:dyDescent="0.3">
      <c r="A19" s="2" t="s">
        <v>14</v>
      </c>
      <c r="B19" s="12">
        <v>3365</v>
      </c>
      <c r="C19" s="28">
        <v>170</v>
      </c>
      <c r="D19" s="17">
        <v>0.88517026618550887</v>
      </c>
      <c r="E19" s="11">
        <v>41.82</v>
      </c>
      <c r="F19" s="18">
        <v>1226</v>
      </c>
      <c r="G19" s="29">
        <v>1.6618999999999999</v>
      </c>
      <c r="H19" s="11" t="s">
        <v>5</v>
      </c>
      <c r="I19" s="30">
        <v>0.25700000000000001</v>
      </c>
      <c r="J19" s="30"/>
      <c r="K19" s="4">
        <v>1.8875599999999999E-5</v>
      </c>
      <c r="L19" s="12">
        <v>6515</v>
      </c>
      <c r="M19" s="29">
        <v>1.5886</v>
      </c>
      <c r="N19" s="11" t="s">
        <v>5</v>
      </c>
      <c r="O19" s="2" t="str">
        <f t="shared" si="0"/>
        <v>'Undersaturated</v>
      </c>
    </row>
    <row r="20" spans="1:15" s="2" customFormat="1" x14ac:dyDescent="0.3">
      <c r="A20" s="2" t="s">
        <v>14</v>
      </c>
      <c r="B20" s="12">
        <v>2865</v>
      </c>
      <c r="C20" s="28">
        <v>138</v>
      </c>
      <c r="D20" s="17">
        <v>0.8846938679245282</v>
      </c>
      <c r="E20" s="11">
        <v>39.520000000000003</v>
      </c>
      <c r="F20" s="18">
        <v>848</v>
      </c>
      <c r="G20" s="29">
        <v>1.4198</v>
      </c>
      <c r="H20" s="11" t="s">
        <v>5</v>
      </c>
      <c r="I20" s="30">
        <v>0.45600000000000002</v>
      </c>
      <c r="J20" s="30"/>
      <c r="K20" s="4">
        <v>1.3568600000000001E-5</v>
      </c>
      <c r="L20" s="12">
        <v>5612</v>
      </c>
      <c r="M20" s="29">
        <v>1.3776999999999999</v>
      </c>
      <c r="N20" s="11" t="s">
        <v>5</v>
      </c>
      <c r="O20" s="2" t="str">
        <f t="shared" si="0"/>
        <v>'Undersaturated</v>
      </c>
    </row>
    <row r="21" spans="1:15" s="2" customFormat="1" x14ac:dyDescent="0.3">
      <c r="A21" s="2" t="s">
        <v>14</v>
      </c>
      <c r="B21" s="12">
        <v>2835</v>
      </c>
      <c r="C21" s="28">
        <v>149</v>
      </c>
      <c r="D21" s="17">
        <v>0.89454904761904763</v>
      </c>
      <c r="E21" s="11">
        <v>39.229999999999997</v>
      </c>
      <c r="F21" s="18">
        <v>840</v>
      </c>
      <c r="G21" s="29">
        <v>1.4476</v>
      </c>
      <c r="H21" s="11" t="s">
        <v>5</v>
      </c>
      <c r="I21" s="30">
        <v>0.38700000000000001</v>
      </c>
      <c r="J21" s="30"/>
      <c r="K21" s="4">
        <v>1.46948E-5</v>
      </c>
      <c r="L21" s="12">
        <v>6021</v>
      </c>
      <c r="M21" s="29">
        <v>1.3939999999999999</v>
      </c>
      <c r="N21" s="11" t="s">
        <v>5</v>
      </c>
      <c r="O21" s="2" t="str">
        <f t="shared" si="0"/>
        <v>'Undersaturated</v>
      </c>
    </row>
    <row r="22" spans="1:15" s="2" customFormat="1" x14ac:dyDescent="0.3">
      <c r="A22" s="2" t="s">
        <v>14</v>
      </c>
      <c r="B22" s="12">
        <v>2615</v>
      </c>
      <c r="C22" s="28">
        <v>156</v>
      </c>
      <c r="D22" s="17">
        <v>0.89798317631224767</v>
      </c>
      <c r="E22" s="11">
        <v>40.68</v>
      </c>
      <c r="F22" s="18">
        <v>743</v>
      </c>
      <c r="G22" s="29">
        <v>1.3936999999999999</v>
      </c>
      <c r="H22" s="11" t="s">
        <v>5</v>
      </c>
      <c r="I22" s="30">
        <v>0.38100000000000001</v>
      </c>
      <c r="J22" s="30"/>
      <c r="K22" s="4">
        <v>1.37521E-5</v>
      </c>
      <c r="L22" s="12">
        <v>6575</v>
      </c>
      <c r="M22" s="29">
        <v>1.3373999999999999</v>
      </c>
      <c r="N22" s="11" t="s">
        <v>5</v>
      </c>
      <c r="O22" s="2" t="str">
        <f t="shared" si="0"/>
        <v>'Undersaturated</v>
      </c>
    </row>
    <row r="23" spans="1:15" s="2" customFormat="1" x14ac:dyDescent="0.3">
      <c r="A23" s="2" t="s">
        <v>14</v>
      </c>
      <c r="B23" s="12">
        <v>2965</v>
      </c>
      <c r="C23" s="28">
        <v>164</v>
      </c>
      <c r="D23" s="17">
        <v>0.86339910857758939</v>
      </c>
      <c r="E23" s="11">
        <v>40.47</v>
      </c>
      <c r="F23" s="18">
        <v>975</v>
      </c>
      <c r="G23" s="29">
        <v>1.5153000000000001</v>
      </c>
      <c r="H23" s="11" t="s">
        <v>5</v>
      </c>
      <c r="I23" s="30">
        <v>0.36799999999999999</v>
      </c>
      <c r="J23" s="30"/>
      <c r="K23" s="4">
        <v>1.6968699999999999E-5</v>
      </c>
      <c r="L23" s="12">
        <v>8323</v>
      </c>
      <c r="M23" s="29">
        <v>1.4247000000000001</v>
      </c>
      <c r="N23" s="11" t="s">
        <v>5</v>
      </c>
      <c r="O23" s="2" t="str">
        <f t="shared" si="0"/>
        <v>'Undersaturated</v>
      </c>
    </row>
    <row r="24" spans="1:15" s="2" customFormat="1" x14ac:dyDescent="0.3">
      <c r="A24" s="2" t="s">
        <v>14</v>
      </c>
      <c r="B24" s="12">
        <v>4280</v>
      </c>
      <c r="C24" s="28">
        <v>170</v>
      </c>
      <c r="D24" s="17">
        <v>0.78740556732153377</v>
      </c>
      <c r="E24" s="11">
        <v>46.5</v>
      </c>
      <c r="F24" s="18">
        <v>2124</v>
      </c>
      <c r="G24" s="29">
        <v>2.1372361680955811</v>
      </c>
      <c r="H24" s="11" t="s">
        <v>5</v>
      </c>
      <c r="I24" s="30">
        <v>0.16700000000000001</v>
      </c>
      <c r="J24" s="30"/>
      <c r="K24" s="21">
        <v>3.7546883008720921E-5</v>
      </c>
      <c r="L24" s="12">
        <v>8000</v>
      </c>
      <c r="M24" s="29">
        <v>1.9788422467159459</v>
      </c>
      <c r="N24" s="11" t="s">
        <v>5</v>
      </c>
      <c r="O24" s="2" t="str">
        <f t="shared" si="0"/>
        <v>'Undersaturated</v>
      </c>
    </row>
    <row r="25" spans="1:15" s="2" customFormat="1" x14ac:dyDescent="0.3">
      <c r="A25" s="2" t="s">
        <v>14</v>
      </c>
      <c r="B25" s="12">
        <v>5187</v>
      </c>
      <c r="C25" s="28">
        <v>161</v>
      </c>
      <c r="D25" s="17">
        <f>(4380*1.1125*0.7706+34*0.9715+65*1.4022)/(4380*1.1125+99)</f>
        <v>0.78023133705435699</v>
      </c>
      <c r="E25" s="11">
        <v>47.21</v>
      </c>
      <c r="F25" s="18">
        <f>(4380*1.1125+99)</f>
        <v>4971.75</v>
      </c>
      <c r="G25" s="29" t="s">
        <v>5</v>
      </c>
      <c r="H25" s="32">
        <v>6.4415557599999899E-4</v>
      </c>
      <c r="I25" s="30" t="s">
        <v>5</v>
      </c>
      <c r="J25" s="30"/>
      <c r="K25" s="21">
        <v>4.5710145927484643E-5</v>
      </c>
      <c r="L25" s="12">
        <v>6115</v>
      </c>
      <c r="M25" s="29" t="s">
        <v>5</v>
      </c>
      <c r="N25" s="32">
        <v>6.207016411351391E-4</v>
      </c>
      <c r="O25" s="2" t="str">
        <f t="shared" si="0"/>
        <v>'Undersaturated</v>
      </c>
    </row>
    <row r="26" spans="1:15" s="2" customFormat="1" x14ac:dyDescent="0.3">
      <c r="A26" s="2" t="s">
        <v>14</v>
      </c>
      <c r="B26" s="12">
        <v>4375</v>
      </c>
      <c r="C26" s="28">
        <v>167</v>
      </c>
      <c r="D26" s="17">
        <v>0.80427641371235392</v>
      </c>
      <c r="E26" s="11">
        <v>47.52</v>
      </c>
      <c r="F26" s="18">
        <v>2645</v>
      </c>
      <c r="G26" s="29">
        <v>2.3553999999999999</v>
      </c>
      <c r="H26" s="11" t="s">
        <v>5</v>
      </c>
      <c r="I26" s="30">
        <v>0.17699999999999999</v>
      </c>
      <c r="J26" s="30"/>
      <c r="K26" s="4">
        <v>3.3244699999999997E-5</v>
      </c>
      <c r="L26" s="12">
        <v>11083</v>
      </c>
      <c r="M26" s="29">
        <v>2.0859999999999999</v>
      </c>
      <c r="N26" s="11" t="s">
        <v>5</v>
      </c>
      <c r="O26" s="2" t="str">
        <f t="shared" si="0"/>
        <v>'Undersaturated</v>
      </c>
    </row>
    <row r="27" spans="1:15" s="2" customFormat="1" x14ac:dyDescent="0.3">
      <c r="A27" s="2" t="s">
        <v>14</v>
      </c>
      <c r="B27" s="12">
        <v>5183</v>
      </c>
      <c r="C27" s="28">
        <v>157</v>
      </c>
      <c r="D27" s="17">
        <f>(3845*1.1132*0.738+57*0.934+52*1.3185)/(3845*1.1132+109)</f>
        <v>0.74742255791075196</v>
      </c>
      <c r="E27" s="11">
        <v>47.57</v>
      </c>
      <c r="F27" s="18">
        <f>(3845*1.1132+109)</f>
        <v>4389.2539999999999</v>
      </c>
      <c r="G27" s="29" t="s">
        <v>5</v>
      </c>
      <c r="H27" s="32">
        <v>6.4164260506897658E-4</v>
      </c>
      <c r="I27" s="30" t="s">
        <v>5</v>
      </c>
      <c r="J27" s="30"/>
      <c r="K27" s="21">
        <f>(1-0.98539)/0.98539*(1/(5515-5183))</f>
        <v>4.4658484555745014E-5</v>
      </c>
      <c r="L27" s="12">
        <v>5715</v>
      </c>
      <c r="M27" s="29" t="s">
        <v>5</v>
      </c>
      <c r="N27" s="32">
        <v>6.2735650788273449E-4</v>
      </c>
      <c r="O27" s="2" t="str">
        <f t="shared" si="0"/>
        <v>'Undersaturated</v>
      </c>
    </row>
    <row r="28" spans="1:15" s="2" customFormat="1" x14ac:dyDescent="0.3">
      <c r="A28" s="2" t="s">
        <v>14</v>
      </c>
      <c r="B28" s="12">
        <v>4088</v>
      </c>
      <c r="C28" s="28">
        <v>148</v>
      </c>
      <c r="D28" s="17">
        <v>0.80163309653155035</v>
      </c>
      <c r="E28" s="11">
        <v>47.6</v>
      </c>
      <c r="F28" s="18">
        <v>2393</v>
      </c>
      <c r="G28" s="29">
        <v>2.2130739781586799</v>
      </c>
      <c r="H28" s="11" t="s">
        <v>5</v>
      </c>
      <c r="I28" s="30">
        <v>0.14699999999999999</v>
      </c>
      <c r="J28" s="30"/>
      <c r="K28" s="21">
        <v>3.2993586346309899E-5</v>
      </c>
      <c r="L28" s="12">
        <v>6177</v>
      </c>
      <c r="M28" s="29">
        <v>2.1040654680209947</v>
      </c>
      <c r="N28" s="11" t="s">
        <v>5</v>
      </c>
      <c r="O28" s="2" t="str">
        <f t="shared" si="0"/>
        <v>'Undersaturated</v>
      </c>
    </row>
    <row r="29" spans="1:15" s="2" customFormat="1" x14ac:dyDescent="0.3">
      <c r="A29" s="2" t="s">
        <v>14</v>
      </c>
      <c r="B29" s="12">
        <v>4328.6499999999996</v>
      </c>
      <c r="C29" s="28">
        <v>143</v>
      </c>
      <c r="D29" s="17">
        <v>0.8055714285714286</v>
      </c>
      <c r="E29" s="11">
        <v>45.352893388326464</v>
      </c>
      <c r="F29" s="18">
        <v>2261</v>
      </c>
      <c r="G29" s="29">
        <v>2.1920000000000002</v>
      </c>
      <c r="H29" s="11" t="s">
        <v>5</v>
      </c>
      <c r="I29" s="30">
        <v>0.16600000000000001</v>
      </c>
      <c r="J29" s="30"/>
      <c r="K29" s="4">
        <v>2.97878E-5</v>
      </c>
      <c r="L29" s="12">
        <v>7114.65</v>
      </c>
      <c r="M29" s="29">
        <v>2.0699999999999998</v>
      </c>
      <c r="N29" s="11" t="s">
        <v>5</v>
      </c>
      <c r="O29" s="2" t="str">
        <f t="shared" si="0"/>
        <v>'Undersaturated</v>
      </c>
    </row>
    <row r="30" spans="1:15" s="2" customFormat="1" x14ac:dyDescent="0.3">
      <c r="A30" s="2" t="s">
        <v>14</v>
      </c>
      <c r="B30" s="12">
        <v>3565</v>
      </c>
      <c r="C30" s="28">
        <v>142</v>
      </c>
      <c r="D30" s="17">
        <v>0.83444602876798013</v>
      </c>
      <c r="E30" s="11">
        <v>44.32</v>
      </c>
      <c r="F30" s="18">
        <v>1598</v>
      </c>
      <c r="G30" s="29">
        <v>1.8241000000000001</v>
      </c>
      <c r="H30" s="11" t="s">
        <v>5</v>
      </c>
      <c r="I30" s="30">
        <v>0.25900000000000001</v>
      </c>
      <c r="J30" s="30"/>
      <c r="K30" s="4">
        <v>2.1097100000000002E-5</v>
      </c>
      <c r="L30" s="12">
        <v>4731</v>
      </c>
      <c r="M30" s="29">
        <v>1.7854000000000001</v>
      </c>
      <c r="N30" s="11" t="s">
        <v>5</v>
      </c>
      <c r="O30" s="2" t="str">
        <f t="shared" si="0"/>
        <v>'Undersaturated</v>
      </c>
    </row>
    <row r="31" spans="1:15" s="2" customFormat="1" x14ac:dyDescent="0.3">
      <c r="A31" s="2" t="s">
        <v>14</v>
      </c>
      <c r="B31" s="12">
        <v>4451</v>
      </c>
      <c r="C31" s="28">
        <v>151</v>
      </c>
      <c r="D31" s="17">
        <v>0.86693904456452753</v>
      </c>
      <c r="E31" s="11">
        <v>46.13</v>
      </c>
      <c r="F31" s="18">
        <v>2689</v>
      </c>
      <c r="G31" s="29">
        <v>2.4154</v>
      </c>
      <c r="H31" s="11" t="s">
        <v>5</v>
      </c>
      <c r="I31" s="30">
        <v>0.186</v>
      </c>
      <c r="J31" s="30"/>
      <c r="K31" s="4">
        <v>3.8010199999999997E-5</v>
      </c>
      <c r="L31" s="12">
        <v>6961</v>
      </c>
      <c r="M31" s="29">
        <v>2.2726000000000002</v>
      </c>
      <c r="N31" s="11" t="s">
        <v>5</v>
      </c>
      <c r="O31" s="2" t="str">
        <f t="shared" si="0"/>
        <v>'Undersaturated</v>
      </c>
    </row>
    <row r="32" spans="1:15" s="2" customFormat="1" x14ac:dyDescent="0.3">
      <c r="A32" s="2" t="s">
        <v>14</v>
      </c>
      <c r="B32" s="12">
        <v>3995</v>
      </c>
      <c r="C32" s="28">
        <v>162</v>
      </c>
      <c r="D32" s="17">
        <v>0.84604101208844851</v>
      </c>
      <c r="E32" s="11">
        <v>44.89</v>
      </c>
      <c r="F32" s="18">
        <v>2072</v>
      </c>
      <c r="G32" s="29">
        <v>2.1619999999999999</v>
      </c>
      <c r="H32" s="11" t="s">
        <v>5</v>
      </c>
      <c r="I32" s="30">
        <v>0.151</v>
      </c>
      <c r="J32" s="30"/>
      <c r="K32" s="4">
        <v>2.9722599999999999E-5</v>
      </c>
      <c r="L32" s="12">
        <v>7154</v>
      </c>
      <c r="M32" s="29">
        <v>2.0295999999999998</v>
      </c>
      <c r="N32" s="11" t="s">
        <v>5</v>
      </c>
      <c r="O32" s="2" t="str">
        <f t="shared" si="0"/>
        <v>'Undersaturated</v>
      </c>
    </row>
    <row r="33" spans="1:15" s="2" customFormat="1" x14ac:dyDescent="0.3">
      <c r="A33" s="2" t="s">
        <v>14</v>
      </c>
      <c r="B33" s="12">
        <v>3955</v>
      </c>
      <c r="C33" s="28">
        <v>140</v>
      </c>
      <c r="D33" s="17">
        <v>0.83418704954954959</v>
      </c>
      <c r="E33" s="11">
        <v>44.12</v>
      </c>
      <c r="F33" s="18">
        <v>1776</v>
      </c>
      <c r="G33" s="29">
        <v>1.901</v>
      </c>
      <c r="H33" s="11" t="s">
        <v>5</v>
      </c>
      <c r="I33" s="30">
        <v>0.21299999999999999</v>
      </c>
      <c r="J33" s="30"/>
      <c r="K33" s="4">
        <v>2.2328200000000001E-5</v>
      </c>
      <c r="L33" s="12">
        <v>3726</v>
      </c>
      <c r="M33" s="29">
        <v>1.901</v>
      </c>
      <c r="N33" s="11" t="s">
        <v>5</v>
      </c>
      <c r="O33" s="2" t="str">
        <f t="shared" si="0"/>
        <v>Saturated</v>
      </c>
    </row>
    <row r="34" spans="1:15" s="2" customFormat="1" x14ac:dyDescent="0.3">
      <c r="A34" s="2" t="s">
        <v>14</v>
      </c>
      <c r="B34" s="12">
        <v>3865</v>
      </c>
      <c r="C34" s="28">
        <v>147</v>
      </c>
      <c r="D34" s="17">
        <v>0.84211125419932797</v>
      </c>
      <c r="E34" s="11">
        <v>43.8</v>
      </c>
      <c r="F34" s="18">
        <v>1786</v>
      </c>
      <c r="G34" s="29">
        <v>1.9545999999999999</v>
      </c>
      <c r="H34" s="11" t="s">
        <v>5</v>
      </c>
      <c r="I34" s="30">
        <v>0.20799999999999999</v>
      </c>
      <c r="J34" s="30"/>
      <c r="K34" s="4">
        <v>2.40754E-5</v>
      </c>
      <c r="L34" s="12">
        <v>4774</v>
      </c>
      <c r="M34" s="29">
        <v>1.9172</v>
      </c>
      <c r="N34" s="11" t="s">
        <v>5</v>
      </c>
      <c r="O34" s="2" t="str">
        <f t="shared" si="0"/>
        <v>'Undersaturated</v>
      </c>
    </row>
    <row r="35" spans="1:15" s="2" customFormat="1" x14ac:dyDescent="0.3">
      <c r="A35" s="2" t="s">
        <v>14</v>
      </c>
      <c r="B35" s="12">
        <v>4217</v>
      </c>
      <c r="C35" s="28">
        <v>146</v>
      </c>
      <c r="D35" s="17">
        <v>0.8427257117437722</v>
      </c>
      <c r="E35" s="11">
        <v>46.89</v>
      </c>
      <c r="F35" s="18">
        <v>2247</v>
      </c>
      <c r="G35" s="29">
        <v>2.1732999999999998</v>
      </c>
      <c r="H35" s="11" t="s">
        <v>5</v>
      </c>
      <c r="I35" s="30">
        <v>0.21099999999999999</v>
      </c>
      <c r="J35" s="30"/>
      <c r="K35" s="4">
        <v>3.1637200000000003E-5</v>
      </c>
      <c r="L35" s="12">
        <v>6728</v>
      </c>
      <c r="M35" s="29">
        <v>2.0609999999999999</v>
      </c>
      <c r="N35" s="11" t="s">
        <v>5</v>
      </c>
      <c r="O35" s="2" t="str">
        <f t="shared" si="0"/>
        <v>'Undersaturated</v>
      </c>
    </row>
    <row r="36" spans="1:15" s="2" customFormat="1" x14ac:dyDescent="0.3">
      <c r="A36" s="2" t="s">
        <v>14</v>
      </c>
      <c r="B36" s="12">
        <v>4145</v>
      </c>
      <c r="C36" s="28">
        <v>158</v>
      </c>
      <c r="D36" s="17">
        <v>0.82779175398633253</v>
      </c>
      <c r="E36" s="11">
        <v>47.32</v>
      </c>
      <c r="F36" s="18">
        <v>2196</v>
      </c>
      <c r="G36" s="29">
        <v>2.1798999999999999</v>
      </c>
      <c r="H36" s="11" t="s">
        <v>5</v>
      </c>
      <c r="I36" s="30">
        <v>0.185</v>
      </c>
      <c r="J36" s="30"/>
      <c r="K36" s="4">
        <v>3.0255000000000001E-5</v>
      </c>
      <c r="L36" s="12">
        <v>5823</v>
      </c>
      <c r="M36" s="29">
        <v>2.0948000000000002</v>
      </c>
      <c r="N36" s="11" t="s">
        <v>5</v>
      </c>
      <c r="O36" s="2" t="str">
        <f t="shared" si="0"/>
        <v>'Undersaturated</v>
      </c>
    </row>
    <row r="37" spans="1:15" s="2" customFormat="1" x14ac:dyDescent="0.3">
      <c r="A37" s="2" t="s">
        <v>14</v>
      </c>
      <c r="B37" s="12">
        <v>3465</v>
      </c>
      <c r="C37" s="28">
        <v>140</v>
      </c>
      <c r="D37" s="17">
        <v>0.80935814432989683</v>
      </c>
      <c r="E37" s="11">
        <v>43.88</v>
      </c>
      <c r="F37" s="18">
        <v>1455</v>
      </c>
      <c r="G37" s="29">
        <v>1.7339</v>
      </c>
      <c r="H37" s="11" t="s">
        <v>5</v>
      </c>
      <c r="I37" s="30">
        <v>0.434</v>
      </c>
      <c r="J37" s="30"/>
      <c r="K37" s="4">
        <v>2.06329E-5</v>
      </c>
      <c r="L37" s="12">
        <v>4865</v>
      </c>
      <c r="M37" s="29">
        <v>1.6921999999999999</v>
      </c>
      <c r="N37" s="11" t="s">
        <v>5</v>
      </c>
      <c r="O37" s="2" t="str">
        <f t="shared" si="0"/>
        <v>'Undersaturated</v>
      </c>
    </row>
    <row r="38" spans="1:15" s="2" customFormat="1" x14ac:dyDescent="0.3">
      <c r="A38" s="2" t="s">
        <v>14</v>
      </c>
      <c r="B38" s="12">
        <v>2515</v>
      </c>
      <c r="C38" s="28">
        <v>149</v>
      </c>
      <c r="D38" s="17">
        <v>0.88659053876478311</v>
      </c>
      <c r="E38" s="11">
        <v>40.659999999999997</v>
      </c>
      <c r="F38" s="18">
        <v>761</v>
      </c>
      <c r="G38" s="29">
        <v>1.4036</v>
      </c>
      <c r="H38" s="11" t="s">
        <v>5</v>
      </c>
      <c r="I38" s="30">
        <v>0.41199999999999998</v>
      </c>
      <c r="J38" s="30"/>
      <c r="K38" s="4">
        <v>1.3774100000000001E-5</v>
      </c>
      <c r="L38" s="12">
        <v>5309</v>
      </c>
      <c r="M38" s="29">
        <v>1.3613999999999999</v>
      </c>
      <c r="N38" s="11" t="s">
        <v>5</v>
      </c>
      <c r="O38" s="2" t="str">
        <f t="shared" si="0"/>
        <v>'Undersaturated</v>
      </c>
    </row>
    <row r="39" spans="1:15" s="2" customFormat="1" x14ac:dyDescent="0.3">
      <c r="A39" s="2" t="s">
        <v>14</v>
      </c>
      <c r="B39" s="12">
        <v>2215</v>
      </c>
      <c r="C39" s="28">
        <v>157</v>
      </c>
      <c r="D39" s="17">
        <v>0.91650691642651272</v>
      </c>
      <c r="E39" s="11">
        <v>40.619999999999997</v>
      </c>
      <c r="F39" s="18">
        <v>694</v>
      </c>
      <c r="G39" s="29">
        <v>1.3705000000000001</v>
      </c>
      <c r="H39" s="31" t="s">
        <v>5</v>
      </c>
      <c r="I39" s="30">
        <v>0.45300000000000001</v>
      </c>
      <c r="J39" s="30"/>
      <c r="K39" s="4">
        <v>1.46343E-5</v>
      </c>
      <c r="L39" s="12">
        <v>5916</v>
      </c>
      <c r="M39" s="29">
        <v>1.3181</v>
      </c>
      <c r="N39" s="11" t="s">
        <v>5</v>
      </c>
      <c r="O39" s="2" t="str">
        <f t="shared" si="0"/>
        <v>'Undersaturated</v>
      </c>
    </row>
    <row r="40" spans="1:15" s="2" customFormat="1" x14ac:dyDescent="0.3">
      <c r="A40" s="2" t="s">
        <v>14</v>
      </c>
      <c r="B40" s="12">
        <v>3165</v>
      </c>
      <c r="C40" s="28">
        <v>169</v>
      </c>
      <c r="D40" s="17">
        <v>0.92319242033006776</v>
      </c>
      <c r="E40" s="11">
        <v>43.95</v>
      </c>
      <c r="F40" s="18">
        <v>1193</v>
      </c>
      <c r="G40" s="29">
        <v>1.6789000000000001</v>
      </c>
      <c r="H40" s="11" t="s">
        <v>5</v>
      </c>
      <c r="I40" s="30">
        <v>0.23499999999999999</v>
      </c>
      <c r="J40" s="30"/>
      <c r="K40" s="4">
        <v>2.0536100000000001E-5</v>
      </c>
      <c r="L40" s="12">
        <v>6972</v>
      </c>
      <c r="M40" s="29">
        <v>1.5885</v>
      </c>
      <c r="N40" s="11" t="s">
        <v>5</v>
      </c>
      <c r="O40" s="2" t="str">
        <f t="shared" si="0"/>
        <v>'Undersaturated</v>
      </c>
    </row>
    <row r="41" spans="1:15" s="2" customFormat="1" x14ac:dyDescent="0.3">
      <c r="A41" s="2" t="s">
        <v>14</v>
      </c>
      <c r="B41" s="12">
        <v>5655</v>
      </c>
      <c r="C41" s="28">
        <v>165</v>
      </c>
      <c r="D41" s="17">
        <v>0.77590107505608719</v>
      </c>
      <c r="E41" s="11">
        <v>41.67</v>
      </c>
      <c r="F41" s="18">
        <v>2539</v>
      </c>
      <c r="G41" s="29">
        <v>2.2337833825723759</v>
      </c>
      <c r="H41" s="11" t="s">
        <v>5</v>
      </c>
      <c r="I41" s="30">
        <v>0.249</v>
      </c>
      <c r="J41" s="30"/>
      <c r="K41" s="4">
        <v>2.70824E-5</v>
      </c>
      <c r="L41" s="12">
        <v>6515</v>
      </c>
      <c r="M41" s="29">
        <v>2.1887727105337955</v>
      </c>
      <c r="N41" s="11" t="s">
        <v>5</v>
      </c>
      <c r="O41" s="2" t="str">
        <f t="shared" si="0"/>
        <v>'Undersaturated</v>
      </c>
    </row>
    <row r="42" spans="1:15" s="2" customFormat="1" x14ac:dyDescent="0.3">
      <c r="A42" s="2" t="s">
        <v>14</v>
      </c>
      <c r="B42" s="12">
        <v>3865</v>
      </c>
      <c r="C42" s="28">
        <v>165</v>
      </c>
      <c r="D42" s="17">
        <v>0.80779518026477171</v>
      </c>
      <c r="E42" s="11">
        <v>41.31</v>
      </c>
      <c r="F42" s="18">
        <v>1311</v>
      </c>
      <c r="G42" s="29">
        <v>1.7010000000000001</v>
      </c>
      <c r="H42" s="11" t="s">
        <v>5</v>
      </c>
      <c r="I42" s="30">
        <v>0.36599999999999999</v>
      </c>
      <c r="J42" s="30"/>
      <c r="K42" s="4">
        <v>2.0366100000000001E-5</v>
      </c>
      <c r="L42" s="12">
        <v>7215</v>
      </c>
      <c r="M42" s="29">
        <v>1.6188</v>
      </c>
      <c r="N42" s="11" t="s">
        <v>5</v>
      </c>
      <c r="O42" s="2" t="str">
        <f t="shared" si="0"/>
        <v>'Undersaturated</v>
      </c>
    </row>
    <row r="43" spans="1:15" s="2" customFormat="1" x14ac:dyDescent="0.3">
      <c r="A43" s="2" t="s">
        <v>14</v>
      </c>
      <c r="B43" s="12">
        <v>4820</v>
      </c>
      <c r="C43" s="28">
        <v>176</v>
      </c>
      <c r="D43" s="17">
        <v>0.75817891207484189</v>
      </c>
      <c r="E43" s="11">
        <v>52.3</v>
      </c>
      <c r="F43" s="18">
        <v>7104</v>
      </c>
      <c r="G43" s="29">
        <v>5.1120000000000001</v>
      </c>
      <c r="H43" s="32" t="s">
        <v>5</v>
      </c>
      <c r="I43" s="30">
        <v>5.0999999999999997E-2</v>
      </c>
      <c r="J43" s="30"/>
      <c r="K43" s="21">
        <v>7.5153502924252676E-5</v>
      </c>
      <c r="L43" s="12">
        <v>7596</v>
      </c>
      <c r="M43" s="29" t="s">
        <v>5</v>
      </c>
      <c r="N43" s="32" t="s">
        <v>5</v>
      </c>
      <c r="O43" s="2" t="str">
        <f t="shared" si="0"/>
        <v>'Undersaturated</v>
      </c>
    </row>
    <row r="44" spans="1:15" s="2" customFormat="1" x14ac:dyDescent="0.3">
      <c r="A44" s="2" t="s">
        <v>14</v>
      </c>
      <c r="B44" s="12">
        <v>3815</v>
      </c>
      <c r="C44" s="28">
        <v>149</v>
      </c>
      <c r="D44" s="17">
        <v>0.82023585858585857</v>
      </c>
      <c r="E44" s="11">
        <v>44.41</v>
      </c>
      <c r="F44" s="18">
        <v>1583</v>
      </c>
      <c r="G44" s="29">
        <v>1.8231999999999999</v>
      </c>
      <c r="H44" s="11" t="s">
        <v>5</v>
      </c>
      <c r="I44" s="30">
        <v>0.254</v>
      </c>
      <c r="J44" s="30"/>
      <c r="K44" s="4">
        <v>2.1942399999999998E-5</v>
      </c>
      <c r="L44" s="12">
        <v>5215</v>
      </c>
      <c r="M44" s="29">
        <v>1.7758</v>
      </c>
      <c r="N44" s="11" t="s">
        <v>5</v>
      </c>
      <c r="O44" s="2" t="str">
        <f t="shared" si="0"/>
        <v>'Undersaturated</v>
      </c>
    </row>
    <row r="45" spans="1:15" s="2" customFormat="1" x14ac:dyDescent="0.3">
      <c r="A45" s="2" t="s">
        <v>14</v>
      </c>
      <c r="B45" s="12">
        <v>3565</v>
      </c>
      <c r="C45" s="28">
        <v>152</v>
      </c>
      <c r="D45" s="17">
        <v>0.82400711082639333</v>
      </c>
      <c r="E45" s="11">
        <v>46.69</v>
      </c>
      <c r="F45" s="18">
        <v>1562</v>
      </c>
      <c r="G45" s="29">
        <v>1.8395999999999999</v>
      </c>
      <c r="H45" s="11" t="s">
        <v>5</v>
      </c>
      <c r="I45" s="30">
        <v>0.29299999999999998</v>
      </c>
      <c r="J45" s="30"/>
      <c r="K45" s="4">
        <v>2.3057500000000001E-5</v>
      </c>
      <c r="L45" s="12">
        <v>7315</v>
      </c>
      <c r="M45" s="29">
        <v>1.7322</v>
      </c>
      <c r="N45" s="11" t="s">
        <v>5</v>
      </c>
      <c r="O45" s="2" t="str">
        <f t="shared" si="0"/>
        <v>'Undersaturated</v>
      </c>
    </row>
    <row r="46" spans="1:15" s="2" customFormat="1" x14ac:dyDescent="0.3">
      <c r="A46" s="2" t="s">
        <v>14</v>
      </c>
      <c r="B46" s="12">
        <v>4271</v>
      </c>
      <c r="C46" s="28">
        <v>129</v>
      </c>
      <c r="D46" s="17">
        <v>0.84911701807228912</v>
      </c>
      <c r="E46" s="11">
        <v>46.91</v>
      </c>
      <c r="F46" s="18">
        <v>1992</v>
      </c>
      <c r="G46" s="29">
        <v>1.9789000000000001</v>
      </c>
      <c r="H46" s="11" t="s">
        <v>5</v>
      </c>
      <c r="I46" s="30">
        <v>0.504</v>
      </c>
      <c r="J46" s="30"/>
      <c r="K46" s="4">
        <v>2.2232000608155799E-5</v>
      </c>
      <c r="L46" s="12">
        <v>4215</v>
      </c>
      <c r="M46" s="29" t="s">
        <v>5</v>
      </c>
      <c r="N46" s="11" t="s">
        <v>5</v>
      </c>
      <c r="O46" s="2" t="str">
        <f t="shared" si="0"/>
        <v>Saturated</v>
      </c>
    </row>
    <row r="47" spans="1:15" s="2" customFormat="1" x14ac:dyDescent="0.3">
      <c r="A47" s="2" t="s">
        <v>14</v>
      </c>
      <c r="B47" s="12">
        <v>5335</v>
      </c>
      <c r="C47" s="28">
        <v>189</v>
      </c>
      <c r="D47" s="17">
        <f>(9000*1.0501*0.7561+14*0.8875+25*1.3218)/(9000*1.0501+39)</f>
        <v>0.75778411679785873</v>
      </c>
      <c r="E47" s="11">
        <v>49.47</v>
      </c>
      <c r="F47" s="18">
        <f>(9000*1.0501+39)</f>
        <v>9489.9</v>
      </c>
      <c r="G47" s="29" t="s">
        <v>5</v>
      </c>
      <c r="H47" s="32">
        <v>6.5025002113312563E-4</v>
      </c>
      <c r="I47" s="30" t="s">
        <v>5</v>
      </c>
      <c r="J47" s="30"/>
      <c r="K47" s="21">
        <v>6.6363559345965624E-5</v>
      </c>
      <c r="L47" s="12">
        <v>7765</v>
      </c>
      <c r="M47" s="29" t="s">
        <v>5</v>
      </c>
      <c r="N47" s="32">
        <v>5.7769407632494139E-4</v>
      </c>
      <c r="O47" s="2" t="str">
        <f t="shared" si="0"/>
        <v>'Undersaturated</v>
      </c>
    </row>
    <row r="48" spans="1:15" s="2" customFormat="1" x14ac:dyDescent="0.3">
      <c r="A48" s="2" t="s">
        <v>14</v>
      </c>
      <c r="B48" s="12">
        <v>3615</v>
      </c>
      <c r="C48" s="28">
        <v>143</v>
      </c>
      <c r="D48" s="17">
        <v>0.83229050097592716</v>
      </c>
      <c r="E48" s="11">
        <v>44.76</v>
      </c>
      <c r="F48" s="18">
        <v>1537</v>
      </c>
      <c r="G48" s="29">
        <v>1.7962</v>
      </c>
      <c r="H48" s="11" t="s">
        <v>5</v>
      </c>
      <c r="I48" s="30">
        <v>0.23799999999999999</v>
      </c>
      <c r="J48" s="30"/>
      <c r="K48" s="4">
        <v>2.0970200000000001E-5</v>
      </c>
      <c r="L48" s="12">
        <v>5365</v>
      </c>
      <c r="M48" s="29">
        <v>1.7427999999999999</v>
      </c>
      <c r="N48" s="11" t="s">
        <v>5</v>
      </c>
      <c r="O48" s="2" t="str">
        <f t="shared" si="0"/>
        <v>'Undersaturated</v>
      </c>
    </row>
    <row r="49" spans="1:15" s="2" customFormat="1" x14ac:dyDescent="0.3">
      <c r="A49" s="2" t="s">
        <v>14</v>
      </c>
      <c r="B49" s="12">
        <v>3992</v>
      </c>
      <c r="C49" s="28">
        <v>169</v>
      </c>
      <c r="D49" s="17">
        <v>0.83751465827147997</v>
      </c>
      <c r="E49" s="11">
        <v>46.98</v>
      </c>
      <c r="F49" s="18">
        <v>1902.8279498619736</v>
      </c>
      <c r="G49" s="29">
        <v>2.0244</v>
      </c>
      <c r="H49" s="11" t="s">
        <v>5</v>
      </c>
      <c r="I49" s="30">
        <v>0.188</v>
      </c>
      <c r="J49" s="30"/>
      <c r="K49" s="4">
        <v>2.8958600000000001E-5</v>
      </c>
      <c r="L49" s="12">
        <v>7108</v>
      </c>
      <c r="M49" s="29">
        <v>1.9049</v>
      </c>
      <c r="N49" s="11" t="s">
        <v>5</v>
      </c>
      <c r="O49" s="2" t="str">
        <f t="shared" si="0"/>
        <v>'Undersaturated</v>
      </c>
    </row>
    <row r="50" spans="1:15" s="2" customFormat="1" x14ac:dyDescent="0.3">
      <c r="A50" s="2" t="s">
        <v>14</v>
      </c>
      <c r="B50" s="12">
        <v>3865</v>
      </c>
      <c r="C50" s="28">
        <v>154</v>
      </c>
      <c r="D50" s="17">
        <v>0.8241312228429547</v>
      </c>
      <c r="E50" s="11">
        <v>44.43</v>
      </c>
      <c r="F50" s="18">
        <v>1611</v>
      </c>
      <c r="G50" s="29">
        <v>1.8481000000000001</v>
      </c>
      <c r="H50" s="11" t="s">
        <v>5</v>
      </c>
      <c r="I50" s="30">
        <v>0.21</v>
      </c>
      <c r="J50" s="30"/>
      <c r="K50" s="4">
        <v>2.41219E-5</v>
      </c>
      <c r="L50" s="12">
        <v>5180</v>
      </c>
      <c r="M50" s="29">
        <v>1.7997000000000001</v>
      </c>
      <c r="N50" s="11" t="s">
        <v>5</v>
      </c>
      <c r="O50" s="2" t="str">
        <f t="shared" si="0"/>
        <v>'Undersaturated</v>
      </c>
    </row>
    <row r="51" spans="1:15" s="2" customFormat="1" x14ac:dyDescent="0.3">
      <c r="A51" s="2" t="s">
        <v>14</v>
      </c>
      <c r="B51" s="12">
        <v>6058</v>
      </c>
      <c r="C51" s="28">
        <v>145</v>
      </c>
      <c r="D51" s="17">
        <f>(6523*1.0697*0.7366+14*0.9432+39*1.248)/(6523*1.0697+53)</f>
        <v>0.73984820463692058</v>
      </c>
      <c r="E51" s="11">
        <v>48.64</v>
      </c>
      <c r="F51" s="18">
        <f>(6523*1.0697+53)</f>
        <v>7030.6531000000004</v>
      </c>
      <c r="G51" s="29" t="s">
        <v>5</v>
      </c>
      <c r="H51" s="32">
        <v>5.9443490046187587E-4</v>
      </c>
      <c r="I51" s="30" t="s">
        <v>5</v>
      </c>
      <c r="J51" s="30"/>
      <c r="K51" s="21">
        <v>3.8767352612879179E-5</v>
      </c>
      <c r="L51" s="12">
        <v>7750</v>
      </c>
      <c r="M51" s="29" t="s">
        <v>5</v>
      </c>
      <c r="N51" s="32">
        <v>5.6165260662974735E-4</v>
      </c>
      <c r="O51" s="2" t="str">
        <f t="shared" si="0"/>
        <v>'Undersaturated</v>
      </c>
    </row>
    <row r="52" spans="1:15" s="2" customFormat="1" x14ac:dyDescent="0.3">
      <c r="A52" s="2" t="s">
        <v>14</v>
      </c>
      <c r="B52" s="12">
        <v>3365</v>
      </c>
      <c r="C52" s="28">
        <v>129</v>
      </c>
      <c r="D52" s="17">
        <v>0.83125307414104888</v>
      </c>
      <c r="E52" s="11">
        <v>38.78</v>
      </c>
      <c r="F52" s="18">
        <v>1106</v>
      </c>
      <c r="G52" s="29">
        <v>1.5330965401161434</v>
      </c>
      <c r="H52" s="11" t="s">
        <v>5</v>
      </c>
      <c r="I52" s="30">
        <v>0.45</v>
      </c>
      <c r="J52" s="30"/>
      <c r="K52" s="4">
        <v>1.6000600000000001E-5</v>
      </c>
      <c r="L52" s="12">
        <v>4960</v>
      </c>
      <c r="M52" s="33">
        <v>1.5794999999999999</v>
      </c>
      <c r="N52" s="11" t="s">
        <v>5</v>
      </c>
      <c r="O52" s="2" t="str">
        <f t="shared" si="0"/>
        <v>'Undersaturated</v>
      </c>
    </row>
    <row r="53" spans="1:15" s="2" customFormat="1" x14ac:dyDescent="0.3">
      <c r="A53" s="2" t="s">
        <v>14</v>
      </c>
      <c r="B53" s="12">
        <v>2415</v>
      </c>
      <c r="C53" s="28">
        <v>137</v>
      </c>
      <c r="D53" s="17">
        <v>0.8440983240223463</v>
      </c>
      <c r="E53" s="11">
        <v>37.92</v>
      </c>
      <c r="F53" s="18">
        <v>716</v>
      </c>
      <c r="G53" s="29">
        <v>1.3903466158085649</v>
      </c>
      <c r="H53" s="11" t="s">
        <v>5</v>
      </c>
      <c r="I53" s="30">
        <v>0.56000000000000005</v>
      </c>
      <c r="J53" s="30"/>
      <c r="K53" s="4">
        <v>1.4001E-5</v>
      </c>
      <c r="L53" s="12">
        <v>4815</v>
      </c>
      <c r="M53" s="29">
        <v>1.352737733274451</v>
      </c>
      <c r="N53" s="11" t="s">
        <v>5</v>
      </c>
      <c r="O53" s="2" t="str">
        <f t="shared" si="0"/>
        <v>'Undersaturated</v>
      </c>
    </row>
    <row r="54" spans="1:15" s="2" customFormat="1" x14ac:dyDescent="0.3">
      <c r="A54" s="2" t="s">
        <v>14</v>
      </c>
      <c r="B54" s="12">
        <v>5435</v>
      </c>
      <c r="C54" s="28">
        <v>192</v>
      </c>
      <c r="D54" s="17">
        <f>(7889*1.0674*0.7451+26*0.9251+21*1.3754)/(7889*1.0674+47)</f>
        <v>0.7472158355451255</v>
      </c>
      <c r="E54" s="11">
        <v>51.74</v>
      </c>
      <c r="F54" s="18">
        <f>(7889*1.0674+47)</f>
        <v>8467.7186000000002</v>
      </c>
      <c r="G54" s="29" t="s">
        <v>5</v>
      </c>
      <c r="H54" s="32">
        <v>6.4655033071049411E-4</v>
      </c>
      <c r="I54" s="30" t="s">
        <v>5</v>
      </c>
      <c r="J54" s="30"/>
      <c r="K54" s="21">
        <v>6.1927960315292786E-5</v>
      </c>
      <c r="L54" s="12">
        <v>9144</v>
      </c>
      <c r="M54" s="29" t="s">
        <v>5</v>
      </c>
      <c r="N54" s="32">
        <v>5.5389080596651176E-4</v>
      </c>
      <c r="O54" s="2" t="str">
        <f t="shared" si="0"/>
        <v>'Undersaturated</v>
      </c>
    </row>
    <row r="55" spans="1:15" s="2" customFormat="1" x14ac:dyDescent="0.3">
      <c r="A55" s="2" t="s">
        <v>14</v>
      </c>
      <c r="B55" s="12">
        <v>4535</v>
      </c>
      <c r="C55" s="28">
        <v>177</v>
      </c>
      <c r="D55" s="17">
        <v>0.78466681175390973</v>
      </c>
      <c r="E55" s="11">
        <v>47.68</v>
      </c>
      <c r="F55" s="18">
        <v>2583</v>
      </c>
      <c r="G55" s="29">
        <v>2.4142999999999999</v>
      </c>
      <c r="H55" s="11" t="s">
        <v>5</v>
      </c>
      <c r="I55" s="30">
        <v>0.125</v>
      </c>
      <c r="J55" s="30"/>
      <c r="K55" s="4">
        <v>3.9792000000000001E-5</v>
      </c>
      <c r="L55" s="12">
        <v>7617</v>
      </c>
      <c r="M55" s="29">
        <v>2.2368000000000001</v>
      </c>
      <c r="N55" s="11" t="s">
        <v>5</v>
      </c>
      <c r="O55" s="2" t="str">
        <f t="shared" si="0"/>
        <v>'Undersaturated</v>
      </c>
    </row>
    <row r="56" spans="1:15" s="2" customFormat="1" x14ac:dyDescent="0.3">
      <c r="A56" s="2" t="s">
        <v>14</v>
      </c>
      <c r="B56" s="12">
        <v>4575</v>
      </c>
      <c r="C56" s="28">
        <v>176</v>
      </c>
      <c r="D56" s="17">
        <v>0.79100877299711558</v>
      </c>
      <c r="E56" s="11">
        <v>48.11</v>
      </c>
      <c r="F56" s="18">
        <v>2592.8721580424876</v>
      </c>
      <c r="G56" s="29">
        <v>2.4289999999999998</v>
      </c>
      <c r="H56" s="11" t="s">
        <v>5</v>
      </c>
      <c r="I56" s="30">
        <v>0.127</v>
      </c>
      <c r="J56" s="30"/>
      <c r="K56" s="4">
        <v>3.7751499999999999E-5</v>
      </c>
      <c r="L56" s="12">
        <v>7449</v>
      </c>
      <c r="M56" s="29">
        <v>2.2591000000000001</v>
      </c>
      <c r="N56" s="11" t="s">
        <v>5</v>
      </c>
      <c r="O56" s="2" t="str">
        <f t="shared" si="0"/>
        <v>'Undersaturated</v>
      </c>
    </row>
    <row r="57" spans="1:15" s="2" customFormat="1" x14ac:dyDescent="0.3">
      <c r="A57" s="2" t="s">
        <v>14</v>
      </c>
      <c r="B57" s="12">
        <v>5238</v>
      </c>
      <c r="C57" s="28">
        <v>180</v>
      </c>
      <c r="D57" s="17">
        <f>(3708*1.0517*0.7831+10*0.8186+12*0.9849+13*1.2101)/(3780*1.0517+34)</f>
        <v>0.77058261934750771</v>
      </c>
      <c r="E57" s="11">
        <v>47.23</v>
      </c>
      <c r="F57" s="18">
        <f>(3780*1.0517+34)</f>
        <v>4009.4260000000004</v>
      </c>
      <c r="G57" s="29" t="s">
        <v>5</v>
      </c>
      <c r="H57" s="32">
        <v>6.8991210519779773E-4</v>
      </c>
      <c r="I57" s="30" t="s">
        <v>5</v>
      </c>
      <c r="J57" s="30"/>
      <c r="K57" s="21">
        <v>4.7141591724124223E-5</v>
      </c>
      <c r="L57" s="12">
        <v>7498</v>
      </c>
      <c r="M57" s="29" t="s">
        <v>5</v>
      </c>
      <c r="N57" s="32">
        <v>6.4085310365158106E-4</v>
      </c>
      <c r="O57" s="2" t="str">
        <f t="shared" si="0"/>
        <v>'Undersaturated</v>
      </c>
    </row>
    <row r="58" spans="1:15" s="2" customFormat="1" x14ac:dyDescent="0.3">
      <c r="A58" s="2" t="s">
        <v>14</v>
      </c>
      <c r="B58" s="12">
        <v>5055</v>
      </c>
      <c r="C58" s="28">
        <v>182</v>
      </c>
      <c r="D58" s="17">
        <v>0.77850099024655151</v>
      </c>
      <c r="E58" s="11">
        <v>48.62</v>
      </c>
      <c r="F58" s="18">
        <f>(3692*1.0563+41)</f>
        <v>3940.8596000000002</v>
      </c>
      <c r="G58" s="29" t="s">
        <v>5</v>
      </c>
      <c r="H58" s="32">
        <v>7.0605014368120415E-4</v>
      </c>
      <c r="I58" s="30" t="s">
        <v>5</v>
      </c>
      <c r="J58" s="30"/>
      <c r="K58" s="21">
        <v>4.4855980263368582E-5</v>
      </c>
      <c r="L58" s="12">
        <v>7608</v>
      </c>
      <c r="M58" s="29" t="s">
        <v>5</v>
      </c>
      <c r="N58" s="32">
        <v>6.4908090144355588E-4</v>
      </c>
      <c r="O58" s="2" t="str">
        <f t="shared" si="0"/>
        <v>'Undersaturated</v>
      </c>
    </row>
    <row r="59" spans="1:15" s="2" customFormat="1" x14ac:dyDescent="0.3">
      <c r="A59" s="2" t="s">
        <v>14</v>
      </c>
      <c r="B59" s="12">
        <v>5210</v>
      </c>
      <c r="C59" s="28">
        <v>195</v>
      </c>
      <c r="D59" s="17">
        <f>(11314*1.0606*0.7582+9*0.7775+21*0.9886+9*1.1347)/(11314*1.0606+39)</f>
        <v>0.75889780374647986</v>
      </c>
      <c r="E59" s="11">
        <v>52.72</v>
      </c>
      <c r="F59" s="18">
        <f>(11314*1.0606+39)</f>
        <v>12038.6284</v>
      </c>
      <c r="G59" s="29" t="s">
        <v>5</v>
      </c>
      <c r="H59" s="32">
        <v>6.4738327679519383E-4</v>
      </c>
      <c r="I59" s="30" t="s">
        <v>5</v>
      </c>
      <c r="J59" s="30"/>
      <c r="K59" s="21">
        <v>7.6181920712299812E-5</v>
      </c>
      <c r="L59" s="12">
        <v>9155</v>
      </c>
      <c r="M59" s="29" t="s">
        <v>5</v>
      </c>
      <c r="N59" s="32">
        <v>5.3544369541820829E-4</v>
      </c>
      <c r="O59" s="2" t="str">
        <f t="shared" si="0"/>
        <v>'Undersaturated</v>
      </c>
    </row>
    <row r="60" spans="1:15" s="2" customFormat="1" x14ac:dyDescent="0.3">
      <c r="A60" s="2" t="s">
        <v>14</v>
      </c>
      <c r="B60" s="12">
        <v>5019</v>
      </c>
      <c r="C60" s="28">
        <v>182</v>
      </c>
      <c r="D60" s="17">
        <f>(3422*1.1688*0.7252+175*0.9668+52*1.4082+221.5793)/(3422*1.1688+249)</f>
        <v>0.79190871783342287</v>
      </c>
      <c r="E60" s="11">
        <v>50.99</v>
      </c>
      <c r="F60" s="18">
        <f>(3422*1.1688+249)</f>
        <v>4248.6336000000001</v>
      </c>
      <c r="G60" s="29" t="s">
        <v>5</v>
      </c>
      <c r="H60" s="32">
        <v>6.8240753377917288E-4</v>
      </c>
      <c r="I60" s="30" t="s">
        <v>5</v>
      </c>
      <c r="J60" s="30"/>
      <c r="K60" s="21">
        <v>5.428996110097987E-5</v>
      </c>
      <c r="L60" s="12">
        <v>7897</v>
      </c>
      <c r="M60" s="29" t="s">
        <v>5</v>
      </c>
      <c r="N60" s="32">
        <v>6.0055371052110038E-4</v>
      </c>
      <c r="O60" s="2" t="str">
        <f t="shared" si="0"/>
        <v>'Undersaturated</v>
      </c>
    </row>
    <row r="61" spans="1:15" s="2" customFormat="1" x14ac:dyDescent="0.3">
      <c r="A61" s="2" t="s">
        <v>14</v>
      </c>
      <c r="B61" s="12">
        <v>4786</v>
      </c>
      <c r="C61" s="28">
        <v>184</v>
      </c>
      <c r="D61" s="17">
        <v>0.74776942167439542</v>
      </c>
      <c r="E61" s="11">
        <v>52.67</v>
      </c>
      <c r="F61" s="18">
        <f>3444*1.1903+272</f>
        <v>4371.3931999999995</v>
      </c>
      <c r="G61" s="29" t="s">
        <v>5</v>
      </c>
      <c r="H61" s="32">
        <v>6.9102292123029714E-4</v>
      </c>
      <c r="I61" s="30" t="s">
        <v>5</v>
      </c>
      <c r="J61" s="30"/>
      <c r="K61" s="21">
        <v>6.0875900129307919E-5</v>
      </c>
      <c r="L61" s="12">
        <v>8361</v>
      </c>
      <c r="M61" s="29" t="s">
        <v>5</v>
      </c>
      <c r="N61" s="32">
        <v>6.0933996295213034E-4</v>
      </c>
      <c r="O61" s="2" t="str">
        <f t="shared" si="0"/>
        <v>'Undersaturated</v>
      </c>
    </row>
    <row r="62" spans="1:15" s="2" customFormat="1" x14ac:dyDescent="0.3">
      <c r="A62" s="2" t="s">
        <v>14</v>
      </c>
      <c r="B62" s="12">
        <v>5326</v>
      </c>
      <c r="C62" s="28">
        <v>182</v>
      </c>
      <c r="D62" s="17">
        <v>0.76577585543240156</v>
      </c>
      <c r="E62" s="11">
        <v>51.08</v>
      </c>
      <c r="F62" s="18">
        <f>6022*1.0868+73</f>
        <v>6617.7096000000001</v>
      </c>
      <c r="G62" s="29" t="s">
        <v>5</v>
      </c>
      <c r="H62" s="32">
        <v>6.5113068800000005E-4</v>
      </c>
      <c r="I62" s="30" t="s">
        <v>5</v>
      </c>
      <c r="J62" s="30"/>
      <c r="K62" s="21">
        <v>5.7696592598665659E-5</v>
      </c>
      <c r="L62" s="12">
        <v>8917</v>
      </c>
      <c r="M62" s="29" t="s">
        <v>5</v>
      </c>
      <c r="N62" s="32">
        <v>5.7037907393253553E-4</v>
      </c>
      <c r="O62" s="2" t="str">
        <f t="shared" si="0"/>
        <v>'Undersaturated</v>
      </c>
    </row>
    <row r="63" spans="1:15" s="2" customFormat="1" x14ac:dyDescent="0.3">
      <c r="A63" s="2" t="s">
        <v>14</v>
      </c>
      <c r="B63" s="12">
        <v>5217</v>
      </c>
      <c r="C63" s="28">
        <v>186</v>
      </c>
      <c r="D63" s="17">
        <f>(4400*1.1237*0.7604+75.8464+42*1.295+12*1.3607)/(4400*1.1237+129)</f>
        <v>0.76995460766998858</v>
      </c>
      <c r="E63" s="11">
        <v>51.01</v>
      </c>
      <c r="F63" s="18">
        <f>(4400*1.1237+129)</f>
        <v>5073.28</v>
      </c>
      <c r="G63" s="29" t="s">
        <v>5</v>
      </c>
      <c r="H63" s="32">
        <v>6.7575786244272957E-4</v>
      </c>
      <c r="I63" s="30" t="s">
        <v>5</v>
      </c>
      <c r="J63" s="30"/>
      <c r="K63" s="21">
        <v>5.8237185326586588E-5</v>
      </c>
      <c r="L63" s="12">
        <v>8444</v>
      </c>
      <c r="M63" s="29" t="s">
        <v>5</v>
      </c>
      <c r="N63" s="32">
        <v>6.0055371052110038E-4</v>
      </c>
      <c r="O63" s="2" t="str">
        <f t="shared" si="0"/>
        <v>'Undersaturated</v>
      </c>
    </row>
    <row r="64" spans="1:15" s="2" customFormat="1" x14ac:dyDescent="0.3">
      <c r="A64" s="2" t="s">
        <v>14</v>
      </c>
      <c r="B64" s="12">
        <v>5179</v>
      </c>
      <c r="C64" s="28">
        <v>203</v>
      </c>
      <c r="D64" s="17">
        <f>(10226*1.0717*0.7267+59*1.0275+32*1.5444)/(10226*1.0717+91)</f>
        <v>0.73067400800973437</v>
      </c>
      <c r="E64" s="11">
        <v>54.78</v>
      </c>
      <c r="F64" s="18">
        <f>(10226*1.0717+91)</f>
        <v>11050.2042</v>
      </c>
      <c r="G64" s="29" t="s">
        <v>5</v>
      </c>
      <c r="H64" s="32">
        <v>6.6808746601105021E-4</v>
      </c>
      <c r="I64" s="30" t="s">
        <v>5</v>
      </c>
      <c r="J64" s="30"/>
      <c r="K64" s="21">
        <v>7.5223557651672528E-5</v>
      </c>
      <c r="L64" s="12">
        <v>9680</v>
      </c>
      <c r="M64" s="29" t="s">
        <v>5</v>
      </c>
      <c r="N64" s="32">
        <v>5.4414957583540568E-4</v>
      </c>
      <c r="O64" s="2" t="str">
        <f t="shared" si="0"/>
        <v>'Undersaturated</v>
      </c>
    </row>
    <row r="65" spans="1:15" s="2" customFormat="1" x14ac:dyDescent="0.3">
      <c r="A65" s="2" t="s">
        <v>14</v>
      </c>
      <c r="B65" s="12">
        <v>4756.0249999999996</v>
      </c>
      <c r="C65" s="28">
        <v>157</v>
      </c>
      <c r="D65" s="17">
        <f>(2213*0.7641*1.1661+19*0.939+15*1.247+29*1.457)/(2213*1.1661+63)</f>
        <v>0.77569817675981945</v>
      </c>
      <c r="E65" s="11">
        <v>46.15</v>
      </c>
      <c r="F65" s="18">
        <f>(2213*1.1661+63)</f>
        <v>2643.5792999999999</v>
      </c>
      <c r="G65" s="29" t="s">
        <v>5</v>
      </c>
      <c r="H65" s="29" t="s">
        <v>5</v>
      </c>
      <c r="I65" s="30" t="s">
        <v>5</v>
      </c>
      <c r="J65" s="30"/>
      <c r="K65" s="4">
        <v>3.76003E-5</v>
      </c>
      <c r="L65" s="29" t="s">
        <v>5</v>
      </c>
      <c r="M65" s="29" t="s">
        <v>5</v>
      </c>
      <c r="N65" s="11" t="s">
        <v>5</v>
      </c>
      <c r="O65" s="2" t="str">
        <f t="shared" si="0"/>
        <v>'Undersaturated</v>
      </c>
    </row>
    <row r="66" spans="1:15" s="2" customFormat="1" x14ac:dyDescent="0.3">
      <c r="A66" s="2" t="s">
        <v>14</v>
      </c>
      <c r="B66" s="12">
        <v>5249.65</v>
      </c>
      <c r="C66" s="28">
        <v>143</v>
      </c>
      <c r="D66" s="17">
        <v>0.69889205702647672</v>
      </c>
      <c r="E66" s="11">
        <v>44.34</v>
      </c>
      <c r="F66" s="18">
        <v>1964</v>
      </c>
      <c r="G66" s="29">
        <v>1.9510000000000001</v>
      </c>
      <c r="H66" s="11" t="s">
        <v>5</v>
      </c>
      <c r="I66" s="30">
        <v>0.223</v>
      </c>
      <c r="J66" s="30"/>
      <c r="K66" s="4">
        <v>2.46257E-5</v>
      </c>
      <c r="L66" s="12">
        <v>5594.65</v>
      </c>
      <c r="M66" s="29">
        <v>1.9350000000000001</v>
      </c>
      <c r="N66" s="11" t="s">
        <v>5</v>
      </c>
      <c r="O66" s="2" t="str">
        <f t="shared" si="0"/>
        <v>'Undersaturated</v>
      </c>
    </row>
    <row r="67" spans="1:15" s="2" customFormat="1" x14ac:dyDescent="0.3">
      <c r="A67" s="2" t="s">
        <v>14</v>
      </c>
      <c r="B67" s="12">
        <v>4315.0249999999996</v>
      </c>
      <c r="C67" s="28">
        <v>165</v>
      </c>
      <c r="D67" s="17">
        <v>0.76893049792531121</v>
      </c>
      <c r="E67" s="11">
        <v>45.91</v>
      </c>
      <c r="F67" s="18">
        <v>1928</v>
      </c>
      <c r="G67" s="29">
        <v>1.99082731299834</v>
      </c>
      <c r="H67" s="11" t="s">
        <v>5</v>
      </c>
      <c r="I67" s="30">
        <v>0.33200000000000002</v>
      </c>
      <c r="J67" s="30"/>
      <c r="K67" s="4">
        <v>3.0369200000000001E-5</v>
      </c>
      <c r="L67" s="12">
        <v>6213.0249999999996</v>
      </c>
      <c r="M67" s="29">
        <v>1.9061399734829223</v>
      </c>
      <c r="N67" s="11" t="s">
        <v>5</v>
      </c>
      <c r="O67" s="2" t="str">
        <f t="shared" si="0"/>
        <v>'Undersaturated</v>
      </c>
    </row>
    <row r="68" spans="1:15" s="2" customFormat="1" x14ac:dyDescent="0.3">
      <c r="A68" s="2" t="s">
        <v>14</v>
      </c>
      <c r="B68" s="12">
        <v>2965</v>
      </c>
      <c r="C68" s="28">
        <v>147</v>
      </c>
      <c r="D68" s="17">
        <v>0.85086647116324532</v>
      </c>
      <c r="E68" s="11">
        <v>41.15</v>
      </c>
      <c r="F68" s="18">
        <v>1022</v>
      </c>
      <c r="G68" s="29">
        <v>1.5425604341844183</v>
      </c>
      <c r="H68" s="11" t="s">
        <v>5</v>
      </c>
      <c r="I68" s="30">
        <v>0.33800000000000002</v>
      </c>
      <c r="J68" s="30"/>
      <c r="K68" s="4">
        <v>1.72767E-5</v>
      </c>
      <c r="L68" s="12">
        <v>4253</v>
      </c>
      <c r="M68" s="29">
        <v>1.5130603680982628</v>
      </c>
      <c r="N68" s="11" t="s">
        <v>5</v>
      </c>
      <c r="O68" s="2" t="str">
        <f t="shared" ref="O68:O131" si="1">IF(L68&gt;B68,"'Undersaturated","Saturated")</f>
        <v>'Undersaturated</v>
      </c>
    </row>
    <row r="69" spans="1:15" s="2" customFormat="1" x14ac:dyDescent="0.3">
      <c r="A69" s="2" t="s">
        <v>14</v>
      </c>
      <c r="B69" s="12">
        <v>3169.6959999999999</v>
      </c>
      <c r="C69" s="28">
        <v>157.9</v>
      </c>
      <c r="D69" s="17">
        <v>0.8476117647058824</v>
      </c>
      <c r="E69" s="11">
        <v>42.3</v>
      </c>
      <c r="F69" s="18">
        <v>1190</v>
      </c>
      <c r="G69" s="29">
        <v>1.639</v>
      </c>
      <c r="H69" s="11" t="s">
        <v>5</v>
      </c>
      <c r="I69" s="30">
        <v>0.28499999999999998</v>
      </c>
      <c r="J69" s="30"/>
      <c r="K69" s="21">
        <v>2.0018016214593399E-5</v>
      </c>
      <c r="L69" s="12">
        <v>7514.6959999999999</v>
      </c>
      <c r="M69" s="29">
        <v>1.544</v>
      </c>
      <c r="N69" s="11" t="s">
        <v>5</v>
      </c>
      <c r="O69" s="2" t="str">
        <f t="shared" si="1"/>
        <v>'Undersaturated</v>
      </c>
    </row>
    <row r="70" spans="1:15" s="2" customFormat="1" x14ac:dyDescent="0.3">
      <c r="A70" s="2" t="s">
        <v>14</v>
      </c>
      <c r="B70" s="12">
        <v>4115.0249999999996</v>
      </c>
      <c r="C70" s="28">
        <v>147</v>
      </c>
      <c r="D70" s="17">
        <v>0.82734391819160391</v>
      </c>
      <c r="E70" s="11">
        <v>45.53</v>
      </c>
      <c r="F70" s="18">
        <v>1858</v>
      </c>
      <c r="G70" s="29">
        <v>2.0020581987014658</v>
      </c>
      <c r="H70" s="11" t="s">
        <v>5</v>
      </c>
      <c r="I70" s="30">
        <v>0.215</v>
      </c>
      <c r="J70" s="30"/>
      <c r="K70" s="4">
        <v>2.4649699999999999E-5</v>
      </c>
      <c r="L70" s="12">
        <v>5637.0249999999996</v>
      </c>
      <c r="M70" s="29">
        <v>1.9392476670579872</v>
      </c>
      <c r="N70" s="11" t="s">
        <v>5</v>
      </c>
      <c r="O70" s="2" t="str">
        <f t="shared" si="1"/>
        <v>'Undersaturated</v>
      </c>
    </row>
    <row r="71" spans="1:15" s="2" customFormat="1" x14ac:dyDescent="0.3">
      <c r="A71" s="2" t="s">
        <v>14</v>
      </c>
      <c r="B71" s="12">
        <v>3005.6959999999999</v>
      </c>
      <c r="C71" s="28">
        <v>156</v>
      </c>
      <c r="D71" s="17">
        <v>0.86626456310679611</v>
      </c>
      <c r="E71" s="11">
        <v>42.3</v>
      </c>
      <c r="F71" s="18">
        <v>1235</v>
      </c>
      <c r="G71" s="29">
        <v>1.657</v>
      </c>
      <c r="H71" s="11" t="s">
        <v>5</v>
      </c>
      <c r="I71" s="30">
        <v>0.29399999999999998</v>
      </c>
      <c r="J71" s="30"/>
      <c r="K71" s="21">
        <v>1.9306598903568971E-5</v>
      </c>
      <c r="L71" s="12">
        <v>7609.6959999999999</v>
      </c>
      <c r="M71" s="29">
        <v>1.556</v>
      </c>
      <c r="N71" s="11" t="s">
        <v>5</v>
      </c>
      <c r="O71" s="2" t="str">
        <f t="shared" si="1"/>
        <v>'Undersaturated</v>
      </c>
    </row>
    <row r="72" spans="1:15" s="2" customFormat="1" x14ac:dyDescent="0.3">
      <c r="A72" s="2" t="s">
        <v>14</v>
      </c>
      <c r="B72" s="12">
        <v>1265.0250000000001</v>
      </c>
      <c r="C72" s="28">
        <v>157</v>
      </c>
      <c r="D72" s="17">
        <v>0.82463204747774488</v>
      </c>
      <c r="E72" s="11">
        <v>43.65</v>
      </c>
      <c r="F72" s="18">
        <v>338</v>
      </c>
      <c r="G72" s="29">
        <v>1.2838000000000001</v>
      </c>
      <c r="H72" s="11" t="s">
        <v>5</v>
      </c>
      <c r="I72" s="30">
        <v>0.56599999999999995</v>
      </c>
      <c r="J72" s="30"/>
      <c r="K72" s="4">
        <v>1.36184E-5</v>
      </c>
      <c r="L72" s="12">
        <v>3165.0250000000001</v>
      </c>
      <c r="M72" s="29">
        <v>1.2577</v>
      </c>
      <c r="N72" s="11" t="s">
        <v>5</v>
      </c>
      <c r="O72" s="2" t="str">
        <f t="shared" si="1"/>
        <v>'Undersaturated</v>
      </c>
    </row>
    <row r="73" spans="1:15" s="2" customFormat="1" x14ac:dyDescent="0.3">
      <c r="A73" s="2" t="s">
        <v>14</v>
      </c>
      <c r="B73" s="12">
        <v>5276</v>
      </c>
      <c r="C73" s="28">
        <v>170</v>
      </c>
      <c r="D73" s="17">
        <f>(7187*1.2099*0.7258+263*1.2356)/(7187*1.2099+263)</f>
        <v>0.74076641538459465</v>
      </c>
      <c r="E73" s="11">
        <v>51.27</v>
      </c>
      <c r="F73" s="18">
        <f>(7187*1.2099+263)</f>
        <v>8958.5512999999992</v>
      </c>
      <c r="G73" s="29" t="s">
        <v>5</v>
      </c>
      <c r="H73" s="32">
        <v>6.2776609435324395E-4</v>
      </c>
      <c r="I73" s="30" t="s">
        <v>5</v>
      </c>
      <c r="J73" s="30"/>
      <c r="K73" s="21">
        <v>5.8542578969883249E-5</v>
      </c>
      <c r="L73" s="12">
        <v>9715</v>
      </c>
      <c r="M73" s="29" t="s">
        <v>5</v>
      </c>
      <c r="N73" s="32">
        <v>5.3098566869680191E-4</v>
      </c>
      <c r="O73" s="2" t="str">
        <f t="shared" si="1"/>
        <v>'Undersaturated</v>
      </c>
    </row>
    <row r="74" spans="1:15" s="2" customFormat="1" x14ac:dyDescent="0.3">
      <c r="A74" s="2" t="s">
        <v>14</v>
      </c>
      <c r="B74" s="12">
        <v>4925</v>
      </c>
      <c r="C74" s="28">
        <v>174</v>
      </c>
      <c r="D74" s="17">
        <f>(3423*1.1713*0.7514+106*0.8642+95*1.4455)/(3423*1.1713+201)</f>
        <v>0.76990110248294918</v>
      </c>
      <c r="E74" s="11">
        <v>48.39</v>
      </c>
      <c r="F74" s="18">
        <f>3423*1.1713+201</f>
        <v>4210.3598999999995</v>
      </c>
      <c r="G74" s="29" t="s">
        <v>5</v>
      </c>
      <c r="H74" s="32">
        <v>6.8674243724890977E-4</v>
      </c>
      <c r="I74" s="30" t="s">
        <v>5</v>
      </c>
      <c r="J74" s="30"/>
      <c r="K74" s="21">
        <v>4.9084457480247505E-5</v>
      </c>
      <c r="L74" s="12">
        <v>8620</v>
      </c>
      <c r="M74" s="29" t="s">
        <v>5</v>
      </c>
      <c r="N74" s="32">
        <v>6.1396776669224863E-4</v>
      </c>
      <c r="O74" s="2" t="str">
        <f t="shared" si="1"/>
        <v>'Undersaturated</v>
      </c>
    </row>
    <row r="75" spans="1:15" s="2" customFormat="1" x14ac:dyDescent="0.3">
      <c r="A75" s="2" t="s">
        <v>14</v>
      </c>
      <c r="B75" s="12">
        <v>4884</v>
      </c>
      <c r="C75" s="28">
        <v>178</v>
      </c>
      <c r="D75" s="17">
        <f>(4003*1.2158*0.7362+288*1.2696)/(4003*1.2158+288)</f>
        <v>0.7660009209739167</v>
      </c>
      <c r="E75" s="11">
        <v>49.47</v>
      </c>
      <c r="F75" s="18">
        <f>(4003*1.2158+288)</f>
        <v>5154.8473999999997</v>
      </c>
      <c r="G75" s="29" t="s">
        <v>5</v>
      </c>
      <c r="H75" s="32">
        <v>6.7260803766605007E-4</v>
      </c>
      <c r="I75" s="30" t="s">
        <v>5</v>
      </c>
      <c r="J75" s="30"/>
      <c r="K75" s="21">
        <v>5.5507535049465321E-5</v>
      </c>
      <c r="L75" s="12">
        <v>8960</v>
      </c>
      <c r="M75" s="29" t="s">
        <v>5</v>
      </c>
      <c r="N75" s="32">
        <v>5.8540811726895403E-4</v>
      </c>
      <c r="O75" s="2" t="str">
        <f t="shared" si="1"/>
        <v>'Undersaturated</v>
      </c>
    </row>
    <row r="76" spans="1:15" s="2" customFormat="1" x14ac:dyDescent="0.3">
      <c r="A76" s="2" t="s">
        <v>14</v>
      </c>
      <c r="B76" s="12">
        <v>3815</v>
      </c>
      <c r="C76" s="28">
        <v>174</v>
      </c>
      <c r="D76" s="17">
        <v>0.83123413677130042</v>
      </c>
      <c r="E76" s="11">
        <v>48.3</v>
      </c>
      <c r="F76" s="18">
        <v>1784</v>
      </c>
      <c r="G76" s="29">
        <v>1.9897</v>
      </c>
      <c r="H76" s="11" t="s">
        <v>5</v>
      </c>
      <c r="I76" s="30">
        <v>0.20899999999999999</v>
      </c>
      <c r="J76" s="30"/>
      <c r="K76" s="4">
        <v>2.88053E-5</v>
      </c>
      <c r="L76" s="12">
        <v>6115</v>
      </c>
      <c r="M76" s="29">
        <v>1.89041397</v>
      </c>
      <c r="N76" s="11" t="s">
        <v>5</v>
      </c>
      <c r="O76" s="2" t="str">
        <f t="shared" si="1"/>
        <v>'Undersaturated</v>
      </c>
    </row>
    <row r="77" spans="1:15" s="2" customFormat="1" x14ac:dyDescent="0.3">
      <c r="A77" s="2" t="s">
        <v>14</v>
      </c>
      <c r="B77" s="12">
        <v>4374</v>
      </c>
      <c r="C77" s="28">
        <v>174</v>
      </c>
      <c r="D77" s="17">
        <v>0.79573762906309753</v>
      </c>
      <c r="E77" s="11">
        <v>47.5</v>
      </c>
      <c r="F77" s="18">
        <v>2615</v>
      </c>
      <c r="G77" s="29">
        <v>2.4460000000000002</v>
      </c>
      <c r="H77" s="11" t="s">
        <v>5</v>
      </c>
      <c r="I77" s="30">
        <v>0.14699999999999999</v>
      </c>
      <c r="J77" s="30"/>
      <c r="K77" s="4">
        <v>3.5503000000000002E-5</v>
      </c>
      <c r="L77" s="12">
        <v>6415</v>
      </c>
      <c r="M77" s="29">
        <v>2.3170000000000002</v>
      </c>
      <c r="N77" s="11" t="s">
        <v>5</v>
      </c>
      <c r="O77" s="2" t="str">
        <f t="shared" si="1"/>
        <v>'Undersaturated</v>
      </c>
    </row>
    <row r="78" spans="1:15" s="2" customFormat="1" x14ac:dyDescent="0.3">
      <c r="A78" s="2" t="s">
        <v>14</v>
      </c>
      <c r="B78" s="12">
        <v>4161</v>
      </c>
      <c r="C78" s="28">
        <v>169</v>
      </c>
      <c r="D78" s="17">
        <v>0.81640797824116051</v>
      </c>
      <c r="E78" s="11">
        <v>46.200069761207317</v>
      </c>
      <c r="F78" s="18">
        <v>2206</v>
      </c>
      <c r="G78" s="29">
        <v>2.14764883740115</v>
      </c>
      <c r="H78" s="11" t="s">
        <v>5</v>
      </c>
      <c r="I78" s="30">
        <v>0.17599999999999999</v>
      </c>
      <c r="J78" s="30"/>
      <c r="K78" s="21">
        <v>3.2677395172111213E-5</v>
      </c>
      <c r="L78" s="12">
        <v>6365</v>
      </c>
      <c r="M78" s="29">
        <v>2.0428687487688331</v>
      </c>
      <c r="N78" s="11" t="s">
        <v>5</v>
      </c>
      <c r="O78" s="2" t="str">
        <f t="shared" si="1"/>
        <v>'Undersaturated</v>
      </c>
    </row>
    <row r="79" spans="1:15" s="2" customFormat="1" x14ac:dyDescent="0.3">
      <c r="A79" s="2" t="s">
        <v>14</v>
      </c>
      <c r="B79" s="12">
        <v>5490</v>
      </c>
      <c r="C79" s="28">
        <v>173</v>
      </c>
      <c r="D79" s="17">
        <f>(5372*1.1437*0.708+126*0.8667+11*0.8733+25*1.0918+44*1.501)/(5372*1.1437+205)</f>
        <v>0.71855441174552726</v>
      </c>
      <c r="E79" s="11">
        <v>53.3</v>
      </c>
      <c r="F79" s="18">
        <f>(5372*1.1437+205)</f>
        <v>6348.9564</v>
      </c>
      <c r="G79" s="29" t="s">
        <v>5</v>
      </c>
      <c r="H79" s="32">
        <v>6.4029914776183422E-4</v>
      </c>
      <c r="I79" s="30" t="s">
        <v>5</v>
      </c>
      <c r="J79" s="30"/>
      <c r="K79" s="21">
        <v>5.2520973167628993E-5</v>
      </c>
      <c r="L79" s="12">
        <v>7215</v>
      </c>
      <c r="M79" s="29" t="s">
        <v>5</v>
      </c>
      <c r="N79" s="32">
        <v>5.9466466859338027E-4</v>
      </c>
      <c r="O79" s="2" t="str">
        <f t="shared" si="1"/>
        <v>'Undersaturated</v>
      </c>
    </row>
    <row r="80" spans="1:15" s="2" customFormat="1" x14ac:dyDescent="0.3">
      <c r="A80" s="2" t="s">
        <v>14</v>
      </c>
      <c r="B80" s="12">
        <v>4633</v>
      </c>
      <c r="C80" s="28">
        <v>175</v>
      </c>
      <c r="D80" s="17">
        <v>0.77762717770034839</v>
      </c>
      <c r="E80" s="11">
        <v>50.2</v>
      </c>
      <c r="F80" s="18">
        <v>2870</v>
      </c>
      <c r="G80" s="29">
        <v>2.4930187474406478</v>
      </c>
      <c r="H80" s="11" t="s">
        <v>5</v>
      </c>
      <c r="I80" s="30">
        <v>0.123</v>
      </c>
      <c r="J80" s="30"/>
      <c r="K80" s="21">
        <v>3.9453414659042241E-5</v>
      </c>
      <c r="L80" s="12">
        <v>6900</v>
      </c>
      <c r="M80" s="29">
        <v>2.3387812897176889</v>
      </c>
      <c r="N80" s="11" t="s">
        <v>5</v>
      </c>
      <c r="O80" s="2" t="str">
        <f t="shared" si="1"/>
        <v>'Undersaturated</v>
      </c>
    </row>
    <row r="81" spans="1:15" s="2" customFormat="1" x14ac:dyDescent="0.3">
      <c r="A81" s="2" t="s">
        <v>14</v>
      </c>
      <c r="B81" s="12">
        <v>4618</v>
      </c>
      <c r="C81" s="28">
        <v>205</v>
      </c>
      <c r="D81" s="17">
        <v>0.7799001584786055</v>
      </c>
      <c r="E81" s="11">
        <v>47.6</v>
      </c>
      <c r="F81" s="18">
        <v>3786</v>
      </c>
      <c r="G81" s="29">
        <v>3.1960000000000002</v>
      </c>
      <c r="H81" s="11" t="s">
        <v>5</v>
      </c>
      <c r="I81" s="30">
        <v>9.7000000000000003E-2</v>
      </c>
      <c r="J81" s="30"/>
      <c r="K81" s="21">
        <v>7.0318049317459581E-5</v>
      </c>
      <c r="L81" s="12">
        <v>7362</v>
      </c>
      <c r="M81" s="29">
        <v>2.8834312</v>
      </c>
      <c r="N81" s="11" t="s">
        <v>5</v>
      </c>
      <c r="O81" s="2" t="str">
        <f t="shared" si="1"/>
        <v>'Undersaturated</v>
      </c>
    </row>
    <row r="82" spans="1:15" s="2" customFormat="1" x14ac:dyDescent="0.3">
      <c r="A82" s="2" t="s">
        <v>14</v>
      </c>
      <c r="B82" s="12">
        <v>4856</v>
      </c>
      <c r="C82" s="28">
        <v>165</v>
      </c>
      <c r="D82" s="17">
        <v>0.81859073191566978</v>
      </c>
      <c r="E82" s="11">
        <v>49.45</v>
      </c>
      <c r="F82" s="18">
        <v>3878</v>
      </c>
      <c r="G82" s="29">
        <v>3.048</v>
      </c>
      <c r="H82" s="11" t="s">
        <v>5</v>
      </c>
      <c r="I82" s="30">
        <v>0.11</v>
      </c>
      <c r="J82" s="30"/>
      <c r="K82" s="4">
        <v>5.1286399999999997E-5</v>
      </c>
      <c r="L82" s="12">
        <v>7015</v>
      </c>
      <c r="M82" s="29">
        <v>2.8382000000000001</v>
      </c>
      <c r="N82" s="11" t="s">
        <v>5</v>
      </c>
      <c r="O82" s="2" t="str">
        <f t="shared" si="1"/>
        <v>'Undersaturated</v>
      </c>
    </row>
    <row r="83" spans="1:15" s="2" customFormat="1" x14ac:dyDescent="0.3">
      <c r="A83" s="2" t="s">
        <v>14</v>
      </c>
      <c r="B83" s="12">
        <v>5098</v>
      </c>
      <c r="C83" s="28">
        <v>173</v>
      </c>
      <c r="D83" s="17">
        <f>(8735*1.0801*0.8086+36*0.8771+29*1.416)/(8735*1.0801+65)</f>
        <v>0.81071382001707748</v>
      </c>
      <c r="E83" s="11">
        <v>50.63</v>
      </c>
      <c r="F83" s="18">
        <f>(8735*1.0801+65)</f>
        <v>9499.6735000000008</v>
      </c>
      <c r="G83" s="29" t="s">
        <v>5</v>
      </c>
      <c r="H83" s="32">
        <v>6.1843683899999902E-4</v>
      </c>
      <c r="I83" s="30" t="s">
        <v>5</v>
      </c>
      <c r="J83" s="30"/>
      <c r="K83" s="21">
        <v>6.5297767629066359E-5</v>
      </c>
      <c r="L83" s="12">
        <v>7215</v>
      </c>
      <c r="M83" s="29" t="s">
        <v>5</v>
      </c>
      <c r="N83" s="32">
        <v>5.5541978627446625E-4</v>
      </c>
      <c r="O83" s="2" t="str">
        <f t="shared" si="1"/>
        <v>'Undersaturated</v>
      </c>
    </row>
    <row r="84" spans="1:15" s="2" customFormat="1" x14ac:dyDescent="0.3">
      <c r="A84" s="2" t="s">
        <v>14</v>
      </c>
      <c r="B84" s="12">
        <v>4695</v>
      </c>
      <c r="C84" s="28">
        <v>184</v>
      </c>
      <c r="D84" s="17">
        <f>(13859*1.0736*0.7393+30*1.0133+28*1.3807)/(13859*1.0736+58)</f>
        <v>0.74105263846427649</v>
      </c>
      <c r="E84" s="11">
        <v>54.68</v>
      </c>
      <c r="F84" s="18">
        <f>(13859*1.0736+58)</f>
        <v>14937.022400000002</v>
      </c>
      <c r="G84" s="29" t="s">
        <v>5</v>
      </c>
      <c r="H84" s="32">
        <v>6.7487312385271572E-4</v>
      </c>
      <c r="I84" s="30" t="s">
        <v>5</v>
      </c>
      <c r="J84" s="30"/>
      <c r="K84" s="21">
        <v>9.5971359558316165E-5</v>
      </c>
      <c r="L84" s="12">
        <v>8057</v>
      </c>
      <c r="M84" s="29" t="s">
        <v>5</v>
      </c>
      <c r="N84" s="32">
        <v>5.521140446770685E-4</v>
      </c>
      <c r="O84" s="2" t="str">
        <f t="shared" si="1"/>
        <v>'Undersaturated</v>
      </c>
    </row>
    <row r="85" spans="1:15" s="2" customFormat="1" x14ac:dyDescent="0.3">
      <c r="A85" s="2" t="s">
        <v>14</v>
      </c>
      <c r="B85" s="12">
        <v>3658</v>
      </c>
      <c r="C85" s="28">
        <v>165</v>
      </c>
      <c r="D85" s="17">
        <v>0.81186086770028443</v>
      </c>
      <c r="E85" s="11">
        <v>46.8</v>
      </c>
      <c r="F85" s="18">
        <v>1925</v>
      </c>
      <c r="G85" s="29">
        <v>2.0635741274033896</v>
      </c>
      <c r="H85" s="11" t="s">
        <v>5</v>
      </c>
      <c r="I85" s="30">
        <v>0.17435896980184501</v>
      </c>
      <c r="J85" s="30"/>
      <c r="K85" s="4">
        <v>2.7064067788050001E-5</v>
      </c>
      <c r="L85" s="12">
        <v>8330</v>
      </c>
      <c r="M85" s="29">
        <v>1.8912825290639923</v>
      </c>
      <c r="N85" s="11" t="s">
        <v>5</v>
      </c>
      <c r="O85" s="2" t="str">
        <f t="shared" si="1"/>
        <v>'Undersaturated</v>
      </c>
    </row>
    <row r="86" spans="1:15" s="7" customFormat="1" x14ac:dyDescent="0.3">
      <c r="A86" s="2" t="s">
        <v>14</v>
      </c>
      <c r="B86" s="12">
        <v>3515</v>
      </c>
      <c r="C86" s="28">
        <v>185</v>
      </c>
      <c r="D86" s="17">
        <v>0.84594531668754847</v>
      </c>
      <c r="E86" s="11">
        <v>45.82</v>
      </c>
      <c r="F86" s="18">
        <v>1573</v>
      </c>
      <c r="G86" s="29">
        <v>1.8840719058200459</v>
      </c>
      <c r="H86" s="11" t="s">
        <v>5</v>
      </c>
      <c r="I86" s="30">
        <v>0.2</v>
      </c>
      <c r="J86" s="30"/>
      <c r="K86" s="4">
        <v>2.7552E-5</v>
      </c>
      <c r="L86" s="12">
        <v>9815</v>
      </c>
      <c r="M86" s="29">
        <v>1.7033262209799349</v>
      </c>
      <c r="N86" s="11" t="s">
        <v>5</v>
      </c>
      <c r="O86" s="2" t="str">
        <f t="shared" si="1"/>
        <v>'Undersaturated</v>
      </c>
    </row>
    <row r="87" spans="1:15" x14ac:dyDescent="0.3">
      <c r="A87" s="2" t="s">
        <v>14</v>
      </c>
      <c r="B87" s="12">
        <v>3515</v>
      </c>
      <c r="C87" s="28">
        <v>190</v>
      </c>
      <c r="D87" s="17">
        <v>0.8405067484662575</v>
      </c>
      <c r="E87" s="11">
        <v>45.31</v>
      </c>
      <c r="F87" s="18">
        <v>1303</v>
      </c>
      <c r="G87" s="29">
        <v>1.7521</v>
      </c>
      <c r="H87" s="11" t="s">
        <v>5</v>
      </c>
      <c r="I87" s="30">
        <v>0.28499999999999998</v>
      </c>
      <c r="J87" s="30"/>
      <c r="K87" s="4">
        <v>2.47308E-5</v>
      </c>
      <c r="L87" s="12">
        <v>9015</v>
      </c>
      <c r="M87" s="29">
        <v>1.6107</v>
      </c>
      <c r="N87" s="11" t="s">
        <v>5</v>
      </c>
      <c r="O87" s="2" t="str">
        <f t="shared" si="1"/>
        <v>'Undersaturated</v>
      </c>
    </row>
    <row r="88" spans="1:15" s="5" customFormat="1" x14ac:dyDescent="0.3">
      <c r="A88" s="2" t="s">
        <v>14</v>
      </c>
      <c r="B88" s="12">
        <v>4815</v>
      </c>
      <c r="C88" s="28">
        <v>171</v>
      </c>
      <c r="D88" s="17">
        <v>0.82248795518505935</v>
      </c>
      <c r="E88" s="11">
        <v>47.73</v>
      </c>
      <c r="F88" s="18">
        <v>3198</v>
      </c>
      <c r="G88" s="29">
        <v>2.7440000000000002</v>
      </c>
      <c r="H88" s="11" t="s">
        <v>5</v>
      </c>
      <c r="I88" s="30">
        <v>0.13600000000000001</v>
      </c>
      <c r="J88" s="30"/>
      <c r="K88" s="4">
        <f>41.7751123876564/10^6</f>
        <v>4.1775112387656397E-5</v>
      </c>
      <c r="L88" s="12">
        <v>8115</v>
      </c>
      <c r="M88" s="29">
        <v>2.5209999999999999</v>
      </c>
      <c r="N88" s="11" t="s">
        <v>5</v>
      </c>
      <c r="O88" s="2" t="str">
        <f t="shared" si="1"/>
        <v>'Undersaturated</v>
      </c>
    </row>
    <row r="89" spans="1:15" s="5" customFormat="1" x14ac:dyDescent="0.3">
      <c r="A89" s="2" t="s">
        <v>14</v>
      </c>
      <c r="B89" s="12">
        <v>7295</v>
      </c>
      <c r="C89" s="28">
        <v>181</v>
      </c>
      <c r="D89" s="17">
        <f>(14468*1.0403*0.6844+28*0.9129+11*1.3494)/(14468*1.0403+39)</f>
        <v>0.68530874387752616</v>
      </c>
      <c r="E89" s="11">
        <v>51.15</v>
      </c>
      <c r="F89" s="18">
        <f>(14468*1.0403+39)</f>
        <v>15090.0604</v>
      </c>
      <c r="G89" s="29" t="s">
        <v>5</v>
      </c>
      <c r="H89" s="32">
        <v>5.5811357611273895E-4</v>
      </c>
      <c r="I89" s="30" t="s">
        <v>5</v>
      </c>
      <c r="J89" s="30"/>
      <c r="K89" s="21">
        <v>4.5773174304247885E-5</v>
      </c>
      <c r="L89" s="12">
        <v>8634</v>
      </c>
      <c r="M89" s="29" t="s">
        <v>5</v>
      </c>
      <c r="N89" s="32">
        <v>5.2765993372591233E-4</v>
      </c>
      <c r="O89" s="2" t="str">
        <f t="shared" si="1"/>
        <v>'Undersaturated</v>
      </c>
    </row>
    <row r="90" spans="1:15" s="5" customFormat="1" x14ac:dyDescent="0.3">
      <c r="A90" s="2" t="s">
        <v>14</v>
      </c>
      <c r="B90" s="12">
        <v>4735</v>
      </c>
      <c r="C90" s="28">
        <v>169</v>
      </c>
      <c r="D90" s="17">
        <v>0.80864126002039083</v>
      </c>
      <c r="E90" s="11">
        <v>47.84</v>
      </c>
      <c r="F90" s="18">
        <v>3019.0898226608274</v>
      </c>
      <c r="G90" s="29">
        <v>2.6800771815122393</v>
      </c>
      <c r="H90" s="11" t="s">
        <v>5</v>
      </c>
      <c r="I90" s="30">
        <v>0.13800000000000001</v>
      </c>
      <c r="J90" s="30"/>
      <c r="K90" s="4">
        <v>4.4029273699827716E-5</v>
      </c>
      <c r="L90" s="12">
        <v>7619</v>
      </c>
      <c r="M90" s="29">
        <v>2.4782733289085912</v>
      </c>
      <c r="N90" s="11" t="s">
        <v>5</v>
      </c>
      <c r="O90" s="2" t="str">
        <f t="shared" si="1"/>
        <v>'Undersaturated</v>
      </c>
    </row>
    <row r="91" spans="1:15" s="5" customFormat="1" x14ac:dyDescent="0.3">
      <c r="A91" s="2" t="s">
        <v>14</v>
      </c>
      <c r="B91" s="12">
        <v>2236.6959999999999</v>
      </c>
      <c r="C91" s="28">
        <v>155</v>
      </c>
      <c r="D91" s="17">
        <v>0.8641896139865074</v>
      </c>
      <c r="E91" s="11">
        <v>40.33</v>
      </c>
      <c r="F91" s="18">
        <v>897</v>
      </c>
      <c r="G91" s="29" t="s">
        <v>5</v>
      </c>
      <c r="H91" s="31" t="s">
        <v>5</v>
      </c>
      <c r="I91" s="30">
        <v>0.39649000000000001</v>
      </c>
      <c r="J91" s="30"/>
      <c r="K91" s="4">
        <v>1.8600000000000001E-5</v>
      </c>
      <c r="L91" s="12">
        <v>5014.6959999999999</v>
      </c>
      <c r="M91" s="29" t="s">
        <v>5</v>
      </c>
      <c r="N91" s="11" t="s">
        <v>5</v>
      </c>
      <c r="O91" s="2" t="str">
        <f t="shared" si="1"/>
        <v>'Undersaturated</v>
      </c>
    </row>
    <row r="92" spans="1:15" s="5" customFormat="1" x14ac:dyDescent="0.3">
      <c r="A92" s="2" t="s">
        <v>14</v>
      </c>
      <c r="B92" s="12">
        <v>3314.6959999999999</v>
      </c>
      <c r="C92" s="28">
        <v>165</v>
      </c>
      <c r="D92" s="17">
        <v>0.75937338889354078</v>
      </c>
      <c r="E92" s="11">
        <v>42.16</v>
      </c>
      <c r="F92" s="18">
        <v>1230</v>
      </c>
      <c r="G92" s="29" t="s">
        <v>5</v>
      </c>
      <c r="H92" s="11" t="s">
        <v>5</v>
      </c>
      <c r="I92" s="30">
        <v>0.2782</v>
      </c>
      <c r="J92" s="30"/>
      <c r="K92" s="4">
        <v>2.3399999999999996E-5</v>
      </c>
      <c r="L92" s="12">
        <v>5614.6959999999999</v>
      </c>
      <c r="M92" s="29" t="s">
        <v>5</v>
      </c>
      <c r="N92" s="11" t="s">
        <v>5</v>
      </c>
      <c r="O92" s="2" t="str">
        <f t="shared" si="1"/>
        <v>'Undersaturated</v>
      </c>
    </row>
    <row r="93" spans="1:15" s="5" customFormat="1" x14ac:dyDescent="0.3">
      <c r="A93" s="2" t="s">
        <v>14</v>
      </c>
      <c r="B93" s="12">
        <v>4498</v>
      </c>
      <c r="C93" s="28">
        <v>148</v>
      </c>
      <c r="D93" s="17">
        <v>0.88665790947270184</v>
      </c>
      <c r="E93" s="11">
        <v>44.8</v>
      </c>
      <c r="F93" s="18">
        <v>2143</v>
      </c>
      <c r="G93" s="29">
        <v>2.0310990912762636</v>
      </c>
      <c r="H93" s="11" t="s">
        <v>5</v>
      </c>
      <c r="I93" s="30">
        <v>0.188</v>
      </c>
      <c r="J93" s="30"/>
      <c r="K93" s="4">
        <v>2.50258E-5</v>
      </c>
      <c r="L93" s="12">
        <v>5695</v>
      </c>
      <c r="M93" s="29">
        <v>1.9804513013419314</v>
      </c>
      <c r="N93" s="11" t="s">
        <v>5</v>
      </c>
      <c r="O93" s="2" t="str">
        <f t="shared" si="1"/>
        <v>'Undersaturated</v>
      </c>
    </row>
    <row r="94" spans="1:15" s="5" customFormat="1" x14ac:dyDescent="0.3">
      <c r="A94" s="2" t="s">
        <v>14</v>
      </c>
      <c r="B94" s="12">
        <v>3365</v>
      </c>
      <c r="C94" s="28">
        <v>154</v>
      </c>
      <c r="D94" s="17">
        <v>0.83274397003745326</v>
      </c>
      <c r="E94" s="11">
        <v>44.91</v>
      </c>
      <c r="F94" s="18">
        <v>1335</v>
      </c>
      <c r="G94" s="29">
        <v>1.6715649852853085</v>
      </c>
      <c r="H94" s="11" t="s">
        <v>5</v>
      </c>
      <c r="I94" s="30">
        <v>0.39200000000000002</v>
      </c>
      <c r="J94" s="30"/>
      <c r="K94" s="4">
        <v>2.0557999999999999E-5</v>
      </c>
      <c r="L94" s="12">
        <v>5925</v>
      </c>
      <c r="M94" s="29">
        <v>1.6063696848506726</v>
      </c>
      <c r="N94" s="11" t="s">
        <v>5</v>
      </c>
      <c r="O94" s="2" t="str">
        <f t="shared" si="1"/>
        <v>'Undersaturated</v>
      </c>
    </row>
    <row r="95" spans="1:15" s="5" customFormat="1" x14ac:dyDescent="0.3">
      <c r="A95" s="2" t="s">
        <v>14</v>
      </c>
      <c r="B95" s="12">
        <v>3955</v>
      </c>
      <c r="C95" s="28">
        <v>159</v>
      </c>
      <c r="D95" s="17">
        <v>0.83111498405951112</v>
      </c>
      <c r="E95" s="11">
        <v>46.47</v>
      </c>
      <c r="F95" s="18">
        <v>1882</v>
      </c>
      <c r="G95" s="29">
        <v>1.9730000000000001</v>
      </c>
      <c r="H95" s="11" t="s">
        <v>5</v>
      </c>
      <c r="I95" s="30">
        <v>0.17299999999999999</v>
      </c>
      <c r="J95" s="30"/>
      <c r="K95" s="4">
        <v>2.7320860476648599E-5</v>
      </c>
      <c r="L95" s="12">
        <v>6115</v>
      </c>
      <c r="M95" s="29">
        <v>1.887</v>
      </c>
      <c r="N95" s="11" t="s">
        <v>5</v>
      </c>
      <c r="O95" s="2" t="str">
        <f t="shared" si="1"/>
        <v>'Undersaturated</v>
      </c>
    </row>
    <row r="96" spans="1:15" s="5" customFormat="1" x14ac:dyDescent="0.3">
      <c r="A96" s="2" t="s">
        <v>14</v>
      </c>
      <c r="B96" s="12">
        <v>4349</v>
      </c>
      <c r="C96" s="28">
        <v>148</v>
      </c>
      <c r="D96" s="17">
        <v>0.88824140253969686</v>
      </c>
      <c r="E96" s="11">
        <v>44.56</v>
      </c>
      <c r="F96" s="18">
        <v>2038</v>
      </c>
      <c r="G96" s="29">
        <v>2.0019999999999998</v>
      </c>
      <c r="H96" s="31" t="s">
        <v>5</v>
      </c>
      <c r="I96" s="30">
        <v>0.188</v>
      </c>
      <c r="J96" s="30"/>
      <c r="K96" s="4">
        <v>2.4738317170880355E-5</v>
      </c>
      <c r="L96" s="12">
        <v>6002</v>
      </c>
      <c r="M96" s="29">
        <v>1.9382999999999999</v>
      </c>
      <c r="N96" s="11" t="s">
        <v>5</v>
      </c>
      <c r="O96" s="2" t="str">
        <f t="shared" si="1"/>
        <v>'Undersaturated</v>
      </c>
    </row>
    <row r="97" spans="1:15" s="5" customFormat="1" x14ac:dyDescent="0.3">
      <c r="A97" s="2" t="s">
        <v>14</v>
      </c>
      <c r="B97" s="12">
        <v>3915</v>
      </c>
      <c r="C97" s="28">
        <v>154</v>
      </c>
      <c r="D97" s="17">
        <v>0.84009799161896836</v>
      </c>
      <c r="E97" s="11">
        <v>45.09</v>
      </c>
      <c r="F97" s="18">
        <v>1759</v>
      </c>
      <c r="G97" s="29">
        <v>1.8997852987184269</v>
      </c>
      <c r="H97" s="11" t="s">
        <v>5</v>
      </c>
      <c r="I97" s="30">
        <v>0.36199999999999999</v>
      </c>
      <c r="J97" s="30"/>
      <c r="K97" s="4">
        <v>2.5837527208457165E-5</v>
      </c>
      <c r="L97" s="12">
        <v>6002</v>
      </c>
      <c r="M97" s="29">
        <v>1.8224080208375946</v>
      </c>
      <c r="N97" s="11" t="s">
        <v>5</v>
      </c>
      <c r="O97" s="2" t="str">
        <f t="shared" si="1"/>
        <v>'Undersaturated</v>
      </c>
    </row>
    <row r="98" spans="1:15" s="5" customFormat="1" x14ac:dyDescent="0.3">
      <c r="A98" s="2" t="s">
        <v>14</v>
      </c>
      <c r="B98" s="12">
        <v>4133</v>
      </c>
      <c r="C98" s="28">
        <v>162</v>
      </c>
      <c r="D98" s="17">
        <v>0.84338973647711524</v>
      </c>
      <c r="E98" s="11">
        <v>47.21</v>
      </c>
      <c r="F98" s="18">
        <v>2163</v>
      </c>
      <c r="G98" s="29">
        <v>2.1421000000000001</v>
      </c>
      <c r="H98" s="11" t="s">
        <v>5</v>
      </c>
      <c r="I98" s="30">
        <v>0.17399999999999999</v>
      </c>
      <c r="J98" s="30"/>
      <c r="K98" s="4">
        <v>3.0348992576962501E-5</v>
      </c>
      <c r="L98" s="12">
        <v>6318</v>
      </c>
      <c r="M98" s="29">
        <v>2.0386000000000002</v>
      </c>
      <c r="N98" s="11" t="s">
        <v>5</v>
      </c>
      <c r="O98" s="2" t="str">
        <f t="shared" si="1"/>
        <v>'Undersaturated</v>
      </c>
    </row>
    <row r="99" spans="1:15" s="5" customFormat="1" x14ac:dyDescent="0.3">
      <c r="A99" s="2" t="s">
        <v>14</v>
      </c>
      <c r="B99" s="12">
        <v>4397</v>
      </c>
      <c r="C99" s="28">
        <v>162</v>
      </c>
      <c r="D99" s="17">
        <v>0.80202568367570037</v>
      </c>
      <c r="E99" s="11">
        <v>47.8</v>
      </c>
      <c r="F99" s="18">
        <v>2369</v>
      </c>
      <c r="G99" s="29">
        <v>2.2797000000000001</v>
      </c>
      <c r="H99" s="11" t="s">
        <v>5</v>
      </c>
      <c r="I99" s="30">
        <v>0.155</v>
      </c>
      <c r="J99" s="30"/>
      <c r="K99" s="4">
        <v>3.2977396396851703E-5</v>
      </c>
      <c r="L99" s="12">
        <v>6724</v>
      </c>
      <c r="M99" s="29">
        <v>2.1575000000000002</v>
      </c>
      <c r="N99" s="11" t="s">
        <v>5</v>
      </c>
      <c r="O99" s="2" t="str">
        <f t="shared" si="1"/>
        <v>'Undersaturated</v>
      </c>
    </row>
    <row r="100" spans="1:15" s="8" customFormat="1" x14ac:dyDescent="0.3">
      <c r="A100" s="2" t="s">
        <v>14</v>
      </c>
      <c r="B100" s="3">
        <v>5706</v>
      </c>
      <c r="C100" s="3">
        <v>190</v>
      </c>
      <c r="D100" s="17">
        <f>(9115*1.1799*0.7354+85*0.8537+66*1.0042+31*1.183+27*1.3195)/(9115*1.1799+210)</f>
        <v>0.74057175502290817</v>
      </c>
      <c r="E100" s="15">
        <v>54.83</v>
      </c>
      <c r="F100" s="18">
        <f>(9115*1.1799+210)</f>
        <v>10964.788499999999</v>
      </c>
      <c r="G100" s="29" t="s">
        <v>5</v>
      </c>
      <c r="H100" s="3">
        <v>6.2258041928542069E-4</v>
      </c>
      <c r="I100" s="30" t="s">
        <v>5</v>
      </c>
      <c r="J100" s="30"/>
      <c r="K100" s="21">
        <v>5.9073348772862548E-5</v>
      </c>
      <c r="L100" s="3">
        <v>8703</v>
      </c>
      <c r="M100" s="29" t="s">
        <v>5</v>
      </c>
      <c r="N100" s="3">
        <v>5.4474318725192456E-4</v>
      </c>
      <c r="O100" s="2" t="str">
        <f t="shared" si="1"/>
        <v>'Undersaturated</v>
      </c>
    </row>
    <row r="101" spans="1:15" s="8" customFormat="1" x14ac:dyDescent="0.3">
      <c r="A101" s="2" t="s">
        <v>14</v>
      </c>
      <c r="B101" s="3">
        <v>4809</v>
      </c>
      <c r="C101" s="3">
        <v>177</v>
      </c>
      <c r="D101" s="17">
        <f>(4572*1.2006*0.7484+163*1.1376+34*1.2528+35*1.3791)/(4572*1.2006+231)</f>
        <v>0.76647858586477324</v>
      </c>
      <c r="E101" s="15">
        <v>52.46</v>
      </c>
      <c r="F101" s="18">
        <f>4572*1.2006+231</f>
        <v>5720.1431999999995</v>
      </c>
      <c r="G101" s="29" t="s">
        <v>5</v>
      </c>
      <c r="H101" s="3">
        <v>6.7563458978845889E-4</v>
      </c>
      <c r="I101" s="30" t="s">
        <v>5</v>
      </c>
      <c r="J101" s="30"/>
      <c r="K101" s="21">
        <v>6.238986000591078E-5</v>
      </c>
      <c r="L101" s="3">
        <v>7549</v>
      </c>
      <c r="M101" s="29" t="s">
        <v>5</v>
      </c>
      <c r="N101" s="3">
        <v>6.0341290338152595E-4</v>
      </c>
      <c r="O101" s="2" t="str">
        <f t="shared" si="1"/>
        <v>'Undersaturated</v>
      </c>
    </row>
    <row r="102" spans="1:15" x14ac:dyDescent="0.3">
      <c r="A102" s="2" t="s">
        <v>14</v>
      </c>
      <c r="B102" s="3">
        <v>4257</v>
      </c>
      <c r="C102" s="3">
        <v>165</v>
      </c>
      <c r="D102" s="17">
        <v>0.83708334249218064</v>
      </c>
      <c r="E102" s="15">
        <v>47.27</v>
      </c>
      <c r="F102" s="20">
        <v>2453</v>
      </c>
      <c r="G102" s="16">
        <v>2.3198206028112054</v>
      </c>
      <c r="H102" s="11" t="s">
        <v>5</v>
      </c>
      <c r="I102" s="34">
        <v>0.1697175980790222</v>
      </c>
      <c r="J102" s="34"/>
      <c r="K102" s="35">
        <v>3.4219600381535102E-5</v>
      </c>
      <c r="L102" s="3">
        <v>7334</v>
      </c>
      <c r="M102" s="16">
        <v>2.1651658959571254</v>
      </c>
      <c r="N102" s="11" t="s">
        <v>5</v>
      </c>
      <c r="O102" s="2" t="str">
        <f t="shared" si="1"/>
        <v>'Undersaturated</v>
      </c>
    </row>
    <row r="103" spans="1:15" x14ac:dyDescent="0.3">
      <c r="A103" s="2" t="s">
        <v>14</v>
      </c>
      <c r="B103" s="3">
        <v>4127</v>
      </c>
      <c r="C103" s="3">
        <v>158</v>
      </c>
      <c r="D103" s="17">
        <v>0.82586756361566482</v>
      </c>
      <c r="E103" s="15">
        <v>47.86</v>
      </c>
      <c r="F103" s="18">
        <v>2179.0347581216583</v>
      </c>
      <c r="G103" s="16">
        <v>2.14110065649654</v>
      </c>
      <c r="H103" s="11" t="s">
        <v>5</v>
      </c>
      <c r="I103" s="34">
        <v>0.21029315067669996</v>
      </c>
      <c r="J103" s="34"/>
      <c r="K103" s="4">
        <v>2.9301800000000001E-5</v>
      </c>
      <c r="L103" s="3">
        <v>7426</v>
      </c>
      <c r="M103" s="16">
        <v>2.0040266297345735</v>
      </c>
      <c r="N103" s="11" t="s">
        <v>5</v>
      </c>
      <c r="O103" s="2" t="str">
        <f t="shared" si="1"/>
        <v>'Undersaturated</v>
      </c>
    </row>
    <row r="104" spans="1:15" x14ac:dyDescent="0.3">
      <c r="A104" s="2" t="s">
        <v>14</v>
      </c>
      <c r="B104" s="3">
        <v>4503</v>
      </c>
      <c r="C104" s="3">
        <v>143</v>
      </c>
      <c r="D104" s="17">
        <v>0.80344012511170682</v>
      </c>
      <c r="E104" s="15">
        <v>47.09</v>
      </c>
      <c r="F104" s="20">
        <v>2238</v>
      </c>
      <c r="G104" s="3">
        <v>2.1539999999999999</v>
      </c>
      <c r="H104" s="11" t="s">
        <v>5</v>
      </c>
      <c r="I104" s="3">
        <v>0.17400000000000002</v>
      </c>
      <c r="J104" s="3"/>
      <c r="K104" s="19">
        <v>3.4412219858609198E-5</v>
      </c>
      <c r="L104" s="3">
        <v>4476</v>
      </c>
      <c r="M104" s="16">
        <v>2.4873492917847027</v>
      </c>
      <c r="N104" s="11" t="s">
        <v>5</v>
      </c>
      <c r="O104" s="2" t="str">
        <f t="shared" si="1"/>
        <v>Saturated</v>
      </c>
    </row>
    <row r="105" spans="1:15" x14ac:dyDescent="0.3">
      <c r="A105" s="2" t="s">
        <v>14</v>
      </c>
      <c r="B105" s="3">
        <v>4335</v>
      </c>
      <c r="C105" s="3">
        <v>135</v>
      </c>
      <c r="D105" s="17">
        <v>0.84994320263829215</v>
      </c>
      <c r="E105" s="15">
        <v>44.46</v>
      </c>
      <c r="F105" s="20">
        <v>1973</v>
      </c>
      <c r="G105" s="16">
        <v>2.0062134571101491</v>
      </c>
      <c r="H105" s="11" t="s">
        <v>5</v>
      </c>
      <c r="I105" s="3">
        <v>0.26300000000000001</v>
      </c>
      <c r="J105" s="3"/>
      <c r="K105" s="19">
        <v>2.3988000000000001E-5</v>
      </c>
      <c r="L105" s="3">
        <v>4275</v>
      </c>
      <c r="M105" s="16">
        <v>2.0122722217506217</v>
      </c>
      <c r="N105" s="11" t="s">
        <v>5</v>
      </c>
      <c r="O105" s="2" t="str">
        <f t="shared" si="1"/>
        <v>Saturated</v>
      </c>
    </row>
    <row r="106" spans="1:15" x14ac:dyDescent="0.3">
      <c r="A106" s="1" t="s">
        <v>13</v>
      </c>
      <c r="B106" s="22">
        <v>2900</v>
      </c>
      <c r="C106" s="3">
        <v>159</v>
      </c>
      <c r="D106" s="24">
        <v>0.89081440935686729</v>
      </c>
      <c r="E106" s="26">
        <v>43.6</v>
      </c>
      <c r="F106" s="22">
        <v>1315</v>
      </c>
      <c r="G106" s="24">
        <v>1.6970000000000001</v>
      </c>
      <c r="H106" s="11" t="s">
        <v>5</v>
      </c>
      <c r="I106" s="24">
        <v>0.316</v>
      </c>
      <c r="J106" s="5"/>
      <c r="K106" s="35">
        <v>1.35736506880662E-5</v>
      </c>
      <c r="L106" s="22">
        <v>4870</v>
      </c>
      <c r="M106" s="16">
        <v>1.6419999999999999</v>
      </c>
      <c r="N106" s="11" t="s">
        <v>5</v>
      </c>
      <c r="O106" s="2" t="str">
        <f t="shared" si="1"/>
        <v>'Undersaturated</v>
      </c>
    </row>
    <row r="107" spans="1:15" x14ac:dyDescent="0.3">
      <c r="A107" s="1" t="s">
        <v>13</v>
      </c>
      <c r="B107" s="22">
        <v>3584.9960000000001</v>
      </c>
      <c r="C107" s="3">
        <v>163</v>
      </c>
      <c r="D107" s="24">
        <v>0.78564357945546592</v>
      </c>
      <c r="E107" s="27">
        <v>47.771298521831739</v>
      </c>
      <c r="F107" s="22">
        <v>1883.8370124237647</v>
      </c>
      <c r="G107" s="24">
        <v>1.99739661192361</v>
      </c>
      <c r="H107" s="11" t="s">
        <v>5</v>
      </c>
      <c r="I107" s="24">
        <v>0.2286</v>
      </c>
      <c r="J107" s="5"/>
      <c r="K107" s="35">
        <v>1.6840000000000001E-5</v>
      </c>
      <c r="L107" s="22">
        <v>6015</v>
      </c>
      <c r="M107" s="16">
        <v>1.8919970656473581</v>
      </c>
      <c r="N107" s="11" t="s">
        <v>5</v>
      </c>
      <c r="O107" s="2" t="str">
        <f t="shared" si="1"/>
        <v>'Undersaturated</v>
      </c>
    </row>
    <row r="108" spans="1:15" x14ac:dyDescent="0.3">
      <c r="A108" s="1" t="s">
        <v>13</v>
      </c>
      <c r="B108" s="22">
        <v>3313</v>
      </c>
      <c r="C108" s="3">
        <v>157</v>
      </c>
      <c r="D108" s="24">
        <v>0.85875487465181055</v>
      </c>
      <c r="E108" s="26">
        <v>40.200000000000003</v>
      </c>
      <c r="F108" s="22">
        <v>1077</v>
      </c>
      <c r="G108" s="24">
        <v>1.5429999999999999</v>
      </c>
      <c r="H108" s="11" t="s">
        <v>5</v>
      </c>
      <c r="I108" s="24">
        <v>0.41899999999999998</v>
      </c>
      <c r="J108" s="5"/>
      <c r="K108" s="35">
        <v>1.2187330891871359E-5</v>
      </c>
      <c r="L108" s="23">
        <v>4526.6959999999999</v>
      </c>
      <c r="M108" s="16">
        <v>1.5166742807596807</v>
      </c>
      <c r="N108" s="11" t="s">
        <v>5</v>
      </c>
      <c r="O108" s="2" t="str">
        <f t="shared" si="1"/>
        <v>'Undersaturated</v>
      </c>
    </row>
    <row r="109" spans="1:15" x14ac:dyDescent="0.3">
      <c r="A109" s="1" t="s">
        <v>13</v>
      </c>
      <c r="B109" s="22">
        <v>2551</v>
      </c>
      <c r="C109" s="3">
        <v>151</v>
      </c>
      <c r="D109" s="24">
        <v>0.89849999999999997</v>
      </c>
      <c r="E109" s="26">
        <v>40.700000000000003</v>
      </c>
      <c r="F109" s="22">
        <v>828</v>
      </c>
      <c r="G109" s="24">
        <v>1.427</v>
      </c>
      <c r="H109" s="11" t="s">
        <v>5</v>
      </c>
      <c r="I109" s="24">
        <v>0.51100000000000001</v>
      </c>
      <c r="J109" s="5"/>
      <c r="K109" s="35">
        <v>1.1764543174783324E-5</v>
      </c>
      <c r="L109" s="22">
        <v>3410</v>
      </c>
      <c r="M109" s="16">
        <v>1.411303</v>
      </c>
      <c r="N109" s="11" t="s">
        <v>5</v>
      </c>
      <c r="O109" s="2" t="str">
        <f t="shared" si="1"/>
        <v>'Undersaturated</v>
      </c>
    </row>
    <row r="110" spans="1:15" x14ac:dyDescent="0.3">
      <c r="A110" s="1" t="s">
        <v>13</v>
      </c>
      <c r="B110" s="22">
        <v>2528</v>
      </c>
      <c r="C110" s="3">
        <v>153</v>
      </c>
      <c r="D110" s="25">
        <v>0.87901334951456311</v>
      </c>
      <c r="E110" s="26">
        <v>39.299999999999997</v>
      </c>
      <c r="F110" s="22">
        <v>824</v>
      </c>
      <c r="G110" s="24">
        <v>1.45</v>
      </c>
      <c r="H110" s="11" t="s">
        <v>5</v>
      </c>
      <c r="I110" s="24">
        <v>0.48899999999999999</v>
      </c>
      <c r="J110" s="5"/>
      <c r="K110" s="35">
        <v>1.11352235969781E-5</v>
      </c>
      <c r="L110" s="22">
        <v>3515</v>
      </c>
      <c r="M110" s="16">
        <v>1.4324304762790159</v>
      </c>
      <c r="N110" s="11" t="s">
        <v>5</v>
      </c>
      <c r="O110" s="2" t="str">
        <f t="shared" si="1"/>
        <v>'Undersaturated</v>
      </c>
    </row>
    <row r="111" spans="1:15" x14ac:dyDescent="0.3">
      <c r="A111" s="1" t="s">
        <v>13</v>
      </c>
      <c r="B111" s="22">
        <v>2562</v>
      </c>
      <c r="C111" s="3">
        <v>153</v>
      </c>
      <c r="D111" s="25">
        <v>0.86815831435079716</v>
      </c>
      <c r="E111" s="26">
        <v>42.6</v>
      </c>
      <c r="F111" s="22">
        <v>878</v>
      </c>
      <c r="G111" s="24">
        <v>1.4550000000000001</v>
      </c>
      <c r="H111" s="11" t="s">
        <v>5</v>
      </c>
      <c r="I111" s="24">
        <v>0.41299999999999998</v>
      </c>
      <c r="J111" s="5"/>
      <c r="K111" s="35">
        <v>1.23589010327442E-5</v>
      </c>
      <c r="L111" s="22">
        <v>3635</v>
      </c>
      <c r="M111" s="16">
        <v>1.4338039390944741</v>
      </c>
      <c r="N111" s="11" t="s">
        <v>5</v>
      </c>
      <c r="O111" s="2" t="str">
        <f t="shared" si="1"/>
        <v>'Undersaturated</v>
      </c>
    </row>
    <row r="112" spans="1:15" x14ac:dyDescent="0.3">
      <c r="A112" s="1" t="s">
        <v>13</v>
      </c>
      <c r="B112" s="22">
        <v>1714.9959999999999</v>
      </c>
      <c r="C112" s="3">
        <v>170</v>
      </c>
      <c r="D112" s="25">
        <v>0.98686008676789583</v>
      </c>
      <c r="E112" s="27">
        <v>38.33</v>
      </c>
      <c r="F112" s="23">
        <v>461</v>
      </c>
      <c r="G112" s="24">
        <v>1.2956000000000001</v>
      </c>
      <c r="H112" s="11" t="s">
        <v>5</v>
      </c>
      <c r="I112" s="24">
        <v>0.98399999999999999</v>
      </c>
      <c r="J112" s="5"/>
      <c r="K112" s="35">
        <v>8.3399999999999998E-6</v>
      </c>
      <c r="L112" s="22">
        <v>4814.9960000000001</v>
      </c>
      <c r="M112" s="16">
        <v>1.2562137600000001</v>
      </c>
      <c r="N112" s="11" t="s">
        <v>5</v>
      </c>
      <c r="O112" s="2" t="str">
        <f t="shared" si="1"/>
        <v>'Undersaturated</v>
      </c>
    </row>
    <row r="113" spans="1:15" x14ac:dyDescent="0.3">
      <c r="A113" s="1" t="s">
        <v>13</v>
      </c>
      <c r="B113" s="22">
        <v>1614.9959999999999</v>
      </c>
      <c r="C113" s="3">
        <v>165</v>
      </c>
      <c r="D113" s="25">
        <v>0.9594061224489796</v>
      </c>
      <c r="E113" s="27">
        <v>37.9</v>
      </c>
      <c r="F113" s="23">
        <v>441</v>
      </c>
      <c r="G113" s="24">
        <v>1.2822</v>
      </c>
      <c r="H113" s="11" t="s">
        <v>5</v>
      </c>
      <c r="I113" s="24">
        <v>0.91500000000000004</v>
      </c>
      <c r="J113" s="5"/>
      <c r="K113" s="35">
        <v>8.8419999999999994E-6</v>
      </c>
      <c r="L113" s="22">
        <v>3964.9960000000001</v>
      </c>
      <c r="M113" s="16">
        <v>1.2518759700000002</v>
      </c>
      <c r="N113" s="11" t="s">
        <v>5</v>
      </c>
      <c r="O113" s="2" t="str">
        <f t="shared" si="1"/>
        <v>'Undersaturated</v>
      </c>
    </row>
    <row r="114" spans="1:15" x14ac:dyDescent="0.3">
      <c r="A114" s="1" t="s">
        <v>13</v>
      </c>
      <c r="B114" s="22">
        <v>3575</v>
      </c>
      <c r="C114" s="3">
        <v>151</v>
      </c>
      <c r="D114" s="25">
        <v>0.83362575680739615</v>
      </c>
      <c r="E114" s="26">
        <v>44.7</v>
      </c>
      <c r="F114" s="22">
        <v>1428</v>
      </c>
      <c r="G114" s="24">
        <v>1.712</v>
      </c>
      <c r="H114" s="11" t="s">
        <v>5</v>
      </c>
      <c r="I114" s="24">
        <v>0.309</v>
      </c>
      <c r="J114" s="5"/>
      <c r="K114" s="35">
        <v>1.29747949764333E-5</v>
      </c>
      <c r="L114" s="22">
        <v>5518</v>
      </c>
      <c r="M114" s="16">
        <v>1.6586662469385278</v>
      </c>
      <c r="N114" s="11" t="s">
        <v>5</v>
      </c>
      <c r="O114" s="2" t="str">
        <f t="shared" si="1"/>
        <v>'Undersaturated</v>
      </c>
    </row>
    <row r="115" spans="1:15" x14ac:dyDescent="0.3">
      <c r="A115" s="1" t="s">
        <v>13</v>
      </c>
      <c r="B115" s="22">
        <v>3131</v>
      </c>
      <c r="C115" s="3">
        <v>161</v>
      </c>
      <c r="D115" s="25">
        <v>0.85542971530249112</v>
      </c>
      <c r="E115" s="26">
        <v>43.6</v>
      </c>
      <c r="F115" s="22">
        <v>1124</v>
      </c>
      <c r="G115" s="24">
        <v>1.5860000000000001</v>
      </c>
      <c r="H115" s="11" t="s">
        <v>5</v>
      </c>
      <c r="I115" s="24">
        <v>0.376</v>
      </c>
      <c r="J115" s="5"/>
      <c r="K115" s="35">
        <v>1.23492033978367E-5</v>
      </c>
      <c r="L115" s="22">
        <v>5009</v>
      </c>
      <c r="M115" s="16">
        <v>1.5429931315257974</v>
      </c>
      <c r="N115" s="11" t="s">
        <v>5</v>
      </c>
      <c r="O115" s="2" t="str">
        <f t="shared" si="1"/>
        <v>'Undersaturated</v>
      </c>
    </row>
    <row r="116" spans="1:15" x14ac:dyDescent="0.3">
      <c r="A116" s="1" t="s">
        <v>13</v>
      </c>
      <c r="B116" s="22">
        <v>2992</v>
      </c>
      <c r="C116" s="3">
        <v>160</v>
      </c>
      <c r="D116" s="25">
        <v>0.87219552541973877</v>
      </c>
      <c r="E116" s="26">
        <v>44.4</v>
      </c>
      <c r="F116" s="22">
        <v>1178</v>
      </c>
      <c r="G116" s="24">
        <v>1.6619999999999999</v>
      </c>
      <c r="H116" s="11" t="s">
        <v>5</v>
      </c>
      <c r="I116" s="24">
        <v>0.313</v>
      </c>
      <c r="J116" s="5"/>
      <c r="K116" s="35">
        <v>1.2937006721061701E-5</v>
      </c>
      <c r="L116" s="22">
        <v>5050</v>
      </c>
      <c r="M116" s="16">
        <v>1.6067700795736513</v>
      </c>
      <c r="N116" s="11" t="s">
        <v>5</v>
      </c>
      <c r="O116" s="2" t="str">
        <f t="shared" si="1"/>
        <v>'Undersaturated</v>
      </c>
    </row>
    <row r="117" spans="1:15" x14ac:dyDescent="0.3">
      <c r="A117" s="1" t="s">
        <v>13</v>
      </c>
      <c r="B117" s="22">
        <v>1614.9959999999999</v>
      </c>
      <c r="C117" s="3">
        <v>175</v>
      </c>
      <c r="D117" s="25">
        <v>0.97651249999999989</v>
      </c>
      <c r="E117" s="27">
        <v>37.82</v>
      </c>
      <c r="F117" s="23">
        <v>440</v>
      </c>
      <c r="G117" s="24">
        <v>1.2887999999999999</v>
      </c>
      <c r="H117" s="11" t="s">
        <v>5</v>
      </c>
      <c r="I117" s="25">
        <v>1.107</v>
      </c>
      <c r="J117" s="5"/>
      <c r="K117" s="35">
        <v>7.8406999999999993E-6</v>
      </c>
      <c r="L117" s="22">
        <v>5514.9960000000001</v>
      </c>
      <c r="M117" s="16">
        <v>1.2410628480000001</v>
      </c>
      <c r="N117" s="11" t="s">
        <v>5</v>
      </c>
      <c r="O117" s="2" t="str">
        <f t="shared" si="1"/>
        <v>'Undersaturated</v>
      </c>
    </row>
    <row r="118" spans="1:15" x14ac:dyDescent="0.3">
      <c r="A118" s="1" t="s">
        <v>13</v>
      </c>
      <c r="B118" s="38">
        <v>3629</v>
      </c>
      <c r="C118" s="3">
        <v>156</v>
      </c>
      <c r="D118" s="25">
        <v>0.82269146712161434</v>
      </c>
      <c r="E118" s="26">
        <v>44</v>
      </c>
      <c r="F118" s="22">
        <v>1477</v>
      </c>
      <c r="G118" s="24">
        <v>1.7509999999999999</v>
      </c>
      <c r="H118" s="11" t="s">
        <v>5</v>
      </c>
      <c r="I118" s="24">
        <v>0.314</v>
      </c>
      <c r="J118" s="5"/>
      <c r="K118" s="35">
        <v>1.33689711230295E-5</v>
      </c>
      <c r="L118" s="22">
        <v>5723</v>
      </c>
      <c r="M118" s="16">
        <v>1.6913580368436223</v>
      </c>
      <c r="N118" s="11" t="s">
        <v>5</v>
      </c>
      <c r="O118" s="2" t="str">
        <f t="shared" si="1"/>
        <v>'Undersaturated</v>
      </c>
    </row>
    <row r="119" spans="1:15" x14ac:dyDescent="0.3">
      <c r="A119" s="1" t="s">
        <v>13</v>
      </c>
      <c r="B119" s="22">
        <v>2788</v>
      </c>
      <c r="C119" s="3">
        <v>159</v>
      </c>
      <c r="D119" s="25">
        <v>0.84155519828510184</v>
      </c>
      <c r="E119" s="26">
        <v>41.1</v>
      </c>
      <c r="F119" s="22">
        <v>933</v>
      </c>
      <c r="G119" s="24">
        <v>1.488</v>
      </c>
      <c r="H119" s="11" t="s">
        <v>5</v>
      </c>
      <c r="I119" s="24">
        <v>0.47299999999999998</v>
      </c>
      <c r="J119" s="5"/>
      <c r="K119" s="35">
        <v>1.03509031269858E-5</v>
      </c>
      <c r="L119" s="22">
        <v>4765</v>
      </c>
      <c r="M119" s="16">
        <v>1.4520069311395036</v>
      </c>
      <c r="N119" s="11" t="s">
        <v>5</v>
      </c>
      <c r="O119" s="2" t="str">
        <f t="shared" si="1"/>
        <v>'Undersaturated</v>
      </c>
    </row>
    <row r="120" spans="1:15" x14ac:dyDescent="0.3">
      <c r="A120" s="1" t="s">
        <v>13</v>
      </c>
      <c r="B120" s="22">
        <v>3482</v>
      </c>
      <c r="C120" s="3">
        <v>165</v>
      </c>
      <c r="D120" s="25">
        <v>0.84429487179487173</v>
      </c>
      <c r="E120" s="26">
        <v>44.3</v>
      </c>
      <c r="F120" s="22">
        <v>1482</v>
      </c>
      <c r="G120" s="24">
        <v>1.7769999999999999</v>
      </c>
      <c r="H120" s="11" t="s">
        <v>5</v>
      </c>
      <c r="I120" s="24">
        <v>0.27500000000000002</v>
      </c>
      <c r="J120" s="5"/>
      <c r="K120" s="35">
        <v>1.36840244771081E-5</v>
      </c>
      <c r="L120" s="22">
        <v>5895</v>
      </c>
      <c r="M120" s="16">
        <v>1.7033367934411385</v>
      </c>
      <c r="N120" s="11" t="s">
        <v>5</v>
      </c>
      <c r="O120" s="2" t="str">
        <f t="shared" si="1"/>
        <v>'Undersaturated</v>
      </c>
    </row>
    <row r="121" spans="1:15" x14ac:dyDescent="0.3">
      <c r="A121" s="1" t="s">
        <v>13</v>
      </c>
      <c r="B121" s="22">
        <v>2976</v>
      </c>
      <c r="C121" s="3">
        <v>157</v>
      </c>
      <c r="D121" s="25">
        <v>0.84965544554455452</v>
      </c>
      <c r="E121" s="26">
        <v>42.2</v>
      </c>
      <c r="F121" s="22">
        <v>1010</v>
      </c>
      <c r="G121" s="24">
        <v>1.5229999999999999</v>
      </c>
      <c r="H121" s="11" t="s">
        <v>5</v>
      </c>
      <c r="I121" s="24">
        <v>0.35599999999999998</v>
      </c>
      <c r="J121" s="5"/>
      <c r="K121" s="35">
        <v>1.1999722138184901E-5</v>
      </c>
      <c r="L121" s="22">
        <v>4420</v>
      </c>
      <c r="M121" s="16">
        <v>1.4927313190414608</v>
      </c>
      <c r="N121" s="11" t="s">
        <v>5</v>
      </c>
      <c r="O121" s="2" t="str">
        <f t="shared" si="1"/>
        <v>'Undersaturated</v>
      </c>
    </row>
    <row r="122" spans="1:15" x14ac:dyDescent="0.3">
      <c r="A122" s="1" t="s">
        <v>13</v>
      </c>
      <c r="B122" s="22">
        <v>2814.6959999999999</v>
      </c>
      <c r="C122" s="3">
        <v>159</v>
      </c>
      <c r="D122" s="25">
        <f>(811*0.799+61*1.333)/(872)</f>
        <v>0.83635550458715602</v>
      </c>
      <c r="E122" s="27">
        <v>42.44</v>
      </c>
      <c r="F122" s="23">
        <v>872</v>
      </c>
      <c r="G122" s="24">
        <v>1.4717</v>
      </c>
      <c r="H122" s="11" t="s">
        <v>5</v>
      </c>
      <c r="I122" s="24">
        <v>0.52</v>
      </c>
      <c r="J122" s="5"/>
      <c r="K122" s="35">
        <v>1.2483066538382099E-5</v>
      </c>
      <c r="L122" s="22">
        <v>4264.6959999999999</v>
      </c>
      <c r="M122" s="16">
        <v>1.4417672892184066</v>
      </c>
      <c r="N122" s="11" t="s">
        <v>5</v>
      </c>
      <c r="O122" s="2" t="str">
        <f t="shared" si="1"/>
        <v>'Undersaturated</v>
      </c>
    </row>
    <row r="123" spans="1:15" x14ac:dyDescent="0.3">
      <c r="A123" s="1" t="s">
        <v>13</v>
      </c>
      <c r="B123" s="22">
        <v>2364.6959999999999</v>
      </c>
      <c r="C123" s="3">
        <v>156</v>
      </c>
      <c r="D123" s="25">
        <v>0.83803829145728648</v>
      </c>
      <c r="E123" s="27">
        <v>41.48</v>
      </c>
      <c r="F123" s="23">
        <v>779</v>
      </c>
      <c r="G123" s="24">
        <v>1.4186000000000001</v>
      </c>
      <c r="H123" s="11" t="s">
        <v>5</v>
      </c>
      <c r="I123" s="24">
        <v>0.624</v>
      </c>
      <c r="J123" s="5"/>
      <c r="K123" s="35">
        <v>1.13891928347361E-5</v>
      </c>
      <c r="L123" s="22">
        <v>4087.6959999999999</v>
      </c>
      <c r="M123" s="16">
        <v>1.3859980276738082</v>
      </c>
      <c r="N123" s="11" t="s">
        <v>5</v>
      </c>
      <c r="O123" s="2" t="str">
        <f t="shared" si="1"/>
        <v>'Undersaturated</v>
      </c>
    </row>
    <row r="124" spans="1:15" x14ac:dyDescent="0.3">
      <c r="A124" s="1" t="s">
        <v>13</v>
      </c>
      <c r="B124" s="22">
        <v>2988</v>
      </c>
      <c r="C124" s="3">
        <v>165</v>
      </c>
      <c r="D124" s="25">
        <v>0.87540818768020245</v>
      </c>
      <c r="E124" s="26">
        <v>44</v>
      </c>
      <c r="F124" s="22">
        <v>1147</v>
      </c>
      <c r="G124" s="24">
        <v>1.649</v>
      </c>
      <c r="H124" s="11" t="s">
        <v>5</v>
      </c>
      <c r="I124" s="24">
        <v>0.36799999999999999</v>
      </c>
      <c r="J124" s="5"/>
      <c r="K124" s="35">
        <v>1.0355057978956E-5</v>
      </c>
      <c r="L124" s="22">
        <v>6566</v>
      </c>
      <c r="M124" s="16">
        <v>1.5684215927998539</v>
      </c>
      <c r="N124" s="11" t="s">
        <v>5</v>
      </c>
      <c r="O124" s="2" t="str">
        <f t="shared" si="1"/>
        <v>'Undersaturated</v>
      </c>
    </row>
    <row r="125" spans="1:15" x14ac:dyDescent="0.3">
      <c r="A125" s="1" t="s">
        <v>13</v>
      </c>
      <c r="B125" s="22">
        <v>2327</v>
      </c>
      <c r="C125" s="3">
        <v>158</v>
      </c>
      <c r="D125" s="25">
        <v>0.8943024523160763</v>
      </c>
      <c r="E125" s="26">
        <v>41.7</v>
      </c>
      <c r="F125" s="22">
        <v>734</v>
      </c>
      <c r="G125" s="24">
        <v>1.4</v>
      </c>
      <c r="H125" s="11" t="s">
        <v>5</v>
      </c>
      <c r="I125" s="24">
        <v>0.55100000000000005</v>
      </c>
      <c r="J125" s="5"/>
      <c r="K125" s="35">
        <v>8.9183311020334792E-6</v>
      </c>
      <c r="L125" s="22">
        <v>4740</v>
      </c>
      <c r="M125" s="16">
        <v>1.364527444861539</v>
      </c>
      <c r="N125" s="11" t="s">
        <v>5</v>
      </c>
      <c r="O125" s="2" t="str">
        <f t="shared" si="1"/>
        <v>'Undersaturated</v>
      </c>
    </row>
    <row r="126" spans="1:15" x14ac:dyDescent="0.3">
      <c r="A126" s="1" t="s">
        <v>13</v>
      </c>
      <c r="B126" s="22">
        <v>3841.6959999999999</v>
      </c>
      <c r="C126" s="3">
        <v>161</v>
      </c>
      <c r="D126" s="25">
        <v>0.83407938415369509</v>
      </c>
      <c r="E126" s="26">
        <v>45.2</v>
      </c>
      <c r="F126" s="22">
        <v>1908</v>
      </c>
      <c r="G126" s="24">
        <v>1.98</v>
      </c>
      <c r="H126" s="11" t="s">
        <v>5</v>
      </c>
      <c r="I126" s="24">
        <v>0.24199999999999999</v>
      </c>
      <c r="J126" s="5"/>
      <c r="K126" s="35">
        <v>1.32050964869255E-5</v>
      </c>
      <c r="L126" s="22">
        <v>6914.9960000000001</v>
      </c>
      <c r="M126" s="16">
        <v>1.8716608335340812</v>
      </c>
      <c r="N126" s="11" t="s">
        <v>5</v>
      </c>
      <c r="O126" s="2" t="str">
        <f t="shared" si="1"/>
        <v>'Undersaturated</v>
      </c>
    </row>
    <row r="127" spans="1:15" x14ac:dyDescent="0.3">
      <c r="A127" s="1" t="s">
        <v>13</v>
      </c>
      <c r="B127" s="23">
        <v>3452</v>
      </c>
      <c r="C127" s="3">
        <v>175</v>
      </c>
      <c r="D127" s="25">
        <v>0.84904356846473017</v>
      </c>
      <c r="E127" s="26">
        <v>45.4</v>
      </c>
      <c r="F127" s="22">
        <v>1446</v>
      </c>
      <c r="G127" s="24">
        <v>1.7769999999999999</v>
      </c>
      <c r="H127" s="11" t="s">
        <v>5</v>
      </c>
      <c r="I127" s="24">
        <v>0.28531483083514203</v>
      </c>
      <c r="J127" s="5"/>
      <c r="K127" s="35">
        <v>1.2663605579472001E-5</v>
      </c>
      <c r="L127" s="22">
        <v>6530</v>
      </c>
      <c r="M127" s="16">
        <v>1.6875706647617661</v>
      </c>
      <c r="N127" s="11" t="s">
        <v>5</v>
      </c>
      <c r="O127" s="2" t="str">
        <f t="shared" si="1"/>
        <v>'Undersaturated</v>
      </c>
    </row>
    <row r="128" spans="1:15" x14ac:dyDescent="0.3">
      <c r="A128" s="1" t="s">
        <v>13</v>
      </c>
      <c r="B128" s="22">
        <v>2774.6959999999999</v>
      </c>
      <c r="C128" s="3">
        <v>183</v>
      </c>
      <c r="D128" s="24">
        <v>0.88906403013182678</v>
      </c>
      <c r="E128" s="27">
        <v>43.58</v>
      </c>
      <c r="F128" s="22">
        <v>1062</v>
      </c>
      <c r="G128" s="24">
        <v>1.6372</v>
      </c>
      <c r="H128" s="11" t="s">
        <v>5</v>
      </c>
      <c r="I128" s="24">
        <v>0.29499999999999998</v>
      </c>
      <c r="J128" s="5"/>
      <c r="K128" s="37">
        <v>1.43895E-5</v>
      </c>
      <c r="L128" s="22">
        <v>5314.6959999999999</v>
      </c>
      <c r="M128" s="16">
        <v>1.5641317640000001</v>
      </c>
      <c r="N128" s="11" t="s">
        <v>5</v>
      </c>
      <c r="O128" s="2" t="str">
        <f t="shared" si="1"/>
        <v>'Undersaturated</v>
      </c>
    </row>
    <row r="129" spans="1:15" x14ac:dyDescent="0.3">
      <c r="A129" s="1" t="s">
        <v>13</v>
      </c>
      <c r="B129" s="22">
        <v>2737</v>
      </c>
      <c r="C129" s="3">
        <v>180</v>
      </c>
      <c r="D129" s="25">
        <f>(923*0.844+105*1.292)/1028</f>
        <v>0.88975875486381317</v>
      </c>
      <c r="E129" s="27">
        <v>44.1</v>
      </c>
      <c r="F129" s="22">
        <v>1028</v>
      </c>
      <c r="G129" s="24">
        <v>1.5669999999999999</v>
      </c>
      <c r="H129" s="11" t="s">
        <v>5</v>
      </c>
      <c r="I129" s="24">
        <v>0.40500000000000003</v>
      </c>
      <c r="J129" s="5"/>
      <c r="K129" s="37">
        <v>1.013E-5</v>
      </c>
      <c r="L129" s="22">
        <v>6500</v>
      </c>
      <c r="M129" s="16">
        <v>1.4873964</v>
      </c>
      <c r="N129" s="11" t="s">
        <v>5</v>
      </c>
      <c r="O129" s="2" t="str">
        <f t="shared" si="1"/>
        <v>'Undersaturated</v>
      </c>
    </row>
    <row r="130" spans="1:15" x14ac:dyDescent="0.3">
      <c r="A130" s="1" t="s">
        <v>13</v>
      </c>
      <c r="B130" s="22">
        <v>2665</v>
      </c>
      <c r="C130" s="3">
        <v>190</v>
      </c>
      <c r="D130" s="24">
        <v>0.89860640942942094</v>
      </c>
      <c r="E130" s="27">
        <v>42.1</v>
      </c>
      <c r="F130" s="22">
        <v>875.9778633928637</v>
      </c>
      <c r="G130" s="24">
        <v>1.5273526321529347</v>
      </c>
      <c r="H130" s="11" t="s">
        <v>5</v>
      </c>
      <c r="I130" s="24">
        <v>0.53227000000000002</v>
      </c>
      <c r="J130" s="5"/>
      <c r="K130" s="35">
        <v>1.2567876612644101E-5</v>
      </c>
      <c r="L130" s="22">
        <v>4915</v>
      </c>
      <c r="M130" s="16">
        <v>1.4758874998425713</v>
      </c>
      <c r="N130" s="11" t="s">
        <v>5</v>
      </c>
      <c r="O130" s="2" t="str">
        <f t="shared" si="1"/>
        <v>'Undersaturated</v>
      </c>
    </row>
    <row r="131" spans="1:15" x14ac:dyDescent="0.3">
      <c r="A131" s="1" t="s">
        <v>13</v>
      </c>
      <c r="B131" s="22">
        <v>2665</v>
      </c>
      <c r="C131" s="3">
        <v>180</v>
      </c>
      <c r="D131" s="24">
        <v>0.91390951743438698</v>
      </c>
      <c r="E131" s="27">
        <v>40.200000000000003</v>
      </c>
      <c r="F131" s="22">
        <v>878.71586985293175</v>
      </c>
      <c r="G131" s="24">
        <v>1.5162559439861154</v>
      </c>
      <c r="H131" s="11" t="s">
        <v>5</v>
      </c>
      <c r="I131" s="24">
        <v>0.52621000000000007</v>
      </c>
      <c r="J131" s="5"/>
      <c r="K131" s="35">
        <v>1.2270322886207972E-5</v>
      </c>
      <c r="L131" s="22">
        <v>4845</v>
      </c>
      <c r="M131" s="16">
        <v>1.4687980739335071</v>
      </c>
      <c r="N131" s="11" t="s">
        <v>5</v>
      </c>
      <c r="O131" s="2" t="str">
        <f t="shared" si="1"/>
        <v>'Undersaturated</v>
      </c>
    </row>
    <row r="132" spans="1:15" x14ac:dyDescent="0.3">
      <c r="A132" s="1" t="s">
        <v>13</v>
      </c>
      <c r="B132" s="22">
        <v>2765</v>
      </c>
      <c r="C132" s="3">
        <v>175</v>
      </c>
      <c r="D132" s="24">
        <v>0.91801860641097199</v>
      </c>
      <c r="E132" s="27">
        <v>39.619999999999997</v>
      </c>
      <c r="F132" s="22">
        <v>893.50580230451294</v>
      </c>
      <c r="G132" s="24">
        <v>1.5156247720052562</v>
      </c>
      <c r="H132" s="11" t="s">
        <v>5</v>
      </c>
      <c r="I132" s="24">
        <v>0.51300000000000001</v>
      </c>
      <c r="J132" s="5"/>
      <c r="K132" s="35">
        <v>1.5213107546419976E-5</v>
      </c>
      <c r="L132" s="22">
        <v>3360</v>
      </c>
      <c r="M132" s="16">
        <v>1.5010495080908535</v>
      </c>
      <c r="N132" s="11" t="s">
        <v>5</v>
      </c>
      <c r="O132" s="2" t="str">
        <f t="shared" ref="O132:O156" si="2">IF(L132&gt;B132,"'Undersaturated","Saturated")</f>
        <v>'Undersaturated</v>
      </c>
    </row>
    <row r="133" spans="1:15" x14ac:dyDescent="0.3">
      <c r="A133" s="1" t="s">
        <v>13</v>
      </c>
      <c r="B133" s="22">
        <v>2665</v>
      </c>
      <c r="C133" s="3">
        <v>125</v>
      </c>
      <c r="D133" s="24">
        <v>1.0250941951674821</v>
      </c>
      <c r="E133" s="27">
        <v>37.68</v>
      </c>
      <c r="F133" s="22">
        <v>819.2574068129552</v>
      </c>
      <c r="G133" s="24">
        <v>1.4500573550223188</v>
      </c>
      <c r="H133" s="11" t="s">
        <v>5</v>
      </c>
      <c r="I133" s="24">
        <v>0.56599999999999995</v>
      </c>
      <c r="J133" s="5"/>
      <c r="K133" s="35">
        <v>1.0809348749147172E-5</v>
      </c>
      <c r="L133" s="22">
        <v>3615</v>
      </c>
      <c r="M133" s="16">
        <v>1.4336871668987603</v>
      </c>
      <c r="N133" s="11" t="s">
        <v>5</v>
      </c>
      <c r="O133" s="2" t="str">
        <f t="shared" si="2"/>
        <v>'Undersaturated</v>
      </c>
    </row>
    <row r="134" spans="1:15" x14ac:dyDescent="0.3">
      <c r="A134" s="1" t="s">
        <v>13</v>
      </c>
      <c r="B134" s="22">
        <v>2865</v>
      </c>
      <c r="C134" s="3">
        <v>152</v>
      </c>
      <c r="D134" s="24">
        <v>0.88702597887453039</v>
      </c>
      <c r="E134" s="27">
        <v>41.82</v>
      </c>
      <c r="F134" s="22">
        <v>1014.8050338327058</v>
      </c>
      <c r="G134" s="24">
        <v>1.5479636439197559</v>
      </c>
      <c r="H134" s="11" t="s">
        <v>5</v>
      </c>
      <c r="I134" s="24">
        <v>0.55300000000000005</v>
      </c>
      <c r="J134" s="5"/>
      <c r="K134" s="35">
        <v>1.21048004780431E-5</v>
      </c>
      <c r="L134" s="22">
        <v>4757</v>
      </c>
      <c r="M134" s="16">
        <v>1.5067920862808049</v>
      </c>
      <c r="N134" s="11" t="s">
        <v>5</v>
      </c>
      <c r="O134" s="2" t="str">
        <f t="shared" si="2"/>
        <v>'Undersaturated</v>
      </c>
    </row>
    <row r="135" spans="1:15" x14ac:dyDescent="0.3">
      <c r="A135" s="1" t="s">
        <v>13</v>
      </c>
      <c r="B135" s="22">
        <v>3265</v>
      </c>
      <c r="C135" s="3">
        <v>155</v>
      </c>
      <c r="D135" s="24">
        <v>0.91363998027137561</v>
      </c>
      <c r="E135" s="27">
        <v>41.4</v>
      </c>
      <c r="F135" s="22">
        <v>1316.8520531613119</v>
      </c>
      <c r="G135" s="24">
        <v>1.7046470189183824</v>
      </c>
      <c r="H135" s="11" t="s">
        <v>5</v>
      </c>
      <c r="I135" s="24">
        <v>0.45250000000000001</v>
      </c>
      <c r="J135" s="5"/>
      <c r="K135" s="35">
        <v>1.4761725370070495E-5</v>
      </c>
      <c r="L135" s="22">
        <v>4694</v>
      </c>
      <c r="M135" s="16">
        <v>1.6637045819994651</v>
      </c>
      <c r="N135" s="11" t="s">
        <v>5</v>
      </c>
      <c r="O135" s="2" t="str">
        <f t="shared" si="2"/>
        <v>'Undersaturated</v>
      </c>
    </row>
    <row r="136" spans="1:15" x14ac:dyDescent="0.3">
      <c r="A136" s="1" t="s">
        <v>13</v>
      </c>
      <c r="B136" s="22">
        <v>3165</v>
      </c>
      <c r="C136" s="3">
        <v>159</v>
      </c>
      <c r="D136" s="24">
        <v>0.86290875140960577</v>
      </c>
      <c r="E136" s="27">
        <v>44.21</v>
      </c>
      <c r="F136" s="22">
        <v>1309.5712971320097</v>
      </c>
      <c r="G136" s="24">
        <v>1.69395136437296</v>
      </c>
      <c r="H136" s="11" t="s">
        <v>5</v>
      </c>
      <c r="I136" s="24">
        <v>0.42370000000000002</v>
      </c>
      <c r="J136" s="5"/>
      <c r="K136" s="35">
        <v>1.3256093623020083E-5</v>
      </c>
      <c r="L136" s="22">
        <v>5162</v>
      </c>
      <c r="M136" s="16">
        <v>1.6414422741091423</v>
      </c>
      <c r="N136" s="11" t="s">
        <v>5</v>
      </c>
      <c r="O136" s="2" t="str">
        <f t="shared" si="2"/>
        <v>'Undersaturated</v>
      </c>
    </row>
    <row r="137" spans="1:15" x14ac:dyDescent="0.3">
      <c r="A137" s="1" t="s">
        <v>13</v>
      </c>
      <c r="B137" s="22">
        <v>3215</v>
      </c>
      <c r="C137" s="3">
        <v>155</v>
      </c>
      <c r="D137" s="24">
        <v>0.90748600249209299</v>
      </c>
      <c r="E137" s="27">
        <v>40.6</v>
      </c>
      <c r="F137" s="22">
        <v>1255.9824334889472</v>
      </c>
      <c r="G137" s="24">
        <v>1.6861166770295233</v>
      </c>
      <c r="H137" s="11" t="s">
        <v>5</v>
      </c>
      <c r="I137" s="24">
        <v>0.54239999999999999</v>
      </c>
      <c r="J137" s="5"/>
      <c r="K137" s="35">
        <v>1.3013815190895385E-5</v>
      </c>
      <c r="L137" s="22">
        <v>5265</v>
      </c>
      <c r="M137" s="16">
        <v>1.6328121426723283</v>
      </c>
      <c r="N137" s="11" t="s">
        <v>5</v>
      </c>
      <c r="O137" s="2" t="str">
        <f t="shared" si="2"/>
        <v>'Undersaturated</v>
      </c>
    </row>
    <row r="138" spans="1:15" x14ac:dyDescent="0.3">
      <c r="A138" s="1" t="s">
        <v>13</v>
      </c>
      <c r="B138" s="22">
        <v>3259</v>
      </c>
      <c r="C138" s="3">
        <v>188</v>
      </c>
      <c r="D138" s="25">
        <v>0.9249433431781553</v>
      </c>
      <c r="E138" s="26">
        <v>45.1</v>
      </c>
      <c r="F138" s="22">
        <v>1662.9066039752083</v>
      </c>
      <c r="G138" s="24">
        <v>1.9659859874729206</v>
      </c>
      <c r="H138" s="11" t="s">
        <v>5</v>
      </c>
      <c r="I138" s="24">
        <v>0.24250372633665854</v>
      </c>
      <c r="J138" s="5"/>
      <c r="K138" s="35">
        <v>1.4044040777892234E-5</v>
      </c>
      <c r="L138" s="22">
        <v>5915</v>
      </c>
      <c r="M138" s="16">
        <v>1.8588954904135278</v>
      </c>
      <c r="N138" s="11" t="s">
        <v>5</v>
      </c>
      <c r="O138" s="2" t="str">
        <f t="shared" si="2"/>
        <v>'Undersaturated</v>
      </c>
    </row>
    <row r="139" spans="1:15" x14ac:dyDescent="0.3">
      <c r="A139" s="1" t="s">
        <v>13</v>
      </c>
      <c r="B139" s="22">
        <v>2290</v>
      </c>
      <c r="C139" s="3">
        <v>147</v>
      </c>
      <c r="D139" s="25">
        <v>0.92190427125757779</v>
      </c>
      <c r="E139" s="26">
        <v>41.9</v>
      </c>
      <c r="F139" s="22">
        <v>926.67416705051619</v>
      </c>
      <c r="G139" s="24">
        <v>1.5015039137706185</v>
      </c>
      <c r="H139" s="11" t="s">
        <v>5</v>
      </c>
      <c r="I139" s="24">
        <v>0.41020653230299997</v>
      </c>
      <c r="J139" s="5"/>
      <c r="K139" s="35">
        <v>1.503354094425121E-5</v>
      </c>
      <c r="L139" s="22">
        <v>2870</v>
      </c>
      <c r="M139" s="16">
        <v>1.4871518886211128</v>
      </c>
      <c r="N139" s="11" t="s">
        <v>5</v>
      </c>
      <c r="O139" s="2" t="str">
        <f t="shared" si="2"/>
        <v>'Undersaturated</v>
      </c>
    </row>
    <row r="140" spans="1:15" x14ac:dyDescent="0.3">
      <c r="A140" s="1" t="s">
        <v>13</v>
      </c>
      <c r="B140" s="22">
        <v>3478</v>
      </c>
      <c r="C140" s="3">
        <v>189</v>
      </c>
      <c r="D140" s="25">
        <v>0.90878470942589007</v>
      </c>
      <c r="E140" s="26">
        <v>45.1</v>
      </c>
      <c r="F140" s="22">
        <v>1669.824655779699</v>
      </c>
      <c r="G140" s="24">
        <v>1.9542207314204327</v>
      </c>
      <c r="H140" s="11" t="s">
        <v>5</v>
      </c>
      <c r="I140" s="24">
        <v>0.23524203840575</v>
      </c>
      <c r="J140" s="5"/>
      <c r="K140" s="35">
        <v>1.58487149214415E-5</v>
      </c>
      <c r="L140" s="22">
        <v>5685</v>
      </c>
      <c r="M140" s="16">
        <v>1.8652054877412294</v>
      </c>
      <c r="N140" s="11" t="s">
        <v>5</v>
      </c>
      <c r="O140" s="2" t="str">
        <f t="shared" si="2"/>
        <v>'Undersaturated</v>
      </c>
    </row>
    <row r="141" spans="1:15" x14ac:dyDescent="0.3">
      <c r="A141" s="1" t="s">
        <v>13</v>
      </c>
      <c r="B141" s="22">
        <v>2656.22</v>
      </c>
      <c r="C141" s="3">
        <v>161</v>
      </c>
      <c r="D141" s="24">
        <v>0.92547543459989179</v>
      </c>
      <c r="E141" s="26">
        <v>42.825489712948126</v>
      </c>
      <c r="F141" s="22">
        <v>1078.8275574104816</v>
      </c>
      <c r="G141" s="24">
        <v>1.60545129758015</v>
      </c>
      <c r="H141" s="11" t="s">
        <v>5</v>
      </c>
      <c r="I141" s="25">
        <v>0.35863015920792102</v>
      </c>
      <c r="J141" s="5"/>
      <c r="K141" s="35">
        <v>1.24280420547592E-5</v>
      </c>
      <c r="L141" s="23">
        <v>5064</v>
      </c>
      <c r="M141" s="16">
        <v>1.5489326936445311</v>
      </c>
      <c r="N141" s="11" t="s">
        <v>5</v>
      </c>
      <c r="O141" s="2" t="str">
        <f t="shared" si="2"/>
        <v>'Undersaturated</v>
      </c>
    </row>
    <row r="142" spans="1:15" x14ac:dyDescent="0.3">
      <c r="A142" s="1" t="s">
        <v>13</v>
      </c>
      <c r="B142" s="22">
        <v>2265</v>
      </c>
      <c r="C142" s="3">
        <v>165</v>
      </c>
      <c r="D142" s="25">
        <v>0.92645137195121963</v>
      </c>
      <c r="E142" s="27">
        <v>37.130000000000003</v>
      </c>
      <c r="F142" s="22">
        <v>656</v>
      </c>
      <c r="G142" s="24">
        <v>1.3793</v>
      </c>
      <c r="H142" s="11" t="s">
        <v>5</v>
      </c>
      <c r="I142" s="36">
        <v>0.74</v>
      </c>
      <c r="J142" s="5"/>
      <c r="K142" s="35">
        <v>1.0779500000000001E-5</v>
      </c>
      <c r="L142" s="22">
        <v>4015</v>
      </c>
      <c r="M142" s="16">
        <v>1.3487071260000001</v>
      </c>
      <c r="N142" s="11" t="s">
        <v>5</v>
      </c>
      <c r="O142" s="2" t="str">
        <f t="shared" si="2"/>
        <v>'Undersaturated</v>
      </c>
    </row>
    <row r="143" spans="1:15" x14ac:dyDescent="0.3">
      <c r="A143" s="1" t="s">
        <v>12</v>
      </c>
      <c r="B143" s="3">
        <v>3280</v>
      </c>
      <c r="C143" s="3">
        <v>280</v>
      </c>
      <c r="D143" s="16">
        <v>0.87214580467675373</v>
      </c>
      <c r="E143" s="15">
        <v>43.3</v>
      </c>
      <c r="F143" s="28">
        <v>1454</v>
      </c>
      <c r="G143" s="16">
        <v>2.008</v>
      </c>
      <c r="H143" s="11" t="s">
        <v>5</v>
      </c>
      <c r="I143" s="16">
        <v>0.13900000000000001</v>
      </c>
      <c r="J143" s="5"/>
      <c r="K143" s="19">
        <v>5.2865999999999998E-5</v>
      </c>
      <c r="L143" s="3">
        <v>8192</v>
      </c>
      <c r="M143" s="16">
        <v>1.78</v>
      </c>
      <c r="N143" s="11" t="s">
        <v>5</v>
      </c>
      <c r="O143" s="2" t="str">
        <f t="shared" si="2"/>
        <v>'Undersaturated</v>
      </c>
    </row>
    <row r="144" spans="1:15" x14ac:dyDescent="0.3">
      <c r="A144" s="1" t="s">
        <v>12</v>
      </c>
      <c r="B144" s="3">
        <v>3722</v>
      </c>
      <c r="C144" s="3">
        <v>270</v>
      </c>
      <c r="D144" s="16">
        <v>0.9681445936820593</v>
      </c>
      <c r="E144" s="15">
        <v>44.4</v>
      </c>
      <c r="F144" s="28">
        <v>2205.9741313164527</v>
      </c>
      <c r="G144" s="16">
        <v>2.4543779368789083</v>
      </c>
      <c r="H144" s="11" t="s">
        <v>5</v>
      </c>
      <c r="I144" s="16">
        <v>0.127</v>
      </c>
      <c r="J144" s="5"/>
      <c r="K144" s="19">
        <v>5.24157793085684E-5</v>
      </c>
      <c r="L144" s="3">
        <v>8200</v>
      </c>
      <c r="M144" s="16">
        <v>2.1447051970846669</v>
      </c>
      <c r="N144" s="11" t="s">
        <v>5</v>
      </c>
      <c r="O144" s="2" t="str">
        <f t="shared" si="2"/>
        <v>'Undersaturated</v>
      </c>
    </row>
    <row r="145" spans="1:15" x14ac:dyDescent="0.3">
      <c r="A145" s="1" t="s">
        <v>12</v>
      </c>
      <c r="B145" s="3">
        <v>3697</v>
      </c>
      <c r="C145" s="3">
        <v>270</v>
      </c>
      <c r="D145" s="16">
        <v>0.98172449597075817</v>
      </c>
      <c r="E145" s="15">
        <v>44.2</v>
      </c>
      <c r="F145" s="28">
        <v>2185.1652241112824</v>
      </c>
      <c r="G145" s="16">
        <v>2.6244769978515015</v>
      </c>
      <c r="H145" s="11" t="s">
        <v>5</v>
      </c>
      <c r="I145" s="16">
        <v>8.9899999999999994E-2</v>
      </c>
      <c r="J145" s="5"/>
      <c r="K145" s="19">
        <v>5.6315497084457199E-5</v>
      </c>
      <c r="L145" s="3">
        <v>8260</v>
      </c>
      <c r="M145" s="16">
        <v>2.2977123139010298</v>
      </c>
      <c r="N145" s="11" t="s">
        <v>5</v>
      </c>
      <c r="O145" s="2" t="str">
        <f t="shared" si="2"/>
        <v>'Undersaturated</v>
      </c>
    </row>
    <row r="146" spans="1:15" x14ac:dyDescent="0.3">
      <c r="A146" s="1" t="s">
        <v>12</v>
      </c>
      <c r="B146" s="3">
        <v>3066</v>
      </c>
      <c r="C146" s="3">
        <v>270</v>
      </c>
      <c r="D146" s="16">
        <v>0.97099999999999997</v>
      </c>
      <c r="E146" s="15">
        <v>41.8</v>
      </c>
      <c r="F146" s="28">
        <v>1317.9111629386198</v>
      </c>
      <c r="G146" s="16">
        <v>1.9114061086963996</v>
      </c>
      <c r="H146" s="11" t="s">
        <v>5</v>
      </c>
      <c r="I146" s="16">
        <v>0.15531206651272</v>
      </c>
      <c r="J146" s="5"/>
      <c r="K146" s="19">
        <v>3.0711608145691098E-5</v>
      </c>
      <c r="L146" s="3">
        <v>8100</v>
      </c>
      <c r="M146" s="16">
        <v>1.7229050776838599</v>
      </c>
      <c r="N146" s="11" t="s">
        <v>5</v>
      </c>
      <c r="O146" s="2" t="str">
        <f t="shared" si="2"/>
        <v>'Undersaturated</v>
      </c>
    </row>
    <row r="147" spans="1:15" x14ac:dyDescent="0.3">
      <c r="A147" s="1" t="s">
        <v>12</v>
      </c>
      <c r="B147" s="3">
        <v>2944</v>
      </c>
      <c r="C147" s="3">
        <v>270</v>
      </c>
      <c r="D147" s="16">
        <v>0.99283819657972716</v>
      </c>
      <c r="E147" s="15">
        <v>42.5</v>
      </c>
      <c r="F147" s="28">
        <v>1300.3197900526727</v>
      </c>
      <c r="G147" s="16">
        <v>1.9198054319023261</v>
      </c>
      <c r="H147" s="11" t="s">
        <v>5</v>
      </c>
      <c r="I147" s="16">
        <v>0.1363</v>
      </c>
      <c r="J147" s="5"/>
      <c r="K147" s="19">
        <v>3.66317661139909E-5</v>
      </c>
      <c r="L147" s="3">
        <v>8150</v>
      </c>
      <c r="M147" s="16">
        <v>1.7065076919342763</v>
      </c>
      <c r="N147" s="11" t="s">
        <v>5</v>
      </c>
      <c r="O147" s="2" t="str">
        <f t="shared" si="2"/>
        <v>'Undersaturated</v>
      </c>
    </row>
    <row r="148" spans="1:15" x14ac:dyDescent="0.3">
      <c r="A148" s="1" t="s">
        <v>12</v>
      </c>
      <c r="B148" s="3">
        <v>2923</v>
      </c>
      <c r="C148" s="3">
        <v>270</v>
      </c>
      <c r="D148" s="16">
        <v>0.95694427106172286</v>
      </c>
      <c r="E148" s="15">
        <v>42.6</v>
      </c>
      <c r="F148" s="28">
        <v>1220.3824306769673</v>
      </c>
      <c r="G148" s="16">
        <v>1.8679349568299397</v>
      </c>
      <c r="H148" s="11" t="s">
        <v>5</v>
      </c>
      <c r="I148" s="16">
        <v>0.183</v>
      </c>
      <c r="J148" s="5"/>
      <c r="K148" s="19">
        <v>3.5836299846315902E-5</v>
      </c>
      <c r="L148" s="3">
        <v>8200</v>
      </c>
      <c r="M148" s="16">
        <v>1.6671422130787923</v>
      </c>
      <c r="N148" s="11" t="s">
        <v>5</v>
      </c>
      <c r="O148" s="2" t="str">
        <f t="shared" si="2"/>
        <v>'Undersaturated</v>
      </c>
    </row>
    <row r="149" spans="1:15" x14ac:dyDescent="0.3">
      <c r="A149" s="1" t="s">
        <v>12</v>
      </c>
      <c r="B149" s="3">
        <v>3789</v>
      </c>
      <c r="C149" s="3">
        <v>270</v>
      </c>
      <c r="D149" s="16">
        <v>0.91100000000000003</v>
      </c>
      <c r="E149" s="15">
        <v>46.088188442211049</v>
      </c>
      <c r="F149" s="28">
        <v>2716.0284119008852</v>
      </c>
      <c r="G149" s="16">
        <v>2.8817680081356842</v>
      </c>
      <c r="H149" s="11" t="s">
        <v>5</v>
      </c>
      <c r="I149" s="16">
        <v>0.16739999999999999</v>
      </c>
      <c r="J149" s="5"/>
      <c r="K149" s="19">
        <v>6.0317517366866591E-5</v>
      </c>
      <c r="L149" s="3">
        <v>6691</v>
      </c>
      <c r="M149" s="16">
        <v>2.5504739334005579</v>
      </c>
      <c r="N149" s="11" t="s">
        <v>5</v>
      </c>
      <c r="O149" s="2" t="str">
        <f t="shared" si="2"/>
        <v>'Undersaturated</v>
      </c>
    </row>
    <row r="150" spans="1:15" x14ac:dyDescent="0.3">
      <c r="A150" s="1" t="s">
        <v>12</v>
      </c>
      <c r="B150" s="3">
        <v>2356</v>
      </c>
      <c r="C150" s="3">
        <v>234</v>
      </c>
      <c r="D150" s="16">
        <v>1.05</v>
      </c>
      <c r="E150" s="15">
        <v>42.5</v>
      </c>
      <c r="F150" s="28">
        <v>997</v>
      </c>
      <c r="G150" s="16">
        <v>1.6846951018052452</v>
      </c>
      <c r="H150" s="11" t="s">
        <v>5</v>
      </c>
      <c r="I150" s="16">
        <v>0.23200000000000001</v>
      </c>
      <c r="J150" s="5"/>
      <c r="K150" s="19">
        <v>2.6910915673748293E-5</v>
      </c>
      <c r="L150" s="3">
        <v>7500</v>
      </c>
      <c r="M150" s="16">
        <v>1.547083293592789</v>
      </c>
      <c r="N150" s="11" t="s">
        <v>5</v>
      </c>
      <c r="O150" s="2" t="str">
        <f t="shared" si="2"/>
        <v>'Undersaturated</v>
      </c>
    </row>
    <row r="151" spans="1:15" x14ac:dyDescent="0.3">
      <c r="A151" s="1" t="s">
        <v>12</v>
      </c>
      <c r="B151" s="3">
        <v>2212</v>
      </c>
      <c r="C151" s="3">
        <v>234</v>
      </c>
      <c r="D151" s="16">
        <v>1.042</v>
      </c>
      <c r="E151" s="15">
        <v>41.8</v>
      </c>
      <c r="F151" s="28">
        <v>847.10507033279407</v>
      </c>
      <c r="G151" s="16">
        <v>1.5865404013686017</v>
      </c>
      <c r="H151" s="11" t="s">
        <v>5</v>
      </c>
      <c r="I151" s="16">
        <v>0.245</v>
      </c>
      <c r="J151" s="5"/>
      <c r="K151" s="19">
        <v>2.0657461797034198E-5</v>
      </c>
      <c r="L151" s="3">
        <v>7500</v>
      </c>
      <c r="M151" s="16">
        <v>1.4710532679434376</v>
      </c>
      <c r="N151" s="11" t="s">
        <v>5</v>
      </c>
      <c r="O151" s="2" t="str">
        <f t="shared" si="2"/>
        <v>'Undersaturated</v>
      </c>
    </row>
    <row r="152" spans="1:15" x14ac:dyDescent="0.3">
      <c r="A152" s="1" t="s">
        <v>12</v>
      </c>
      <c r="B152" s="3">
        <v>3310</v>
      </c>
      <c r="C152" s="3">
        <v>240</v>
      </c>
      <c r="D152" s="16">
        <v>0.84899999999999998</v>
      </c>
      <c r="E152" s="15">
        <v>44.7</v>
      </c>
      <c r="F152" s="28">
        <v>1471.8214907124384</v>
      </c>
      <c r="G152" s="16">
        <v>1.93272514077489</v>
      </c>
      <c r="H152" s="11" t="s">
        <v>5</v>
      </c>
      <c r="I152" s="16">
        <v>0.128</v>
      </c>
      <c r="J152" s="5"/>
      <c r="K152" s="19">
        <v>3.481969076520409E-5</v>
      </c>
      <c r="L152" s="3">
        <v>5500</v>
      </c>
      <c r="M152" s="16">
        <v>1.8178851069538626</v>
      </c>
      <c r="N152" s="11" t="s">
        <v>5</v>
      </c>
      <c r="O152" s="2" t="str">
        <f t="shared" si="2"/>
        <v>'Undersaturated</v>
      </c>
    </row>
    <row r="153" spans="1:15" x14ac:dyDescent="0.3">
      <c r="A153" s="1" t="s">
        <v>12</v>
      </c>
      <c r="B153" s="3">
        <v>3067</v>
      </c>
      <c r="C153" s="3">
        <v>242</v>
      </c>
      <c r="D153" s="16">
        <v>0.91600000000000004</v>
      </c>
      <c r="E153" s="15">
        <v>40.9</v>
      </c>
      <c r="F153" s="28">
        <v>1195.9951434878585</v>
      </c>
      <c r="G153" s="16">
        <v>1.7486462426644702</v>
      </c>
      <c r="H153" s="11" t="s">
        <v>5</v>
      </c>
      <c r="I153" s="16">
        <v>0.17599999999999999</v>
      </c>
      <c r="J153" s="5"/>
      <c r="K153" s="19">
        <v>2.6646440917223094E-5</v>
      </c>
      <c r="L153" s="3">
        <v>7528</v>
      </c>
      <c r="M153" s="16">
        <v>1.6073638122571077</v>
      </c>
      <c r="N153" s="11" t="s">
        <v>5</v>
      </c>
      <c r="O153" s="2" t="str">
        <f t="shared" si="2"/>
        <v>'Undersaturated</v>
      </c>
    </row>
    <row r="154" spans="1:15" x14ac:dyDescent="0.3">
      <c r="A154" s="1" t="s">
        <v>12</v>
      </c>
      <c r="B154" s="3">
        <v>3149</v>
      </c>
      <c r="C154" s="3">
        <v>241</v>
      </c>
      <c r="D154" s="16">
        <v>0.88902905853998426</v>
      </c>
      <c r="E154" s="15">
        <v>42.8</v>
      </c>
      <c r="F154" s="28">
        <v>1302.9698972755696</v>
      </c>
      <c r="G154" s="16">
        <v>1.8582176927835234</v>
      </c>
      <c r="H154" s="11" t="s">
        <v>5</v>
      </c>
      <c r="I154" s="16">
        <v>0.156</v>
      </c>
      <c r="J154" s="5"/>
      <c r="K154" s="19">
        <v>3.3405927508536401E-5</v>
      </c>
      <c r="L154" s="3">
        <v>6840</v>
      </c>
      <c r="M154" s="16">
        <v>1.7148134475218746</v>
      </c>
      <c r="N154" s="11" t="s">
        <v>5</v>
      </c>
      <c r="O154" s="2" t="str">
        <f t="shared" si="2"/>
        <v>'Undersaturated</v>
      </c>
    </row>
    <row r="155" spans="1:15" x14ac:dyDescent="0.3">
      <c r="A155" s="1" t="s">
        <v>12</v>
      </c>
      <c r="B155" s="3">
        <v>3005</v>
      </c>
      <c r="C155" s="3">
        <v>242</v>
      </c>
      <c r="D155" s="16">
        <v>0.90783856762258497</v>
      </c>
      <c r="E155" s="15">
        <v>44.9</v>
      </c>
      <c r="F155" s="28">
        <v>1290.7743124026983</v>
      </c>
      <c r="G155" s="16">
        <v>1.8594969644768309</v>
      </c>
      <c r="H155" s="11" t="s">
        <v>5</v>
      </c>
      <c r="I155" s="16">
        <v>0.14699999999999999</v>
      </c>
      <c r="J155" s="5"/>
      <c r="K155" s="19">
        <v>2.9842397655878901E-5</v>
      </c>
      <c r="L155" s="3">
        <v>6577</v>
      </c>
      <c r="M155" s="16">
        <v>2.1945895929954657</v>
      </c>
      <c r="N155" s="11" t="s">
        <v>5</v>
      </c>
      <c r="O155" s="2" t="str">
        <f t="shared" si="2"/>
        <v>'Undersaturated</v>
      </c>
    </row>
    <row r="156" spans="1:15" x14ac:dyDescent="0.3">
      <c r="A156" s="1" t="s">
        <v>12</v>
      </c>
      <c r="B156" s="3">
        <v>3609</v>
      </c>
      <c r="C156" s="3">
        <v>240</v>
      </c>
      <c r="D156" s="16">
        <v>0.99679574727810316</v>
      </c>
      <c r="E156" s="15">
        <v>41.4</v>
      </c>
      <c r="F156" s="28">
        <v>1830</v>
      </c>
      <c r="G156" s="16">
        <v>2.2355892603576124</v>
      </c>
      <c r="H156" s="11" t="s">
        <v>5</v>
      </c>
      <c r="I156" s="16">
        <v>0.13567425546815229</v>
      </c>
      <c r="J156" s="5"/>
      <c r="K156" s="19">
        <v>4.0392901023486177E-5</v>
      </c>
      <c r="L156" s="3">
        <v>6815</v>
      </c>
      <c r="M156" s="16">
        <v>2.0624873723608794</v>
      </c>
      <c r="N156" s="11" t="s">
        <v>5</v>
      </c>
      <c r="O156" s="2" t="str">
        <f t="shared" si="2"/>
        <v>'Undersaturated</v>
      </c>
    </row>
  </sheetData>
  <autoFilter ref="A2:O156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C854-17AF-4DA7-8A80-012EBA068F89}">
  <dimension ref="A2:F162"/>
  <sheetViews>
    <sheetView topLeftCell="A85" zoomScaleNormal="100" workbookViewId="0">
      <selection activeCell="F9" sqref="F9:F162"/>
    </sheetView>
  </sheetViews>
  <sheetFormatPr defaultRowHeight="15" x14ac:dyDescent="0.25"/>
  <cols>
    <col min="1" max="1" width="24.5703125" bestFit="1" customWidth="1"/>
    <col min="2" max="2" width="27.85546875" bestFit="1" customWidth="1"/>
    <col min="3" max="3" width="28" bestFit="1" customWidth="1"/>
    <col min="4" max="4" width="24" bestFit="1" customWidth="1"/>
    <col min="5" max="5" width="26.5703125" bestFit="1" customWidth="1"/>
    <col min="6" max="6" width="30.42578125" customWidth="1"/>
  </cols>
  <sheetData>
    <row r="2" spans="1:6" x14ac:dyDescent="0.25">
      <c r="C2" t="s">
        <v>26</v>
      </c>
      <c r="D2" s="42">
        <v>3405000</v>
      </c>
    </row>
    <row r="3" spans="1:6" x14ac:dyDescent="0.25">
      <c r="C3" t="s">
        <v>27</v>
      </c>
      <c r="D3">
        <v>2.7753999999999999</v>
      </c>
    </row>
    <row r="4" spans="1:6" x14ac:dyDescent="0.25">
      <c r="C4" t="s">
        <v>28</v>
      </c>
      <c r="D4" s="42">
        <v>9.9999999999999995E-7</v>
      </c>
    </row>
    <row r="7" spans="1:6" ht="31.5" x14ac:dyDescent="0.25">
      <c r="A7" s="40" t="s">
        <v>1</v>
      </c>
      <c r="B7" s="40" t="s">
        <v>4</v>
      </c>
      <c r="C7" s="40" t="s">
        <v>3</v>
      </c>
      <c r="D7" s="39" t="s">
        <v>0</v>
      </c>
      <c r="E7" s="41" t="s">
        <v>24</v>
      </c>
    </row>
    <row r="8" spans="1:6" ht="15.75" x14ac:dyDescent="0.25">
      <c r="A8" s="10" t="s">
        <v>23</v>
      </c>
      <c r="B8" s="10" t="s">
        <v>25</v>
      </c>
      <c r="C8" s="10" t="s">
        <v>17</v>
      </c>
      <c r="D8" s="13" t="s">
        <v>18</v>
      </c>
      <c r="E8" s="10" t="s">
        <v>16</v>
      </c>
      <c r="F8" s="40" t="s">
        <v>29</v>
      </c>
    </row>
    <row r="9" spans="1:6" ht="15.75" x14ac:dyDescent="0.3">
      <c r="A9" s="12">
        <v>3501</v>
      </c>
      <c r="B9" s="28">
        <v>174</v>
      </c>
      <c r="C9" s="17">
        <v>0.83574909006792664</v>
      </c>
      <c r="D9" s="11">
        <v>46.658961138443573</v>
      </c>
      <c r="E9" s="18">
        <v>1667.7686823505701</v>
      </c>
      <c r="F9" s="42">
        <f>C9*$D$2*A9^($D$4)*10^(-(D9*$D$3)/(B9+459.67))</f>
        <v>1777607.2631509514</v>
      </c>
    </row>
    <row r="10" spans="1:6" ht="15.75" x14ac:dyDescent="0.3">
      <c r="A10" s="12">
        <v>6415</v>
      </c>
      <c r="B10" s="28">
        <v>159</v>
      </c>
      <c r="C10" s="17">
        <f>(3011*1.0461*0.7329+24*1.0283+15*1.3503)/(3011*1.0461+39)</f>
        <v>0.73802749736413975</v>
      </c>
      <c r="D10" s="11">
        <v>42.1</v>
      </c>
      <c r="E10" s="18">
        <f>(3011*1.0461+39)</f>
        <v>3188.8071</v>
      </c>
      <c r="F10" s="42">
        <f t="shared" ref="F10:F73" si="0">C10*$D$2*A10^($D$4)*10^(-(D10*$D$3)/(B10+459.67))</f>
        <v>1626783.3184173899</v>
      </c>
    </row>
    <row r="11" spans="1:6" ht="15.75" x14ac:dyDescent="0.3">
      <c r="A11" s="12">
        <v>3265</v>
      </c>
      <c r="B11" s="28">
        <v>157</v>
      </c>
      <c r="C11" s="17">
        <v>0.8500077412459377</v>
      </c>
      <c r="D11" s="11">
        <v>44.23</v>
      </c>
      <c r="E11" s="18">
        <v>1133.4462691607539</v>
      </c>
      <c r="F11" s="42">
        <f t="shared" si="0"/>
        <v>1830125.6057347767</v>
      </c>
    </row>
    <row r="12" spans="1:6" ht="15.75" x14ac:dyDescent="0.3">
      <c r="A12" s="12">
        <v>5575</v>
      </c>
      <c r="B12" s="28">
        <v>190</v>
      </c>
      <c r="C12" s="17">
        <f>(7899*1.0611*0.742+23*0.9619+19*1.4441)/(7899*1.0611+41)</f>
        <v>0.74427240214750523</v>
      </c>
      <c r="D12" s="11">
        <v>51.48</v>
      </c>
      <c r="E12" s="18">
        <f>(7899*1.0611+41)</f>
        <v>8422.6288999999997</v>
      </c>
      <c r="F12" s="42">
        <f t="shared" si="0"/>
        <v>1527317.9103878287</v>
      </c>
    </row>
    <row r="13" spans="1:6" ht="15.75" x14ac:dyDescent="0.3">
      <c r="A13" s="12">
        <v>3415</v>
      </c>
      <c r="B13" s="28">
        <v>153</v>
      </c>
      <c r="C13" s="17">
        <v>0.84958189781021909</v>
      </c>
      <c r="D13" s="11">
        <v>45.07</v>
      </c>
      <c r="E13" s="18">
        <v>1371</v>
      </c>
      <c r="F13" s="42">
        <f t="shared" si="0"/>
        <v>1807833.5400277663</v>
      </c>
    </row>
    <row r="14" spans="1:6" ht="15.75" x14ac:dyDescent="0.3">
      <c r="A14" s="12">
        <v>2965</v>
      </c>
      <c r="B14" s="28">
        <v>156</v>
      </c>
      <c r="C14" s="17">
        <v>0.84233779366700712</v>
      </c>
      <c r="D14" s="11">
        <v>41.5</v>
      </c>
      <c r="E14" s="18">
        <v>979</v>
      </c>
      <c r="F14" s="42">
        <f t="shared" si="0"/>
        <v>1864350.6378764505</v>
      </c>
    </row>
    <row r="15" spans="1:6" ht="15.75" x14ac:dyDescent="0.3">
      <c r="A15" s="12">
        <v>4215</v>
      </c>
      <c r="B15" s="28">
        <v>135</v>
      </c>
      <c r="C15" s="17">
        <f>(1607*1.0505*0.7748+19*0.8601+40*1.4479)/(1607*1.0505+60)</f>
        <v>0.79068527552071366</v>
      </c>
      <c r="D15" s="11">
        <v>43.13</v>
      </c>
      <c r="E15" s="18">
        <f>(1607*1.0505+60)</f>
        <v>1748.1534999999999</v>
      </c>
      <c r="F15" s="42">
        <f t="shared" si="0"/>
        <v>1693679.5148844251</v>
      </c>
    </row>
    <row r="16" spans="1:6" ht="15.75" x14ac:dyDescent="0.3">
      <c r="A16" s="12">
        <v>2915.0250000000001</v>
      </c>
      <c r="B16" s="28">
        <v>132</v>
      </c>
      <c r="C16" s="17">
        <v>0.81936949846468798</v>
      </c>
      <c r="D16" s="11">
        <v>39.19</v>
      </c>
      <c r="E16" s="18">
        <v>977</v>
      </c>
      <c r="F16" s="42">
        <f t="shared" si="0"/>
        <v>1827125.1483673214</v>
      </c>
    </row>
    <row r="17" spans="1:6" ht="15.75" x14ac:dyDescent="0.3">
      <c r="A17" s="12">
        <v>325.02499999999998</v>
      </c>
      <c r="B17" s="28">
        <v>90</v>
      </c>
      <c r="C17" s="17">
        <v>1.2951339285714287</v>
      </c>
      <c r="D17" s="11">
        <v>42.1</v>
      </c>
      <c r="E17" s="18">
        <v>224</v>
      </c>
      <c r="F17" s="42">
        <f t="shared" si="0"/>
        <v>2703102.4817535817</v>
      </c>
    </row>
    <row r="18" spans="1:6" ht="15.75" x14ac:dyDescent="0.3">
      <c r="A18" s="12">
        <v>2515</v>
      </c>
      <c r="B18" s="28">
        <v>155</v>
      </c>
      <c r="C18" s="17">
        <v>0.86946729910714293</v>
      </c>
      <c r="D18" s="11">
        <v>42.65</v>
      </c>
      <c r="E18" s="18">
        <v>895</v>
      </c>
      <c r="F18" s="42">
        <f t="shared" si="0"/>
        <v>1900192.3885786021</v>
      </c>
    </row>
    <row r="19" spans="1:6" ht="15.75" x14ac:dyDescent="0.3">
      <c r="A19" s="12">
        <v>3162</v>
      </c>
      <c r="B19" s="28">
        <v>157</v>
      </c>
      <c r="C19" s="17">
        <v>0.85150169491525418</v>
      </c>
      <c r="D19" s="11">
        <v>42</v>
      </c>
      <c r="E19" s="18">
        <v>1179</v>
      </c>
      <c r="F19" s="42">
        <f t="shared" si="0"/>
        <v>1876203.3691162341</v>
      </c>
    </row>
    <row r="20" spans="1:6" ht="15.75" x14ac:dyDescent="0.3">
      <c r="A20" s="12">
        <v>2915</v>
      </c>
      <c r="B20" s="28">
        <v>157</v>
      </c>
      <c r="C20" s="17">
        <v>0.8712595864661653</v>
      </c>
      <c r="D20" s="11">
        <v>42.8</v>
      </c>
      <c r="E20" s="18">
        <v>1064</v>
      </c>
      <c r="F20" s="42">
        <f t="shared" si="0"/>
        <v>1903888.1449345411</v>
      </c>
    </row>
    <row r="21" spans="1:6" ht="15.75" x14ac:dyDescent="0.3">
      <c r="A21" s="12">
        <v>3981</v>
      </c>
      <c r="B21" s="28">
        <v>144</v>
      </c>
      <c r="C21" s="17">
        <v>0.77204269293924499</v>
      </c>
      <c r="D21" s="11">
        <v>45.6</v>
      </c>
      <c r="E21" s="18">
        <v>1827</v>
      </c>
      <c r="F21" s="42">
        <f t="shared" si="0"/>
        <v>1622235.796606919</v>
      </c>
    </row>
    <row r="22" spans="1:6" ht="15.75" x14ac:dyDescent="0.3">
      <c r="A22" s="12">
        <v>3765.0250000000001</v>
      </c>
      <c r="B22" s="28">
        <v>164</v>
      </c>
      <c r="C22" s="17">
        <v>0.79283404776485</v>
      </c>
      <c r="D22" s="11">
        <v>47.66</v>
      </c>
      <c r="E22" s="18">
        <v>1633</v>
      </c>
      <c r="F22" s="42">
        <f t="shared" si="0"/>
        <v>1656573.6525819439</v>
      </c>
    </row>
    <row r="23" spans="1:6" ht="15.75" x14ac:dyDescent="0.3">
      <c r="A23" s="12">
        <v>4115</v>
      </c>
      <c r="B23" s="28">
        <v>165</v>
      </c>
      <c r="C23" s="17">
        <v>0.80648070107880954</v>
      </c>
      <c r="D23" s="11">
        <v>44.5</v>
      </c>
      <c r="E23" s="18">
        <v>1921.8963562753036</v>
      </c>
      <c r="F23" s="42">
        <f t="shared" si="0"/>
        <v>1741814.2429586705</v>
      </c>
    </row>
    <row r="24" spans="1:6" ht="15.75" x14ac:dyDescent="0.3">
      <c r="A24" s="12">
        <v>2115</v>
      </c>
      <c r="B24" s="28">
        <v>142</v>
      </c>
      <c r="C24" s="17">
        <v>0.92616719858156027</v>
      </c>
      <c r="D24" s="11">
        <v>38.86</v>
      </c>
      <c r="E24" s="18">
        <v>564</v>
      </c>
      <c r="F24" s="42">
        <f t="shared" si="0"/>
        <v>2087158.1386217894</v>
      </c>
    </row>
    <row r="25" spans="1:6" ht="15.75" x14ac:dyDescent="0.3">
      <c r="A25" s="12">
        <v>3365</v>
      </c>
      <c r="B25" s="28">
        <v>170</v>
      </c>
      <c r="C25" s="17">
        <v>0.88517026618550887</v>
      </c>
      <c r="D25" s="11">
        <v>41.82</v>
      </c>
      <c r="E25" s="18">
        <v>1226</v>
      </c>
      <c r="F25" s="42">
        <f t="shared" si="0"/>
        <v>1971592.7438968422</v>
      </c>
    </row>
    <row r="26" spans="1:6" ht="15.75" x14ac:dyDescent="0.3">
      <c r="A26" s="12">
        <v>2865</v>
      </c>
      <c r="B26" s="28">
        <v>138</v>
      </c>
      <c r="C26" s="17">
        <v>0.8846938679245282</v>
      </c>
      <c r="D26" s="11">
        <v>39.520000000000003</v>
      </c>
      <c r="E26" s="18">
        <v>848</v>
      </c>
      <c r="F26" s="42">
        <f t="shared" si="0"/>
        <v>1974215.5951925584</v>
      </c>
    </row>
    <row r="27" spans="1:6" ht="15.75" x14ac:dyDescent="0.3">
      <c r="A27" s="12">
        <v>2835</v>
      </c>
      <c r="B27" s="28">
        <v>149</v>
      </c>
      <c r="C27" s="17">
        <v>0.89454904761904763</v>
      </c>
      <c r="D27" s="11">
        <v>39.229999999999997</v>
      </c>
      <c r="E27" s="18">
        <v>840</v>
      </c>
      <c r="F27" s="42">
        <f t="shared" si="0"/>
        <v>2017644.4651908213</v>
      </c>
    </row>
    <row r="28" spans="1:6" ht="15.75" x14ac:dyDescent="0.3">
      <c r="A28" s="12">
        <v>2615</v>
      </c>
      <c r="B28" s="28">
        <v>156</v>
      </c>
      <c r="C28" s="17">
        <v>0.89798317631224767</v>
      </c>
      <c r="D28" s="11">
        <v>40.68</v>
      </c>
      <c r="E28" s="18">
        <v>743</v>
      </c>
      <c r="F28" s="42">
        <f t="shared" si="0"/>
        <v>2004499.5391139763</v>
      </c>
    </row>
    <row r="29" spans="1:6" ht="15.75" x14ac:dyDescent="0.3">
      <c r="A29" s="12">
        <v>2965</v>
      </c>
      <c r="B29" s="28">
        <v>164</v>
      </c>
      <c r="C29" s="17">
        <v>0.86339910857758939</v>
      </c>
      <c r="D29" s="11">
        <v>40.47</v>
      </c>
      <c r="E29" s="18">
        <v>975</v>
      </c>
      <c r="F29" s="42">
        <f t="shared" si="0"/>
        <v>1941941.9308905904</v>
      </c>
    </row>
    <row r="30" spans="1:6" ht="15.75" x14ac:dyDescent="0.3">
      <c r="A30" s="12">
        <v>4280</v>
      </c>
      <c r="B30" s="28">
        <v>170</v>
      </c>
      <c r="C30" s="17">
        <v>0.78740556732153377</v>
      </c>
      <c r="D30" s="11">
        <v>46.5</v>
      </c>
      <c r="E30" s="18">
        <v>2124</v>
      </c>
      <c r="F30" s="42">
        <f t="shared" si="0"/>
        <v>1672479.9394318578</v>
      </c>
    </row>
    <row r="31" spans="1:6" ht="15.75" x14ac:dyDescent="0.3">
      <c r="A31" s="12">
        <v>5187</v>
      </c>
      <c r="B31" s="28">
        <v>161</v>
      </c>
      <c r="C31" s="17">
        <f>(4380*1.1125*0.7706+34*0.9715+65*1.4022)/(4380*1.1125+99)</f>
        <v>0.78023133705435699</v>
      </c>
      <c r="D31" s="11">
        <v>47.21</v>
      </c>
      <c r="E31" s="18">
        <f>(4380*1.1125+99)</f>
        <v>4971.75</v>
      </c>
      <c r="F31" s="42">
        <f t="shared" si="0"/>
        <v>1633951.1544035596</v>
      </c>
    </row>
    <row r="32" spans="1:6" ht="15.75" x14ac:dyDescent="0.3">
      <c r="A32" s="12">
        <v>4375</v>
      </c>
      <c r="B32" s="28">
        <v>167</v>
      </c>
      <c r="C32" s="17">
        <v>0.80427641371235392</v>
      </c>
      <c r="D32" s="11">
        <v>47.52</v>
      </c>
      <c r="E32" s="18">
        <v>2645</v>
      </c>
      <c r="F32" s="42">
        <f t="shared" si="0"/>
        <v>1686821.8498722494</v>
      </c>
    </row>
    <row r="33" spans="1:6" ht="15.75" x14ac:dyDescent="0.3">
      <c r="A33" s="12">
        <v>5183</v>
      </c>
      <c r="B33" s="28">
        <v>157</v>
      </c>
      <c r="C33" s="17">
        <f>(3845*1.1132*0.738+57*0.934+52*1.3185)/(3845*1.1132+109)</f>
        <v>0.74742255791075196</v>
      </c>
      <c r="D33" s="11">
        <v>47.57</v>
      </c>
      <c r="E33" s="18">
        <f>(3845*1.1132+109)</f>
        <v>4389.2539999999999</v>
      </c>
      <c r="F33" s="42">
        <f t="shared" si="0"/>
        <v>1554505.7507231291</v>
      </c>
    </row>
    <row r="34" spans="1:6" ht="15.75" x14ac:dyDescent="0.3">
      <c r="A34" s="12">
        <v>4088</v>
      </c>
      <c r="B34" s="28">
        <v>148</v>
      </c>
      <c r="C34" s="17">
        <v>0.80163309653155035</v>
      </c>
      <c r="D34" s="11">
        <v>47.6</v>
      </c>
      <c r="E34" s="18">
        <v>2393</v>
      </c>
      <c r="F34" s="42">
        <f t="shared" si="0"/>
        <v>1654602.8334829693</v>
      </c>
    </row>
    <row r="35" spans="1:6" ht="15.75" x14ac:dyDescent="0.3">
      <c r="A35" s="12">
        <v>4328.6499999999996</v>
      </c>
      <c r="B35" s="28">
        <v>143</v>
      </c>
      <c r="C35" s="17">
        <v>0.8055714285714286</v>
      </c>
      <c r="D35" s="11">
        <v>45.352893388326464</v>
      </c>
      <c r="E35" s="18">
        <v>2261</v>
      </c>
      <c r="F35" s="42">
        <f t="shared" si="0"/>
        <v>1695769.6486101891</v>
      </c>
    </row>
    <row r="36" spans="1:6" ht="15.75" x14ac:dyDescent="0.3">
      <c r="A36" s="12">
        <v>3565</v>
      </c>
      <c r="B36" s="28">
        <v>142</v>
      </c>
      <c r="C36" s="17">
        <v>0.83444602876798013</v>
      </c>
      <c r="D36" s="11">
        <v>44.32</v>
      </c>
      <c r="E36" s="18">
        <v>1598</v>
      </c>
      <c r="F36" s="42">
        <f t="shared" si="0"/>
        <v>1774509.7908061584</v>
      </c>
    </row>
    <row r="37" spans="1:6" ht="15.75" x14ac:dyDescent="0.3">
      <c r="A37" s="12">
        <v>4451</v>
      </c>
      <c r="B37" s="28">
        <v>151</v>
      </c>
      <c r="C37" s="17">
        <v>0.86693904456452753</v>
      </c>
      <c r="D37" s="11">
        <v>46.13</v>
      </c>
      <c r="E37" s="18">
        <v>2689</v>
      </c>
      <c r="F37" s="42">
        <f t="shared" si="0"/>
        <v>1821611.1049160636</v>
      </c>
    </row>
    <row r="38" spans="1:6" ht="15.75" x14ac:dyDescent="0.3">
      <c r="A38" s="12">
        <v>3995</v>
      </c>
      <c r="B38" s="28">
        <v>162</v>
      </c>
      <c r="C38" s="17">
        <v>0.84604101208844851</v>
      </c>
      <c r="D38" s="11">
        <v>44.89</v>
      </c>
      <c r="E38" s="18">
        <v>2072</v>
      </c>
      <c r="F38" s="42">
        <f t="shared" si="0"/>
        <v>1815950.5992635863</v>
      </c>
    </row>
    <row r="39" spans="1:6" ht="15.75" x14ac:dyDescent="0.3">
      <c r="A39" s="12">
        <v>3955</v>
      </c>
      <c r="B39" s="28">
        <v>140</v>
      </c>
      <c r="C39" s="17">
        <v>0.83418704954954959</v>
      </c>
      <c r="D39" s="11">
        <v>44.12</v>
      </c>
      <c r="E39" s="18">
        <v>1776</v>
      </c>
      <c r="F39" s="42">
        <f t="shared" si="0"/>
        <v>1774955.3604497679</v>
      </c>
    </row>
    <row r="40" spans="1:6" ht="15.75" x14ac:dyDescent="0.3">
      <c r="A40" s="12">
        <v>3865</v>
      </c>
      <c r="B40" s="28">
        <v>147</v>
      </c>
      <c r="C40" s="17">
        <v>0.84211125419932797</v>
      </c>
      <c r="D40" s="11">
        <v>43.8</v>
      </c>
      <c r="E40" s="18">
        <v>1786</v>
      </c>
      <c r="F40" s="42">
        <f t="shared" si="0"/>
        <v>1807646.4623354631</v>
      </c>
    </row>
    <row r="41" spans="1:6" ht="15.75" x14ac:dyDescent="0.3">
      <c r="A41" s="12">
        <v>4217</v>
      </c>
      <c r="B41" s="28">
        <v>146</v>
      </c>
      <c r="C41" s="17">
        <v>0.8427257117437722</v>
      </c>
      <c r="D41" s="11">
        <v>46.89</v>
      </c>
      <c r="E41" s="18">
        <v>2247</v>
      </c>
      <c r="F41" s="42">
        <f t="shared" si="0"/>
        <v>1749604.8305937599</v>
      </c>
    </row>
    <row r="42" spans="1:6" ht="15.75" x14ac:dyDescent="0.3">
      <c r="A42" s="12">
        <v>4145</v>
      </c>
      <c r="B42" s="28">
        <v>158</v>
      </c>
      <c r="C42" s="17">
        <v>0.82779175398633253</v>
      </c>
      <c r="D42" s="11">
        <v>47.32</v>
      </c>
      <c r="E42" s="18">
        <v>2196</v>
      </c>
      <c r="F42" s="42">
        <f t="shared" si="0"/>
        <v>1727496.1247704308</v>
      </c>
    </row>
    <row r="43" spans="1:6" ht="15.75" x14ac:dyDescent="0.3">
      <c r="A43" s="12">
        <v>3465</v>
      </c>
      <c r="B43" s="28">
        <v>140</v>
      </c>
      <c r="C43" s="17">
        <v>0.80935814432989683</v>
      </c>
      <c r="D43" s="11">
        <v>43.88</v>
      </c>
      <c r="E43" s="18">
        <v>1455</v>
      </c>
      <c r="F43" s="42">
        <f t="shared" si="0"/>
        <v>1726535.2380687885</v>
      </c>
    </row>
    <row r="44" spans="1:6" ht="15.75" x14ac:dyDescent="0.3">
      <c r="A44" s="12">
        <v>2515</v>
      </c>
      <c r="B44" s="28">
        <v>149</v>
      </c>
      <c r="C44" s="17">
        <v>0.88659053876478311</v>
      </c>
      <c r="D44" s="11">
        <v>40.659999999999997</v>
      </c>
      <c r="E44" s="18">
        <v>761</v>
      </c>
      <c r="F44" s="42">
        <f t="shared" si="0"/>
        <v>1969894.8316618174</v>
      </c>
    </row>
    <row r="45" spans="1:6" ht="15.75" x14ac:dyDescent="0.3">
      <c r="A45" s="12">
        <v>2215</v>
      </c>
      <c r="B45" s="28">
        <v>157</v>
      </c>
      <c r="C45" s="17">
        <v>0.91650691642651272</v>
      </c>
      <c r="D45" s="11">
        <v>40.619999999999997</v>
      </c>
      <c r="E45" s="18">
        <v>694</v>
      </c>
      <c r="F45" s="42">
        <f t="shared" si="0"/>
        <v>2048523.0189661267</v>
      </c>
    </row>
    <row r="46" spans="1:6" ht="15.75" x14ac:dyDescent="0.3">
      <c r="A46" s="12">
        <v>3165</v>
      </c>
      <c r="B46" s="28">
        <v>169</v>
      </c>
      <c r="C46" s="17">
        <v>0.92319242033006776</v>
      </c>
      <c r="D46" s="11">
        <v>43.95</v>
      </c>
      <c r="E46" s="18">
        <v>1193</v>
      </c>
      <c r="F46" s="42">
        <f t="shared" si="0"/>
        <v>2010879.4882023432</v>
      </c>
    </row>
    <row r="47" spans="1:6" ht="15.75" x14ac:dyDescent="0.3">
      <c r="A47" s="12">
        <v>5655</v>
      </c>
      <c r="B47" s="28">
        <v>165</v>
      </c>
      <c r="C47" s="17">
        <v>0.77590107505608719</v>
      </c>
      <c r="D47" s="11">
        <v>41.67</v>
      </c>
      <c r="E47" s="18">
        <v>2539</v>
      </c>
      <c r="F47" s="42">
        <f t="shared" si="0"/>
        <v>1724995.6331203612</v>
      </c>
    </row>
    <row r="48" spans="1:6" ht="15.75" x14ac:dyDescent="0.3">
      <c r="A48" s="12">
        <v>3865</v>
      </c>
      <c r="B48" s="28">
        <v>165</v>
      </c>
      <c r="C48" s="17">
        <v>0.80779518026477171</v>
      </c>
      <c r="D48" s="11">
        <v>41.31</v>
      </c>
      <c r="E48" s="18">
        <v>1311</v>
      </c>
      <c r="F48" s="42">
        <f t="shared" si="0"/>
        <v>1802528.8050288097</v>
      </c>
    </row>
    <row r="49" spans="1:6" ht="15.75" x14ac:dyDescent="0.3">
      <c r="A49" s="12">
        <v>4820</v>
      </c>
      <c r="B49" s="28">
        <v>176</v>
      </c>
      <c r="C49" s="17">
        <v>0.75817891207484189</v>
      </c>
      <c r="D49" s="11">
        <v>52.3</v>
      </c>
      <c r="E49" s="18">
        <v>7104</v>
      </c>
      <c r="F49" s="42">
        <f t="shared" si="0"/>
        <v>1525967.8028581722</v>
      </c>
    </row>
    <row r="50" spans="1:6" ht="15.75" x14ac:dyDescent="0.3">
      <c r="A50" s="12">
        <v>3815</v>
      </c>
      <c r="B50" s="28">
        <v>149</v>
      </c>
      <c r="C50" s="17">
        <v>0.82023585858585857</v>
      </c>
      <c r="D50" s="11">
        <v>44.41</v>
      </c>
      <c r="E50" s="18">
        <v>1583</v>
      </c>
      <c r="F50" s="42">
        <f t="shared" si="0"/>
        <v>1752103.3252336939</v>
      </c>
    </row>
    <row r="51" spans="1:6" ht="15.75" x14ac:dyDescent="0.3">
      <c r="A51" s="12">
        <v>3565</v>
      </c>
      <c r="B51" s="28">
        <v>152</v>
      </c>
      <c r="C51" s="17">
        <v>0.82400711082639333</v>
      </c>
      <c r="D51" s="11">
        <v>46.69</v>
      </c>
      <c r="E51" s="18">
        <v>1562</v>
      </c>
      <c r="F51" s="42">
        <f t="shared" si="0"/>
        <v>1722660.7941473275</v>
      </c>
    </row>
    <row r="52" spans="1:6" ht="15.75" x14ac:dyDescent="0.3">
      <c r="A52" s="12">
        <v>4271</v>
      </c>
      <c r="B52" s="28">
        <v>129</v>
      </c>
      <c r="C52" s="17">
        <v>0.84911701807228912</v>
      </c>
      <c r="D52" s="11">
        <v>46.91</v>
      </c>
      <c r="E52" s="18">
        <v>1992</v>
      </c>
      <c r="F52" s="42">
        <f t="shared" si="0"/>
        <v>1737488.3851088805</v>
      </c>
    </row>
    <row r="53" spans="1:6" ht="15.75" x14ac:dyDescent="0.3">
      <c r="A53" s="12">
        <v>5335</v>
      </c>
      <c r="B53" s="28">
        <v>189</v>
      </c>
      <c r="C53" s="17">
        <f>(9000*1.0501*0.7561+14*0.8875+25*1.3218)/(9000*1.0501+39)</f>
        <v>0.75778411679785873</v>
      </c>
      <c r="D53" s="11">
        <v>49.47</v>
      </c>
      <c r="E53" s="18">
        <f>(9000*1.0501+39)</f>
        <v>9489.9</v>
      </c>
      <c r="F53" s="42">
        <f t="shared" si="0"/>
        <v>1584907.6386612491</v>
      </c>
    </row>
    <row r="54" spans="1:6" ht="15.75" x14ac:dyDescent="0.3">
      <c r="A54" s="12">
        <v>3615</v>
      </c>
      <c r="B54" s="28">
        <v>143</v>
      </c>
      <c r="C54" s="17">
        <v>0.83229050097592716</v>
      </c>
      <c r="D54" s="11">
        <v>44.76</v>
      </c>
      <c r="E54" s="18">
        <v>1537</v>
      </c>
      <c r="F54" s="42">
        <f t="shared" si="0"/>
        <v>1763063.8473480837</v>
      </c>
    </row>
    <row r="55" spans="1:6" ht="15.75" x14ac:dyDescent="0.3">
      <c r="A55" s="12">
        <v>3992</v>
      </c>
      <c r="B55" s="28">
        <v>169</v>
      </c>
      <c r="C55" s="17">
        <v>0.83751465827147997</v>
      </c>
      <c r="D55" s="11">
        <v>46.98</v>
      </c>
      <c r="E55" s="18">
        <v>1902.8279498619736</v>
      </c>
      <c r="F55" s="42">
        <f t="shared" si="0"/>
        <v>1768926.303423271</v>
      </c>
    </row>
    <row r="56" spans="1:6" ht="15.75" x14ac:dyDescent="0.3">
      <c r="A56" s="12">
        <v>3865</v>
      </c>
      <c r="B56" s="28">
        <v>154</v>
      </c>
      <c r="C56" s="17">
        <v>0.8241312228429547</v>
      </c>
      <c r="D56" s="11">
        <v>44.43</v>
      </c>
      <c r="E56" s="18">
        <v>1611</v>
      </c>
      <c r="F56" s="42">
        <f t="shared" si="0"/>
        <v>1766756.8784896773</v>
      </c>
    </row>
    <row r="57" spans="1:6" ht="15.75" x14ac:dyDescent="0.3">
      <c r="A57" s="12">
        <v>6058</v>
      </c>
      <c r="B57" s="28">
        <v>145</v>
      </c>
      <c r="C57" s="17">
        <f>(6523*1.0697*0.7366+14*0.9432+39*1.248)/(6523*1.0697+53)</f>
        <v>0.73984820463692058</v>
      </c>
      <c r="D57" s="11">
        <v>48.64</v>
      </c>
      <c r="E57" s="18">
        <f>(6523*1.0697+53)</f>
        <v>7030.6531000000004</v>
      </c>
      <c r="F57" s="42">
        <f t="shared" si="0"/>
        <v>1506637.4640109066</v>
      </c>
    </row>
    <row r="58" spans="1:6" ht="15.75" x14ac:dyDescent="0.3">
      <c r="A58" s="12">
        <v>3365</v>
      </c>
      <c r="B58" s="28">
        <v>129</v>
      </c>
      <c r="C58" s="17">
        <v>0.83125307414104888</v>
      </c>
      <c r="D58" s="11">
        <v>38.78</v>
      </c>
      <c r="E58" s="18">
        <v>1106</v>
      </c>
      <c r="F58" s="42">
        <f t="shared" si="0"/>
        <v>1857881.4690291383</v>
      </c>
    </row>
    <row r="59" spans="1:6" ht="15.75" x14ac:dyDescent="0.3">
      <c r="A59" s="12">
        <v>2415</v>
      </c>
      <c r="B59" s="28">
        <v>137</v>
      </c>
      <c r="C59" s="17">
        <v>0.8440983240223463</v>
      </c>
      <c r="D59" s="11">
        <v>37.92</v>
      </c>
      <c r="E59" s="18">
        <v>716</v>
      </c>
      <c r="F59" s="42">
        <f t="shared" si="0"/>
        <v>1914826.0394320257</v>
      </c>
    </row>
    <row r="60" spans="1:6" ht="15.75" x14ac:dyDescent="0.3">
      <c r="A60" s="12">
        <v>5435</v>
      </c>
      <c r="B60" s="28">
        <v>192</v>
      </c>
      <c r="C60" s="17">
        <f>(7889*1.0674*0.7451+26*0.9251+21*1.3754)/(7889*1.0674+47)</f>
        <v>0.7472158355451255</v>
      </c>
      <c r="D60" s="11">
        <v>51.74</v>
      </c>
      <c r="E60" s="18">
        <f>(7889*1.0674+47)</f>
        <v>8467.7186000000002</v>
      </c>
      <c r="F60" s="42">
        <f t="shared" si="0"/>
        <v>1531832.3018715712</v>
      </c>
    </row>
    <row r="61" spans="1:6" ht="15.75" x14ac:dyDescent="0.3">
      <c r="A61" s="12">
        <v>4535</v>
      </c>
      <c r="B61" s="28">
        <v>177</v>
      </c>
      <c r="C61" s="17">
        <v>0.78466681175390973</v>
      </c>
      <c r="D61" s="11">
        <v>47.68</v>
      </c>
      <c r="E61" s="18">
        <v>2583</v>
      </c>
      <c r="F61" s="42">
        <f t="shared" si="0"/>
        <v>1655607.1519781118</v>
      </c>
    </row>
    <row r="62" spans="1:6" ht="15.75" x14ac:dyDescent="0.3">
      <c r="A62" s="12">
        <v>4575</v>
      </c>
      <c r="B62" s="28">
        <v>176</v>
      </c>
      <c r="C62" s="17">
        <v>0.79100877299711558</v>
      </c>
      <c r="D62" s="11">
        <v>48.11</v>
      </c>
      <c r="E62" s="18">
        <v>2592.8721580424876</v>
      </c>
      <c r="F62" s="42">
        <f t="shared" si="0"/>
        <v>1660538.3654041016</v>
      </c>
    </row>
    <row r="63" spans="1:6" ht="15.75" x14ac:dyDescent="0.3">
      <c r="A63" s="12">
        <v>5238</v>
      </c>
      <c r="B63" s="28">
        <v>180</v>
      </c>
      <c r="C63" s="17">
        <f>(3708*1.0517*0.7831+10*0.8186+12*0.9849+13*1.2101)/(3780*1.0517+34)</f>
        <v>0.77058261934750771</v>
      </c>
      <c r="D63" s="11">
        <v>47.23</v>
      </c>
      <c r="E63" s="18">
        <f>(3780*1.0517+34)</f>
        <v>4009.4260000000004</v>
      </c>
      <c r="F63" s="42">
        <f t="shared" si="0"/>
        <v>1636886.379917891</v>
      </c>
    </row>
    <row r="64" spans="1:6" ht="15.75" x14ac:dyDescent="0.3">
      <c r="A64" s="12">
        <v>5055</v>
      </c>
      <c r="B64" s="28">
        <v>182</v>
      </c>
      <c r="C64" s="17">
        <v>0.77850099024655151</v>
      </c>
      <c r="D64" s="11">
        <v>48.62</v>
      </c>
      <c r="E64" s="18">
        <f>(3692*1.0563+41)</f>
        <v>3940.8596000000002</v>
      </c>
      <c r="F64" s="42">
        <f t="shared" si="0"/>
        <v>1633371.8211018245</v>
      </c>
    </row>
    <row r="65" spans="1:6" ht="15.75" x14ac:dyDescent="0.3">
      <c r="A65" s="12">
        <v>5210</v>
      </c>
      <c r="B65" s="28">
        <v>195</v>
      </c>
      <c r="C65" s="17">
        <f>(11314*1.0606*0.7582+9*0.7775+21*0.9886+9*1.1347)/(11314*1.0606+39)</f>
        <v>0.75889780374647986</v>
      </c>
      <c r="D65" s="11">
        <v>52.72</v>
      </c>
      <c r="E65" s="18">
        <f>(11314*1.0606+39)</f>
        <v>12038.6284</v>
      </c>
      <c r="F65" s="42">
        <f t="shared" si="0"/>
        <v>1544555.808912585</v>
      </c>
    </row>
    <row r="66" spans="1:6" ht="15.75" x14ac:dyDescent="0.3">
      <c r="A66" s="12">
        <v>5019</v>
      </c>
      <c r="B66" s="28">
        <v>182</v>
      </c>
      <c r="C66" s="17">
        <f>(3422*1.1688*0.7252+175*0.9668+52*1.4082+221.5793)/(3422*1.1688+249)</f>
        <v>0.79190871783342287</v>
      </c>
      <c r="D66" s="11">
        <v>50.99</v>
      </c>
      <c r="E66" s="18">
        <f>(3422*1.1688+249)</f>
        <v>4248.6336000000001</v>
      </c>
      <c r="F66" s="42">
        <f t="shared" si="0"/>
        <v>1622744.3502317904</v>
      </c>
    </row>
    <row r="67" spans="1:6" ht="15.75" x14ac:dyDescent="0.3">
      <c r="A67" s="12">
        <v>4786</v>
      </c>
      <c r="B67" s="28">
        <v>184</v>
      </c>
      <c r="C67" s="17">
        <v>0.74776942167439542</v>
      </c>
      <c r="D67" s="11">
        <v>52.67</v>
      </c>
      <c r="E67" s="18">
        <f>3444*1.1903+272</f>
        <v>4371.3931999999995</v>
      </c>
      <c r="F67" s="42">
        <f t="shared" si="0"/>
        <v>1509329.4744121332</v>
      </c>
    </row>
    <row r="68" spans="1:6" ht="15.75" x14ac:dyDescent="0.3">
      <c r="A68" s="12">
        <v>5326</v>
      </c>
      <c r="B68" s="28">
        <v>182</v>
      </c>
      <c r="C68" s="17">
        <v>0.76577585543240156</v>
      </c>
      <c r="D68" s="11">
        <v>51.08</v>
      </c>
      <c r="E68" s="18">
        <f>6022*1.0868+73</f>
        <v>6617.7096000000001</v>
      </c>
      <c r="F68" s="42">
        <f t="shared" si="0"/>
        <v>1567788.2376394784</v>
      </c>
    </row>
    <row r="69" spans="1:6" ht="15.75" x14ac:dyDescent="0.3">
      <c r="A69" s="12">
        <v>5217</v>
      </c>
      <c r="B69" s="28">
        <v>186</v>
      </c>
      <c r="C69" s="17">
        <f>(4400*1.1237*0.7604+75.8464+42*1.295+12*1.3607)/(4400*1.1237+129)</f>
        <v>0.76995460766998858</v>
      </c>
      <c r="D69" s="11">
        <v>51.01</v>
      </c>
      <c r="E69" s="18">
        <f>(4400*1.1237+129)</f>
        <v>5073.28</v>
      </c>
      <c r="F69" s="42">
        <f t="shared" si="0"/>
        <v>1582415.244399539</v>
      </c>
    </row>
    <row r="70" spans="1:6" ht="15.75" x14ac:dyDescent="0.3">
      <c r="A70" s="12">
        <v>5179</v>
      </c>
      <c r="B70" s="28">
        <v>203</v>
      </c>
      <c r="C70" s="17">
        <f>(10226*1.0717*0.7267+59*1.0275+32*1.5444)/(10226*1.0717+91)</f>
        <v>0.73067400800973437</v>
      </c>
      <c r="D70" s="11">
        <v>54.78</v>
      </c>
      <c r="E70" s="18">
        <f>(10226*1.0717+91)</f>
        <v>11050.2042</v>
      </c>
      <c r="F70" s="42">
        <f t="shared" si="0"/>
        <v>1466947.0495252274</v>
      </c>
    </row>
    <row r="71" spans="1:6" ht="15.75" x14ac:dyDescent="0.3">
      <c r="A71" s="12">
        <v>4756.0249999999996</v>
      </c>
      <c r="B71" s="28">
        <v>157</v>
      </c>
      <c r="C71" s="17">
        <f>(2213*0.7641*1.1661+19*0.939+15*1.247+29*1.457)/(2213*1.1661+63)</f>
        <v>0.77569817675981945</v>
      </c>
      <c r="D71" s="11">
        <v>46.15</v>
      </c>
      <c r="E71" s="18">
        <f>(2213*1.1661+63)</f>
        <v>2643.5792999999999</v>
      </c>
      <c r="F71" s="42">
        <f t="shared" si="0"/>
        <v>1637230.2180503106</v>
      </c>
    </row>
    <row r="72" spans="1:6" ht="15.75" x14ac:dyDescent="0.3">
      <c r="A72" s="12">
        <v>5249.65</v>
      </c>
      <c r="B72" s="28">
        <v>143</v>
      </c>
      <c r="C72" s="17">
        <v>0.69889205702647672</v>
      </c>
      <c r="D72" s="11">
        <v>44.34</v>
      </c>
      <c r="E72" s="18">
        <v>1964</v>
      </c>
      <c r="F72" s="42">
        <f t="shared" si="0"/>
        <v>1487090.9878952545</v>
      </c>
    </row>
    <row r="73" spans="1:6" ht="15.75" x14ac:dyDescent="0.3">
      <c r="A73" s="12">
        <v>4315.0249999999996</v>
      </c>
      <c r="B73" s="28">
        <v>165</v>
      </c>
      <c r="C73" s="17">
        <v>0.76893049792531121</v>
      </c>
      <c r="D73" s="11">
        <v>45.91</v>
      </c>
      <c r="E73" s="18">
        <v>1928</v>
      </c>
      <c r="F73" s="42">
        <f t="shared" si="0"/>
        <v>1636930.9317830957</v>
      </c>
    </row>
    <row r="74" spans="1:6" ht="15.75" x14ac:dyDescent="0.3">
      <c r="A74" s="12">
        <v>2965</v>
      </c>
      <c r="B74" s="28">
        <v>147</v>
      </c>
      <c r="C74" s="17">
        <v>0.85086647116324532</v>
      </c>
      <c r="D74" s="11">
        <v>41.15</v>
      </c>
      <c r="E74" s="18">
        <v>1022</v>
      </c>
      <c r="F74" s="42">
        <f t="shared" ref="F74:F137" si="1">C74*$D$2*A74^($D$4)*10^(-(D74*$D$3)/(B74+459.67))</f>
        <v>1878142.6109641027</v>
      </c>
    </row>
    <row r="75" spans="1:6" ht="15.75" x14ac:dyDescent="0.3">
      <c r="A75" s="12">
        <v>3169.6959999999999</v>
      </c>
      <c r="B75" s="28">
        <v>157.9</v>
      </c>
      <c r="C75" s="17">
        <v>0.8476117647058824</v>
      </c>
      <c r="D75" s="11">
        <v>42.3</v>
      </c>
      <c r="E75" s="18">
        <v>1190</v>
      </c>
      <c r="F75" s="42">
        <f t="shared" si="1"/>
        <v>1863024.7511639441</v>
      </c>
    </row>
    <row r="76" spans="1:6" ht="15.75" x14ac:dyDescent="0.3">
      <c r="A76" s="12">
        <v>4115.0249999999996</v>
      </c>
      <c r="B76" s="28">
        <v>147</v>
      </c>
      <c r="C76" s="17">
        <v>0.82734391819160391</v>
      </c>
      <c r="D76" s="11">
        <v>45.53</v>
      </c>
      <c r="E76" s="18">
        <v>1858</v>
      </c>
      <c r="F76" s="42">
        <f t="shared" si="1"/>
        <v>1743876.4336982132</v>
      </c>
    </row>
    <row r="77" spans="1:6" ht="15.75" x14ac:dyDescent="0.3">
      <c r="A77" s="12">
        <v>3005.6959999999999</v>
      </c>
      <c r="B77" s="28">
        <v>156</v>
      </c>
      <c r="C77" s="17">
        <v>0.86626456310679611</v>
      </c>
      <c r="D77" s="11">
        <v>42.3</v>
      </c>
      <c r="E77" s="18">
        <v>1235</v>
      </c>
      <c r="F77" s="42">
        <f t="shared" si="1"/>
        <v>1901452.6537264425</v>
      </c>
    </row>
    <row r="78" spans="1:6" ht="15.75" x14ac:dyDescent="0.3">
      <c r="A78" s="12">
        <v>1265.0250000000001</v>
      </c>
      <c r="B78" s="28">
        <v>157</v>
      </c>
      <c r="C78" s="17">
        <v>0.82463204747774488</v>
      </c>
      <c r="D78" s="11">
        <v>43.65</v>
      </c>
      <c r="E78" s="18">
        <v>338</v>
      </c>
      <c r="F78" s="42">
        <f t="shared" si="1"/>
        <v>1786192.1459998998</v>
      </c>
    </row>
    <row r="79" spans="1:6" ht="15.75" x14ac:dyDescent="0.3">
      <c r="A79" s="12">
        <v>5276</v>
      </c>
      <c r="B79" s="28">
        <v>170</v>
      </c>
      <c r="C79" s="17">
        <f>(7187*1.2099*0.7258+263*1.2356)/(7187*1.2099+263)</f>
        <v>0.74076641538459465</v>
      </c>
      <c r="D79" s="11">
        <v>51.27</v>
      </c>
      <c r="E79" s="18">
        <f>(7187*1.2099+263)</f>
        <v>8958.5512999999992</v>
      </c>
      <c r="F79" s="42">
        <f t="shared" si="1"/>
        <v>1499060.1366497586</v>
      </c>
    </row>
    <row r="80" spans="1:6" ht="15.75" x14ac:dyDescent="0.3">
      <c r="A80" s="12">
        <v>4925</v>
      </c>
      <c r="B80" s="28">
        <v>174</v>
      </c>
      <c r="C80" s="17">
        <f>(3423*1.1713*0.7514+106*0.8642+95*1.4455)/(3423*1.1713+201)</f>
        <v>0.76990110248294918</v>
      </c>
      <c r="D80" s="11">
        <v>48.39</v>
      </c>
      <c r="E80" s="18">
        <f>3423*1.1713+201</f>
        <v>4210.3598999999995</v>
      </c>
      <c r="F80" s="42">
        <f t="shared" si="1"/>
        <v>1609211.9426258735</v>
      </c>
    </row>
    <row r="81" spans="1:6" ht="15.75" x14ac:dyDescent="0.3">
      <c r="A81" s="12">
        <v>4884</v>
      </c>
      <c r="B81" s="28">
        <v>178</v>
      </c>
      <c r="C81" s="17">
        <f>(4003*1.2158*0.7362+288*1.2696)/(4003*1.2158+288)</f>
        <v>0.7660009209739167</v>
      </c>
      <c r="D81" s="11">
        <v>49.47</v>
      </c>
      <c r="E81" s="18">
        <f>(4003*1.2158+288)</f>
        <v>5154.8473999999997</v>
      </c>
      <c r="F81" s="42">
        <f t="shared" si="1"/>
        <v>1588680.16668929</v>
      </c>
    </row>
    <row r="82" spans="1:6" ht="15.75" x14ac:dyDescent="0.3">
      <c r="A82" s="12">
        <v>3815</v>
      </c>
      <c r="B82" s="28">
        <v>174</v>
      </c>
      <c r="C82" s="17">
        <v>0.83123413677130042</v>
      </c>
      <c r="D82" s="11">
        <v>48.3</v>
      </c>
      <c r="E82" s="18">
        <v>1784</v>
      </c>
      <c r="F82" s="42">
        <f t="shared" si="1"/>
        <v>1738984.6731550917</v>
      </c>
    </row>
    <row r="83" spans="1:6" ht="15.75" x14ac:dyDescent="0.3">
      <c r="A83" s="12">
        <v>4374</v>
      </c>
      <c r="B83" s="28">
        <v>174</v>
      </c>
      <c r="C83" s="17">
        <v>0.79573762906309753</v>
      </c>
      <c r="D83" s="11">
        <v>47.5</v>
      </c>
      <c r="E83" s="18">
        <v>2615</v>
      </c>
      <c r="F83" s="42">
        <f t="shared" si="1"/>
        <v>1678209.7686643861</v>
      </c>
    </row>
    <row r="84" spans="1:6" ht="15.75" x14ac:dyDescent="0.3">
      <c r="A84" s="12">
        <v>4161</v>
      </c>
      <c r="B84" s="28">
        <v>169</v>
      </c>
      <c r="C84" s="17">
        <v>0.81640797824116051</v>
      </c>
      <c r="D84" s="11">
        <v>46.200069761207317</v>
      </c>
      <c r="E84" s="18">
        <v>2206</v>
      </c>
      <c r="F84" s="42">
        <f t="shared" si="1"/>
        <v>1738071.9560531608</v>
      </c>
    </row>
    <row r="85" spans="1:6" ht="15.75" x14ac:dyDescent="0.3">
      <c r="A85" s="12">
        <v>5490</v>
      </c>
      <c r="B85" s="28">
        <v>173</v>
      </c>
      <c r="C85" s="17">
        <f>(5372*1.1437*0.708+126*0.8667+11*0.8733+25*1.0918+44*1.501)/(5372*1.1437+205)</f>
        <v>0.71855441174552726</v>
      </c>
      <c r="D85" s="11">
        <v>53.3</v>
      </c>
      <c r="E85" s="18">
        <f>(5372*1.1437+205)</f>
        <v>6348.9564</v>
      </c>
      <c r="F85" s="42">
        <f t="shared" si="1"/>
        <v>1428117.0453207472</v>
      </c>
    </row>
    <row r="86" spans="1:6" ht="15.75" x14ac:dyDescent="0.3">
      <c r="A86" s="12">
        <v>4633</v>
      </c>
      <c r="B86" s="28">
        <v>175</v>
      </c>
      <c r="C86" s="17">
        <v>0.77762717770034839</v>
      </c>
      <c r="D86" s="11">
        <v>50.2</v>
      </c>
      <c r="E86" s="18">
        <v>2870</v>
      </c>
      <c r="F86" s="42">
        <f t="shared" si="1"/>
        <v>1597234.0307317167</v>
      </c>
    </row>
    <row r="87" spans="1:6" ht="15.75" x14ac:dyDescent="0.3">
      <c r="A87" s="12">
        <v>4618</v>
      </c>
      <c r="B87" s="28">
        <v>205</v>
      </c>
      <c r="C87" s="17">
        <v>0.7799001584786055</v>
      </c>
      <c r="D87" s="11">
        <v>47.6</v>
      </c>
      <c r="E87" s="18">
        <v>3786</v>
      </c>
      <c r="F87" s="42">
        <f t="shared" si="1"/>
        <v>1680354.6284403091</v>
      </c>
    </row>
    <row r="88" spans="1:6" ht="15.75" x14ac:dyDescent="0.3">
      <c r="A88" s="12">
        <v>4856</v>
      </c>
      <c r="B88" s="28">
        <v>165</v>
      </c>
      <c r="C88" s="17">
        <v>0.81859073191566978</v>
      </c>
      <c r="D88" s="11">
        <v>49.45</v>
      </c>
      <c r="E88" s="18">
        <v>3878</v>
      </c>
      <c r="F88" s="42">
        <f t="shared" si="1"/>
        <v>1680668.1626734785</v>
      </c>
    </row>
    <row r="89" spans="1:6" ht="15.75" x14ac:dyDescent="0.3">
      <c r="A89" s="12">
        <v>5098</v>
      </c>
      <c r="B89" s="28">
        <v>173</v>
      </c>
      <c r="C89" s="17">
        <f>(8735*1.0801*0.8086+36*0.8771+29*1.416)/(8735*1.0801+65)</f>
        <v>0.81071382001707748</v>
      </c>
      <c r="D89" s="11">
        <v>50.63</v>
      </c>
      <c r="E89" s="18">
        <f>(8735*1.0801+65)</f>
        <v>9499.6735000000008</v>
      </c>
      <c r="F89" s="42">
        <f t="shared" si="1"/>
        <v>1655329.5062616172</v>
      </c>
    </row>
    <row r="90" spans="1:6" ht="15.75" x14ac:dyDescent="0.3">
      <c r="A90" s="12">
        <v>4695</v>
      </c>
      <c r="B90" s="28">
        <v>184</v>
      </c>
      <c r="C90" s="17">
        <f>(13859*1.0736*0.7393+30*1.0133+28*1.3807)/(13859*1.0736+58)</f>
        <v>0.74105263846427649</v>
      </c>
      <c r="D90" s="11">
        <v>54.68</v>
      </c>
      <c r="E90" s="18">
        <f>(13859*1.0736+58)</f>
        <v>14937.022400000002</v>
      </c>
      <c r="F90" s="42">
        <f t="shared" si="1"/>
        <v>1466218.2098153634</v>
      </c>
    </row>
    <row r="91" spans="1:6" ht="15.75" x14ac:dyDescent="0.3">
      <c r="A91" s="12">
        <v>3658</v>
      </c>
      <c r="B91" s="28">
        <v>165</v>
      </c>
      <c r="C91" s="17">
        <v>0.81186086770028443</v>
      </c>
      <c r="D91" s="11">
        <v>46.8</v>
      </c>
      <c r="E91" s="18">
        <v>1925</v>
      </c>
      <c r="F91" s="42">
        <f t="shared" si="1"/>
        <v>1712657.6079960163</v>
      </c>
    </row>
    <row r="92" spans="1:6" ht="15.75" x14ac:dyDescent="0.3">
      <c r="A92" s="12">
        <v>3515</v>
      </c>
      <c r="B92" s="28">
        <v>185</v>
      </c>
      <c r="C92" s="17">
        <v>0.84594531668754847</v>
      </c>
      <c r="D92" s="11">
        <v>45.82</v>
      </c>
      <c r="E92" s="18">
        <v>1573</v>
      </c>
      <c r="F92" s="42">
        <f t="shared" si="1"/>
        <v>1828946.7211174199</v>
      </c>
    </row>
    <row r="93" spans="1:6" ht="15.75" x14ac:dyDescent="0.3">
      <c r="A93" s="12">
        <v>3515</v>
      </c>
      <c r="B93" s="28">
        <v>190</v>
      </c>
      <c r="C93" s="17">
        <v>0.8405067484662575</v>
      </c>
      <c r="D93" s="11">
        <v>45.31</v>
      </c>
      <c r="E93" s="18">
        <v>1303</v>
      </c>
      <c r="F93" s="42">
        <f t="shared" si="1"/>
        <v>1832723.1524213054</v>
      </c>
    </row>
    <row r="94" spans="1:6" ht="15.75" x14ac:dyDescent="0.3">
      <c r="A94" s="12">
        <v>4815</v>
      </c>
      <c r="B94" s="28">
        <v>171</v>
      </c>
      <c r="C94" s="17">
        <v>0.82248795518505935</v>
      </c>
      <c r="D94" s="11">
        <v>47.73</v>
      </c>
      <c r="E94" s="18">
        <v>3198</v>
      </c>
      <c r="F94" s="42">
        <f t="shared" si="1"/>
        <v>1726649.3025387847</v>
      </c>
    </row>
    <row r="95" spans="1:6" ht="15.75" x14ac:dyDescent="0.3">
      <c r="A95" s="12">
        <v>7295</v>
      </c>
      <c r="B95" s="28">
        <v>181</v>
      </c>
      <c r="C95" s="17">
        <f>(14468*1.0403*0.6844+28*0.9129+11*1.3494)/(14468*1.0403+39)</f>
        <v>0.68530874387752616</v>
      </c>
      <c r="D95" s="11">
        <v>51.15</v>
      </c>
      <c r="E95" s="18">
        <f>(14468*1.0403+39)</f>
        <v>15090.0604</v>
      </c>
      <c r="F95" s="42">
        <f t="shared" si="1"/>
        <v>1400954.5638186643</v>
      </c>
    </row>
    <row r="96" spans="1:6" ht="15.75" x14ac:dyDescent="0.3">
      <c r="A96" s="12">
        <v>4735</v>
      </c>
      <c r="B96" s="28">
        <v>169</v>
      </c>
      <c r="C96" s="17">
        <v>0.80864126002039083</v>
      </c>
      <c r="D96" s="11">
        <v>47.84</v>
      </c>
      <c r="E96" s="18">
        <v>3019.0898226608274</v>
      </c>
      <c r="F96" s="42">
        <f t="shared" si="1"/>
        <v>1693076.7179278391</v>
      </c>
    </row>
    <row r="97" spans="1:6" ht="15.75" x14ac:dyDescent="0.3">
      <c r="A97" s="12">
        <v>2236.6959999999999</v>
      </c>
      <c r="B97" s="28">
        <v>155</v>
      </c>
      <c r="C97" s="17">
        <v>0.8641896139865074</v>
      </c>
      <c r="D97" s="11">
        <v>40.33</v>
      </c>
      <c r="E97" s="18">
        <v>897</v>
      </c>
      <c r="F97" s="42">
        <f t="shared" si="1"/>
        <v>1934767.2865967951</v>
      </c>
    </row>
    <row r="98" spans="1:6" ht="15.75" x14ac:dyDescent="0.3">
      <c r="A98" s="12">
        <v>3314.6959999999999</v>
      </c>
      <c r="B98" s="28">
        <v>165</v>
      </c>
      <c r="C98" s="17">
        <v>0.75937338889354078</v>
      </c>
      <c r="D98" s="11">
        <v>42.16</v>
      </c>
      <c r="E98" s="18">
        <v>1230</v>
      </c>
      <c r="F98" s="42">
        <f t="shared" si="1"/>
        <v>1679808.309154758</v>
      </c>
    </row>
    <row r="99" spans="1:6" ht="15.75" x14ac:dyDescent="0.3">
      <c r="A99" s="12">
        <v>4498</v>
      </c>
      <c r="B99" s="28">
        <v>148</v>
      </c>
      <c r="C99" s="17">
        <v>0.88665790947270184</v>
      </c>
      <c r="D99" s="11">
        <v>44.8</v>
      </c>
      <c r="E99" s="18">
        <v>2143</v>
      </c>
      <c r="F99" s="42">
        <f t="shared" si="1"/>
        <v>1884788.6024472883</v>
      </c>
    </row>
    <row r="100" spans="1:6" ht="15.75" x14ac:dyDescent="0.3">
      <c r="A100" s="12">
        <v>3365</v>
      </c>
      <c r="B100" s="28">
        <v>154</v>
      </c>
      <c r="C100" s="17">
        <v>0.83274397003745326</v>
      </c>
      <c r="D100" s="11">
        <v>44.91</v>
      </c>
      <c r="E100" s="18">
        <v>1335</v>
      </c>
      <c r="F100" s="42">
        <f t="shared" si="1"/>
        <v>1776319.1534671974</v>
      </c>
    </row>
    <row r="101" spans="1:6" ht="15.75" x14ac:dyDescent="0.3">
      <c r="A101" s="12">
        <v>3955</v>
      </c>
      <c r="B101" s="28">
        <v>159</v>
      </c>
      <c r="C101" s="17">
        <v>0.83111498405951112</v>
      </c>
      <c r="D101" s="11">
        <v>46.47</v>
      </c>
      <c r="E101" s="18">
        <v>1882</v>
      </c>
      <c r="F101" s="42">
        <f t="shared" si="1"/>
        <v>1751111.9907885941</v>
      </c>
    </row>
    <row r="102" spans="1:6" ht="15.75" x14ac:dyDescent="0.3">
      <c r="A102" s="12">
        <v>4349</v>
      </c>
      <c r="B102" s="28">
        <v>148</v>
      </c>
      <c r="C102" s="17">
        <v>0.88824140253969686</v>
      </c>
      <c r="D102" s="11">
        <v>44.56</v>
      </c>
      <c r="E102" s="18">
        <v>2038</v>
      </c>
      <c r="F102" s="42">
        <f t="shared" si="1"/>
        <v>1892926.2762071548</v>
      </c>
    </row>
    <row r="103" spans="1:6" ht="15.75" x14ac:dyDescent="0.3">
      <c r="A103" s="12">
        <v>3915</v>
      </c>
      <c r="B103" s="28">
        <v>154</v>
      </c>
      <c r="C103" s="17">
        <v>0.84009799161896836</v>
      </c>
      <c r="D103" s="11">
        <v>45.09</v>
      </c>
      <c r="E103" s="18">
        <v>1759</v>
      </c>
      <c r="F103" s="42">
        <f t="shared" si="1"/>
        <v>1788650.3076286721</v>
      </c>
    </row>
    <row r="104" spans="1:6" ht="15.75" x14ac:dyDescent="0.3">
      <c r="A104" s="12">
        <v>4133</v>
      </c>
      <c r="B104" s="28">
        <v>162</v>
      </c>
      <c r="C104" s="17">
        <v>0.84338973647711524</v>
      </c>
      <c r="D104" s="11">
        <v>47.21</v>
      </c>
      <c r="E104" s="18">
        <v>2163</v>
      </c>
      <c r="F104" s="42">
        <f t="shared" si="1"/>
        <v>1767597.8749031005</v>
      </c>
    </row>
    <row r="105" spans="1:6" ht="15.75" x14ac:dyDescent="0.3">
      <c r="A105" s="12">
        <v>4397</v>
      </c>
      <c r="B105" s="28">
        <v>162</v>
      </c>
      <c r="C105" s="17">
        <v>0.80202568367570037</v>
      </c>
      <c r="D105" s="11">
        <v>47.8</v>
      </c>
      <c r="E105" s="18">
        <v>2369</v>
      </c>
      <c r="F105" s="42">
        <f t="shared" si="1"/>
        <v>1670742.231913924</v>
      </c>
    </row>
    <row r="106" spans="1:6" ht="15.75" x14ac:dyDescent="0.3">
      <c r="A106" s="3">
        <v>5706</v>
      </c>
      <c r="B106" s="3">
        <v>190</v>
      </c>
      <c r="C106" s="17">
        <f>(9115*1.1799*0.7354+85*0.8537+66*1.0042+31*1.183+27*1.3195)/(9115*1.1799+210)</f>
        <v>0.74057175502290817</v>
      </c>
      <c r="D106" s="15">
        <v>54.83</v>
      </c>
      <c r="E106" s="18">
        <f>(9115*1.1799+210)</f>
        <v>10964.788499999999</v>
      </c>
      <c r="F106" s="42">
        <f t="shared" si="1"/>
        <v>1470460.7381000591</v>
      </c>
    </row>
    <row r="107" spans="1:6" ht="15.75" x14ac:dyDescent="0.3">
      <c r="A107" s="3">
        <v>4809</v>
      </c>
      <c r="B107" s="3">
        <v>177</v>
      </c>
      <c r="C107" s="17">
        <f>(4572*1.2006*0.7484+163*1.1376+34*1.2528+35*1.3791)/(4572*1.2006+231)</f>
        <v>0.76647858586477324</v>
      </c>
      <c r="D107" s="15">
        <v>52.46</v>
      </c>
      <c r="E107" s="18">
        <f>4572*1.2006+231</f>
        <v>5720.1431999999995</v>
      </c>
      <c r="F107" s="42">
        <f t="shared" si="1"/>
        <v>1541469.2792406615</v>
      </c>
    </row>
    <row r="108" spans="1:6" ht="15.75" x14ac:dyDescent="0.3">
      <c r="A108" s="3">
        <v>4257</v>
      </c>
      <c r="B108" s="3">
        <v>165</v>
      </c>
      <c r="C108" s="17">
        <v>0.83708334249218064</v>
      </c>
      <c r="D108" s="15">
        <v>47.27</v>
      </c>
      <c r="E108" s="20">
        <v>2453</v>
      </c>
      <c r="F108" s="42">
        <f t="shared" si="1"/>
        <v>1757395.4668256231</v>
      </c>
    </row>
    <row r="109" spans="1:6" ht="15.75" x14ac:dyDescent="0.3">
      <c r="A109" s="3">
        <v>4127</v>
      </c>
      <c r="B109" s="3">
        <v>158</v>
      </c>
      <c r="C109" s="17">
        <v>0.82586756361566482</v>
      </c>
      <c r="D109" s="15">
        <v>47.86</v>
      </c>
      <c r="E109" s="18">
        <v>2179.0347581216583</v>
      </c>
      <c r="F109" s="42">
        <f t="shared" si="1"/>
        <v>1713878.3427460678</v>
      </c>
    </row>
    <row r="110" spans="1:6" ht="15.75" x14ac:dyDescent="0.3">
      <c r="A110" s="3">
        <v>4503</v>
      </c>
      <c r="B110" s="3">
        <v>143</v>
      </c>
      <c r="C110" s="17">
        <v>0.80344012511170682</v>
      </c>
      <c r="D110" s="15">
        <v>47.09</v>
      </c>
      <c r="E110" s="20">
        <v>2238</v>
      </c>
      <c r="F110" s="42">
        <f t="shared" si="1"/>
        <v>1660415.0461803097</v>
      </c>
    </row>
    <row r="111" spans="1:6" ht="15.75" x14ac:dyDescent="0.3">
      <c r="A111" s="3">
        <v>4335</v>
      </c>
      <c r="B111" s="3">
        <v>135</v>
      </c>
      <c r="C111" s="17">
        <v>0.84994320263829215</v>
      </c>
      <c r="D111" s="15">
        <v>44.46</v>
      </c>
      <c r="E111" s="20">
        <v>1973</v>
      </c>
      <c r="F111" s="42">
        <f t="shared" si="1"/>
        <v>1794775.8729324008</v>
      </c>
    </row>
    <row r="112" spans="1:6" ht="15.75" x14ac:dyDescent="0.3">
      <c r="A112" s="22">
        <v>2900</v>
      </c>
      <c r="B112" s="3">
        <v>159</v>
      </c>
      <c r="C112" s="24">
        <v>0.89081440935686729</v>
      </c>
      <c r="D112" s="26">
        <v>43.6</v>
      </c>
      <c r="E112" s="22">
        <v>1315</v>
      </c>
      <c r="F112" s="42">
        <f t="shared" si="1"/>
        <v>1933369.8576900091</v>
      </c>
    </row>
    <row r="113" spans="1:6" ht="15.75" x14ac:dyDescent="0.3">
      <c r="A113" s="22">
        <v>3584.9960000000001</v>
      </c>
      <c r="B113" s="3">
        <v>163</v>
      </c>
      <c r="C113" s="24">
        <v>0.78564357945546592</v>
      </c>
      <c r="D113" s="27">
        <v>47.771298521831739</v>
      </c>
      <c r="E113" s="22">
        <v>1883.8370124237647</v>
      </c>
      <c r="F113" s="42">
        <f t="shared" si="1"/>
        <v>1638390.0365119653</v>
      </c>
    </row>
    <row r="114" spans="1:6" ht="15.75" x14ac:dyDescent="0.3">
      <c r="A114" s="22">
        <v>3313</v>
      </c>
      <c r="B114" s="3">
        <v>157</v>
      </c>
      <c r="C114" s="24">
        <v>0.85875487465181055</v>
      </c>
      <c r="D114" s="26">
        <v>40.200000000000003</v>
      </c>
      <c r="E114" s="22">
        <v>1077</v>
      </c>
      <c r="F114" s="42">
        <f t="shared" si="1"/>
        <v>1927812.3320109737</v>
      </c>
    </row>
    <row r="115" spans="1:6" ht="15.75" x14ac:dyDescent="0.3">
      <c r="A115" s="22">
        <v>2551</v>
      </c>
      <c r="B115" s="3">
        <v>151</v>
      </c>
      <c r="C115" s="24">
        <v>0.89849999999999997</v>
      </c>
      <c r="D115" s="26">
        <v>40.700000000000003</v>
      </c>
      <c r="E115" s="22">
        <v>828</v>
      </c>
      <c r="F115" s="42">
        <f t="shared" si="1"/>
        <v>1998312.6884411329</v>
      </c>
    </row>
    <row r="116" spans="1:6" ht="15.75" x14ac:dyDescent="0.3">
      <c r="A116" s="22">
        <v>2528</v>
      </c>
      <c r="B116" s="3">
        <v>153</v>
      </c>
      <c r="C116" s="25">
        <v>0.87901334951456311</v>
      </c>
      <c r="D116" s="26">
        <v>39.299999999999997</v>
      </c>
      <c r="E116" s="22">
        <v>824</v>
      </c>
      <c r="F116" s="42">
        <f t="shared" si="1"/>
        <v>1986491.336910195</v>
      </c>
    </row>
    <row r="117" spans="1:6" ht="15.75" x14ac:dyDescent="0.3">
      <c r="A117" s="22">
        <v>2562</v>
      </c>
      <c r="B117" s="3">
        <v>153</v>
      </c>
      <c r="C117" s="25">
        <v>0.86815831435079716</v>
      </c>
      <c r="D117" s="26">
        <v>42.6</v>
      </c>
      <c r="E117" s="22">
        <v>878</v>
      </c>
      <c r="F117" s="42">
        <f t="shared" si="1"/>
        <v>1895575.6138445777</v>
      </c>
    </row>
    <row r="118" spans="1:6" ht="15.75" x14ac:dyDescent="0.3">
      <c r="A118" s="22">
        <v>1714.9959999999999</v>
      </c>
      <c r="B118" s="3">
        <v>170</v>
      </c>
      <c r="C118" s="25">
        <v>0.98686008676789583</v>
      </c>
      <c r="D118" s="27">
        <v>38.33</v>
      </c>
      <c r="E118" s="23">
        <v>461</v>
      </c>
      <c r="F118" s="42">
        <f t="shared" si="1"/>
        <v>2277343.692022596</v>
      </c>
    </row>
    <row r="119" spans="1:6" ht="15.75" x14ac:dyDescent="0.3">
      <c r="A119" s="22">
        <v>1614.9959999999999</v>
      </c>
      <c r="B119" s="3">
        <v>165</v>
      </c>
      <c r="C119" s="25">
        <v>0.9594061224489796</v>
      </c>
      <c r="D119" s="27">
        <v>37.9</v>
      </c>
      <c r="E119" s="23">
        <v>441</v>
      </c>
      <c r="F119" s="42">
        <f t="shared" si="1"/>
        <v>2216836.4034203286</v>
      </c>
    </row>
    <row r="120" spans="1:6" ht="15.75" x14ac:dyDescent="0.3">
      <c r="A120" s="22">
        <v>3575</v>
      </c>
      <c r="B120" s="3">
        <v>151</v>
      </c>
      <c r="C120" s="25">
        <v>0.83362575680739615</v>
      </c>
      <c r="D120" s="26">
        <v>44.7</v>
      </c>
      <c r="E120" s="22">
        <v>1428</v>
      </c>
      <c r="F120" s="42">
        <f t="shared" si="1"/>
        <v>1778022.5269858006</v>
      </c>
    </row>
    <row r="121" spans="1:6" ht="15.75" x14ac:dyDescent="0.3">
      <c r="A121" s="22">
        <v>3131</v>
      </c>
      <c r="B121" s="3">
        <v>161</v>
      </c>
      <c r="C121" s="25">
        <v>0.85542971530249112</v>
      </c>
      <c r="D121" s="26">
        <v>43.6</v>
      </c>
      <c r="E121" s="22">
        <v>1124</v>
      </c>
      <c r="F121" s="42">
        <f t="shared" si="1"/>
        <v>1859269.4757587961</v>
      </c>
    </row>
    <row r="122" spans="1:6" ht="15.75" x14ac:dyDescent="0.3">
      <c r="A122" s="22">
        <v>2992</v>
      </c>
      <c r="B122" s="3">
        <v>160</v>
      </c>
      <c r="C122" s="25">
        <v>0.87219552541973877</v>
      </c>
      <c r="D122" s="26">
        <v>44.4</v>
      </c>
      <c r="E122" s="22">
        <v>1178</v>
      </c>
      <c r="F122" s="42">
        <f t="shared" si="1"/>
        <v>1878772.3062362717</v>
      </c>
    </row>
    <row r="123" spans="1:6" ht="15.75" x14ac:dyDescent="0.3">
      <c r="A123" s="22">
        <v>1614.9959999999999</v>
      </c>
      <c r="B123" s="3">
        <v>175</v>
      </c>
      <c r="C123" s="25">
        <v>0.97651249999999989</v>
      </c>
      <c r="D123" s="27">
        <v>37.82</v>
      </c>
      <c r="E123" s="23">
        <v>440</v>
      </c>
      <c r="F123" s="42">
        <f t="shared" si="1"/>
        <v>2272019.115946257</v>
      </c>
    </row>
    <row r="124" spans="1:6" ht="15.75" x14ac:dyDescent="0.3">
      <c r="A124" s="38">
        <v>3629</v>
      </c>
      <c r="B124" s="3">
        <v>156</v>
      </c>
      <c r="C124" s="25">
        <v>0.82269146712161434</v>
      </c>
      <c r="D124" s="26">
        <v>44</v>
      </c>
      <c r="E124" s="22">
        <v>1477</v>
      </c>
      <c r="F124" s="42">
        <f t="shared" si="1"/>
        <v>1774224.4233912106</v>
      </c>
    </row>
    <row r="125" spans="1:6" ht="15.75" x14ac:dyDescent="0.3">
      <c r="A125" s="22">
        <v>2788</v>
      </c>
      <c r="B125" s="3">
        <v>159</v>
      </c>
      <c r="C125" s="25">
        <v>0.84155519828510184</v>
      </c>
      <c r="D125" s="26">
        <v>41.1</v>
      </c>
      <c r="E125" s="22">
        <v>933</v>
      </c>
      <c r="F125" s="42">
        <f t="shared" si="1"/>
        <v>1874241.2299924581</v>
      </c>
    </row>
    <row r="126" spans="1:6" ht="15.75" x14ac:dyDescent="0.3">
      <c r="A126" s="22">
        <v>3482</v>
      </c>
      <c r="B126" s="3">
        <v>165</v>
      </c>
      <c r="C126" s="25">
        <v>0.84429487179487173</v>
      </c>
      <c r="D126" s="26">
        <v>44.3</v>
      </c>
      <c r="E126" s="22">
        <v>1482</v>
      </c>
      <c r="F126" s="42">
        <f t="shared" si="1"/>
        <v>1827218.7127994928</v>
      </c>
    </row>
    <row r="127" spans="1:6" ht="15.75" x14ac:dyDescent="0.3">
      <c r="A127" s="22">
        <v>2976</v>
      </c>
      <c r="B127" s="3">
        <v>157</v>
      </c>
      <c r="C127" s="25">
        <v>0.84965544554455452</v>
      </c>
      <c r="D127" s="26">
        <v>42.2</v>
      </c>
      <c r="E127" s="22">
        <v>1010</v>
      </c>
      <c r="F127" s="42">
        <f t="shared" si="1"/>
        <v>1868259.024396851</v>
      </c>
    </row>
    <row r="128" spans="1:6" ht="15.75" x14ac:dyDescent="0.3">
      <c r="A128" s="22">
        <v>2814.6959999999999</v>
      </c>
      <c r="B128" s="3">
        <v>159</v>
      </c>
      <c r="C128" s="25">
        <f>(811*0.799+61*1.333)/(872)</f>
        <v>0.83635550458715602</v>
      </c>
      <c r="D128" s="27">
        <v>42.44</v>
      </c>
      <c r="E128" s="23">
        <v>872</v>
      </c>
      <c r="F128" s="42">
        <f t="shared" si="1"/>
        <v>1837056.2890778806</v>
      </c>
    </row>
    <row r="129" spans="1:6" ht="15.75" x14ac:dyDescent="0.3">
      <c r="A129" s="22">
        <v>2364.6959999999999</v>
      </c>
      <c r="B129" s="3">
        <v>156</v>
      </c>
      <c r="C129" s="25">
        <v>0.83803829145728648</v>
      </c>
      <c r="D129" s="27">
        <v>41.48</v>
      </c>
      <c r="E129" s="23">
        <v>779</v>
      </c>
      <c r="F129" s="42">
        <f t="shared" si="1"/>
        <v>1855219.2074877957</v>
      </c>
    </row>
    <row r="130" spans="1:6" ht="15.75" x14ac:dyDescent="0.3">
      <c r="A130" s="22">
        <v>2988</v>
      </c>
      <c r="B130" s="3">
        <v>165</v>
      </c>
      <c r="C130" s="25">
        <v>0.87540818768020245</v>
      </c>
      <c r="D130" s="26">
        <v>44</v>
      </c>
      <c r="E130" s="22">
        <v>1147</v>
      </c>
      <c r="F130" s="42">
        <f t="shared" si="1"/>
        <v>1900377.2225270695</v>
      </c>
    </row>
    <row r="131" spans="1:6" ht="15.75" x14ac:dyDescent="0.3">
      <c r="A131" s="22">
        <v>2327</v>
      </c>
      <c r="B131" s="3">
        <v>158</v>
      </c>
      <c r="C131" s="25">
        <v>0.8943024523160763</v>
      </c>
      <c r="D131" s="26">
        <v>41.7</v>
      </c>
      <c r="E131" s="22">
        <v>734</v>
      </c>
      <c r="F131" s="42">
        <f t="shared" si="1"/>
        <v>1978029.2784857133</v>
      </c>
    </row>
    <row r="132" spans="1:6" ht="15.75" x14ac:dyDescent="0.3">
      <c r="A132" s="22">
        <v>3841.6959999999999</v>
      </c>
      <c r="B132" s="3">
        <v>161</v>
      </c>
      <c r="C132" s="25">
        <v>0.83407938415369509</v>
      </c>
      <c r="D132" s="26">
        <v>45.2</v>
      </c>
      <c r="E132" s="22">
        <v>1908</v>
      </c>
      <c r="F132" s="42">
        <f t="shared" si="1"/>
        <v>1783244.4940172685</v>
      </c>
    </row>
    <row r="133" spans="1:6" ht="15.75" x14ac:dyDescent="0.3">
      <c r="A133" s="23">
        <v>3452</v>
      </c>
      <c r="B133" s="3">
        <v>175</v>
      </c>
      <c r="C133" s="25">
        <v>0.84904356846473017</v>
      </c>
      <c r="D133" s="26">
        <v>45.4</v>
      </c>
      <c r="E133" s="22">
        <v>1446</v>
      </c>
      <c r="F133" s="42">
        <f t="shared" si="1"/>
        <v>1830278.9410789812</v>
      </c>
    </row>
    <row r="134" spans="1:6" ht="15.75" x14ac:dyDescent="0.3">
      <c r="A134" s="22">
        <v>2774.6959999999999</v>
      </c>
      <c r="B134" s="3">
        <v>183</v>
      </c>
      <c r="C134" s="24">
        <v>0.88906403013182678</v>
      </c>
      <c r="D134" s="27">
        <v>43.58</v>
      </c>
      <c r="E134" s="22">
        <v>1062</v>
      </c>
      <c r="F134" s="42">
        <f t="shared" si="1"/>
        <v>1962688.4275486609</v>
      </c>
    </row>
    <row r="135" spans="1:6" ht="15.75" x14ac:dyDescent="0.3">
      <c r="A135" s="22">
        <v>2737</v>
      </c>
      <c r="B135" s="3">
        <v>180</v>
      </c>
      <c r="C135" s="25">
        <f>(923*0.844+105*1.292)/1028</f>
        <v>0.88975875486381317</v>
      </c>
      <c r="D135" s="27">
        <v>44.1</v>
      </c>
      <c r="E135" s="22">
        <v>1028</v>
      </c>
      <c r="F135" s="42">
        <f t="shared" si="1"/>
        <v>1950076.9861963785</v>
      </c>
    </row>
    <row r="136" spans="1:6" ht="15.75" x14ac:dyDescent="0.3">
      <c r="A136" s="22">
        <v>2665</v>
      </c>
      <c r="B136" s="3">
        <v>190</v>
      </c>
      <c r="C136" s="24">
        <v>0.89860640942942094</v>
      </c>
      <c r="D136" s="27">
        <v>42.1</v>
      </c>
      <c r="E136" s="22">
        <v>875.9778633928637</v>
      </c>
      <c r="F136" s="42">
        <f t="shared" si="1"/>
        <v>2022265.7262229561</v>
      </c>
    </row>
    <row r="137" spans="1:6" ht="15.75" x14ac:dyDescent="0.3">
      <c r="A137" s="22">
        <v>2665</v>
      </c>
      <c r="B137" s="3">
        <v>180</v>
      </c>
      <c r="C137" s="24">
        <v>0.91390951743438698</v>
      </c>
      <c r="D137" s="27">
        <v>40.200000000000003</v>
      </c>
      <c r="E137" s="22">
        <v>878.71586985293175</v>
      </c>
      <c r="F137" s="42">
        <f t="shared" si="1"/>
        <v>2082591.0340909513</v>
      </c>
    </row>
    <row r="138" spans="1:6" ht="15.75" x14ac:dyDescent="0.3">
      <c r="A138" s="22">
        <v>2765</v>
      </c>
      <c r="B138" s="3">
        <v>175</v>
      </c>
      <c r="C138" s="24">
        <v>0.91801860641097199</v>
      </c>
      <c r="D138" s="27">
        <v>39.619999999999997</v>
      </c>
      <c r="E138" s="22">
        <v>893.50580230451294</v>
      </c>
      <c r="F138" s="42">
        <f t="shared" ref="F138:F162" si="2">C138*$D$2*A138^($D$4)*10^(-(D138*$D$3)/(B138+459.67))</f>
        <v>2097560.6398949921</v>
      </c>
    </row>
    <row r="139" spans="1:6" ht="15.75" x14ac:dyDescent="0.3">
      <c r="A139" s="22">
        <v>2665</v>
      </c>
      <c r="B139" s="3">
        <v>125</v>
      </c>
      <c r="C139" s="24">
        <v>1.0250941951674821</v>
      </c>
      <c r="D139" s="27">
        <v>37.68</v>
      </c>
      <c r="E139" s="22">
        <v>819.2574068129552</v>
      </c>
      <c r="F139" s="42">
        <f t="shared" si="2"/>
        <v>2312166.9667790853</v>
      </c>
    </row>
    <row r="140" spans="1:6" ht="15.75" x14ac:dyDescent="0.3">
      <c r="A140" s="22">
        <v>2865</v>
      </c>
      <c r="B140" s="3">
        <v>152</v>
      </c>
      <c r="C140" s="24">
        <v>0.88702597887453039</v>
      </c>
      <c r="D140" s="27">
        <v>41.82</v>
      </c>
      <c r="E140" s="22">
        <v>1014.8050338327058</v>
      </c>
      <c r="F140" s="42">
        <f t="shared" si="2"/>
        <v>1951202.127418794</v>
      </c>
    </row>
    <row r="141" spans="1:6" ht="15.75" x14ac:dyDescent="0.3">
      <c r="A141" s="22">
        <v>3265</v>
      </c>
      <c r="B141" s="3">
        <v>155</v>
      </c>
      <c r="C141" s="24">
        <v>0.91363998027137561</v>
      </c>
      <c r="D141" s="27">
        <v>41.4</v>
      </c>
      <c r="E141" s="22">
        <v>1316.8520531613119</v>
      </c>
      <c r="F141" s="42">
        <f t="shared" si="2"/>
        <v>2022849.7026492441</v>
      </c>
    </row>
    <row r="142" spans="1:6" ht="15.75" x14ac:dyDescent="0.3">
      <c r="A142" s="22">
        <v>3165</v>
      </c>
      <c r="B142" s="3">
        <v>159</v>
      </c>
      <c r="C142" s="24">
        <v>0.86290875140960577</v>
      </c>
      <c r="D142" s="27">
        <v>44.21</v>
      </c>
      <c r="E142" s="22">
        <v>1309.5712971320097</v>
      </c>
      <c r="F142" s="42">
        <f t="shared" si="2"/>
        <v>1861041.7490554571</v>
      </c>
    </row>
    <row r="143" spans="1:6" ht="15.75" x14ac:dyDescent="0.3">
      <c r="A143" s="22">
        <v>3215</v>
      </c>
      <c r="B143" s="3">
        <v>155</v>
      </c>
      <c r="C143" s="24">
        <v>0.90748600249209299</v>
      </c>
      <c r="D143" s="27">
        <v>40.6</v>
      </c>
      <c r="E143" s="22">
        <v>1255.9824334889472</v>
      </c>
      <c r="F143" s="42">
        <f t="shared" si="2"/>
        <v>2026005.7014605356</v>
      </c>
    </row>
    <row r="144" spans="1:6" ht="15.75" x14ac:dyDescent="0.3">
      <c r="A144" s="22">
        <v>3259</v>
      </c>
      <c r="B144" s="3">
        <v>188</v>
      </c>
      <c r="C144" s="25">
        <v>0.9249433431781553</v>
      </c>
      <c r="D144" s="26">
        <v>45.1</v>
      </c>
      <c r="E144" s="22">
        <v>1662.9066039752083</v>
      </c>
      <c r="F144" s="42">
        <f t="shared" si="2"/>
        <v>2018240.5421881431</v>
      </c>
    </row>
    <row r="145" spans="1:6" ht="15.75" x14ac:dyDescent="0.3">
      <c r="A145" s="22">
        <v>2290</v>
      </c>
      <c r="B145" s="3">
        <v>147</v>
      </c>
      <c r="C145" s="25">
        <v>0.92190427125757779</v>
      </c>
      <c r="D145" s="26">
        <v>41.9</v>
      </c>
      <c r="E145" s="22">
        <v>926.67416705051619</v>
      </c>
      <c r="F145" s="42">
        <f t="shared" si="2"/>
        <v>2018932.3316888155</v>
      </c>
    </row>
    <row r="146" spans="1:6" ht="15.75" x14ac:dyDescent="0.3">
      <c r="A146" s="22">
        <v>3478</v>
      </c>
      <c r="B146" s="3">
        <v>189</v>
      </c>
      <c r="C146" s="25">
        <v>0.90878470942589007</v>
      </c>
      <c r="D146" s="26">
        <v>45.1</v>
      </c>
      <c r="E146" s="22">
        <v>1669.824655779699</v>
      </c>
      <c r="F146" s="42">
        <f t="shared" si="2"/>
        <v>1984343.1278319194</v>
      </c>
    </row>
    <row r="147" spans="1:6" ht="15.75" x14ac:dyDescent="0.3">
      <c r="A147" s="22">
        <v>2656.22</v>
      </c>
      <c r="B147" s="3">
        <v>161</v>
      </c>
      <c r="C147" s="24">
        <v>0.92547543459989179</v>
      </c>
      <c r="D147" s="26">
        <v>42.825489712948126</v>
      </c>
      <c r="E147" s="22">
        <v>1078.8275574104816</v>
      </c>
      <c r="F147" s="42">
        <f t="shared" si="2"/>
        <v>2027618.0389446088</v>
      </c>
    </row>
    <row r="148" spans="1:6" ht="15.75" x14ac:dyDescent="0.3">
      <c r="A148" s="22">
        <v>2265</v>
      </c>
      <c r="B148" s="3">
        <v>165</v>
      </c>
      <c r="C148" s="25">
        <v>0.92645137195121963</v>
      </c>
      <c r="D148" s="27">
        <v>37.130000000000003</v>
      </c>
      <c r="E148" s="22">
        <v>656</v>
      </c>
      <c r="F148" s="42">
        <f t="shared" si="2"/>
        <v>2157620.3707101364</v>
      </c>
    </row>
    <row r="149" spans="1:6" ht="15.75" x14ac:dyDescent="0.3">
      <c r="A149" s="3">
        <v>3280</v>
      </c>
      <c r="B149" s="3">
        <v>280</v>
      </c>
      <c r="C149" s="16">
        <v>0.87214580467675373</v>
      </c>
      <c r="D149" s="15">
        <v>43.3</v>
      </c>
      <c r="E149" s="28">
        <v>1454</v>
      </c>
      <c r="F149" s="42">
        <f t="shared" si="2"/>
        <v>2042861.2449562286</v>
      </c>
    </row>
    <row r="150" spans="1:6" ht="15.75" x14ac:dyDescent="0.3">
      <c r="A150" s="3">
        <v>3722</v>
      </c>
      <c r="B150" s="3">
        <v>270</v>
      </c>
      <c r="C150" s="16">
        <v>0.9681445936820593</v>
      </c>
      <c r="D150" s="15">
        <v>44.4</v>
      </c>
      <c r="E150" s="28">
        <v>2205.9741313164527</v>
      </c>
      <c r="F150" s="42">
        <f t="shared" si="2"/>
        <v>2234495.1546614319</v>
      </c>
    </row>
    <row r="151" spans="1:6" ht="15.75" x14ac:dyDescent="0.3">
      <c r="A151" s="3">
        <v>3697</v>
      </c>
      <c r="B151" s="3">
        <v>270</v>
      </c>
      <c r="C151" s="16">
        <v>0.98172449597075817</v>
      </c>
      <c r="D151" s="15">
        <v>44.2</v>
      </c>
      <c r="E151" s="28">
        <v>2185.1652241112824</v>
      </c>
      <c r="F151" s="42">
        <f t="shared" si="2"/>
        <v>2269810.2079140539</v>
      </c>
    </row>
    <row r="152" spans="1:6" ht="15.75" x14ac:dyDescent="0.3">
      <c r="A152" s="3">
        <v>3066</v>
      </c>
      <c r="B152" s="3">
        <v>270</v>
      </c>
      <c r="C152" s="16">
        <v>0.97099999999999997</v>
      </c>
      <c r="D152" s="15">
        <v>41.8</v>
      </c>
      <c r="E152" s="28">
        <v>1317.9111629386198</v>
      </c>
      <c r="F152" s="42">
        <f t="shared" si="2"/>
        <v>2292702.9787907521</v>
      </c>
    </row>
    <row r="153" spans="1:6" ht="15.75" x14ac:dyDescent="0.3">
      <c r="A153" s="3">
        <v>2944</v>
      </c>
      <c r="B153" s="3">
        <v>270</v>
      </c>
      <c r="C153" s="16">
        <v>0.99283819657972716</v>
      </c>
      <c r="D153" s="15">
        <v>42.5</v>
      </c>
      <c r="E153" s="28">
        <v>1300.3197900526727</v>
      </c>
      <c r="F153" s="42">
        <f t="shared" si="2"/>
        <v>2329938.6121663642</v>
      </c>
    </row>
    <row r="154" spans="1:6" ht="15.75" x14ac:dyDescent="0.3">
      <c r="A154" s="3">
        <v>2923</v>
      </c>
      <c r="B154" s="3">
        <v>270</v>
      </c>
      <c r="C154" s="16">
        <v>0.95694427106172286</v>
      </c>
      <c r="D154" s="15">
        <v>42.6</v>
      </c>
      <c r="E154" s="28">
        <v>1220.3824306769673</v>
      </c>
      <c r="F154" s="42">
        <f t="shared" si="2"/>
        <v>2243738.7146933037</v>
      </c>
    </row>
    <row r="155" spans="1:6" ht="15.75" x14ac:dyDescent="0.3">
      <c r="A155" s="3">
        <v>3789</v>
      </c>
      <c r="B155" s="3">
        <v>270</v>
      </c>
      <c r="C155" s="16">
        <v>0.91100000000000003</v>
      </c>
      <c r="D155" s="15">
        <v>46.088188442211049</v>
      </c>
      <c r="E155" s="28">
        <v>2716.0284119008852</v>
      </c>
      <c r="F155" s="42">
        <f t="shared" si="2"/>
        <v>2071745.1027075136</v>
      </c>
    </row>
    <row r="156" spans="1:6" ht="15.75" x14ac:dyDescent="0.3">
      <c r="A156" s="3">
        <v>2356</v>
      </c>
      <c r="B156" s="3">
        <v>234</v>
      </c>
      <c r="C156" s="16">
        <v>1.05</v>
      </c>
      <c r="D156" s="15">
        <v>42.5</v>
      </c>
      <c r="E156" s="28">
        <v>997</v>
      </c>
      <c r="F156" s="42">
        <f t="shared" si="2"/>
        <v>2416938.9149056911</v>
      </c>
    </row>
    <row r="157" spans="1:6" ht="15.75" x14ac:dyDescent="0.3">
      <c r="A157" s="3">
        <v>2212</v>
      </c>
      <c r="B157" s="3">
        <v>234</v>
      </c>
      <c r="C157" s="16">
        <v>1.042</v>
      </c>
      <c r="D157" s="15">
        <v>41.8</v>
      </c>
      <c r="E157" s="28">
        <v>847.10507033279407</v>
      </c>
      <c r="F157" s="42">
        <f t="shared" si="2"/>
        <v>2414041.8421417084</v>
      </c>
    </row>
    <row r="158" spans="1:6" ht="15.75" x14ac:dyDescent="0.3">
      <c r="A158" s="3">
        <v>3310</v>
      </c>
      <c r="B158" s="3">
        <v>240</v>
      </c>
      <c r="C158" s="16">
        <v>0.84899999999999998</v>
      </c>
      <c r="D158" s="15">
        <v>44.7</v>
      </c>
      <c r="E158" s="28">
        <v>1471.8214907124384</v>
      </c>
      <c r="F158" s="42">
        <f t="shared" si="2"/>
        <v>1921832.8908375159</v>
      </c>
    </row>
    <row r="159" spans="1:6" ht="15.75" x14ac:dyDescent="0.3">
      <c r="A159" s="3">
        <v>3067</v>
      </c>
      <c r="B159" s="3">
        <v>242</v>
      </c>
      <c r="C159" s="16">
        <v>0.91600000000000004</v>
      </c>
      <c r="D159" s="15">
        <v>40.9</v>
      </c>
      <c r="E159" s="28">
        <v>1195.9951434878585</v>
      </c>
      <c r="F159" s="42">
        <f t="shared" si="2"/>
        <v>2149014.6319929934</v>
      </c>
    </row>
    <row r="160" spans="1:6" ht="15.75" x14ac:dyDescent="0.3">
      <c r="A160" s="3">
        <v>3149</v>
      </c>
      <c r="B160" s="3">
        <v>241</v>
      </c>
      <c r="C160" s="16">
        <v>0.88902905853998426</v>
      </c>
      <c r="D160" s="15">
        <v>42.8</v>
      </c>
      <c r="E160" s="28">
        <v>1302.9698972755696</v>
      </c>
      <c r="F160" s="42">
        <f t="shared" si="2"/>
        <v>2048815.9810040484</v>
      </c>
    </row>
    <row r="161" spans="1:6" ht="15.75" x14ac:dyDescent="0.3">
      <c r="A161" s="3">
        <v>3005</v>
      </c>
      <c r="B161" s="3">
        <v>242</v>
      </c>
      <c r="C161" s="16">
        <v>0.90783856762258497</v>
      </c>
      <c r="D161" s="15">
        <v>44.9</v>
      </c>
      <c r="E161" s="28">
        <v>1290.7743124026983</v>
      </c>
      <c r="F161" s="42">
        <f t="shared" si="2"/>
        <v>2053670.8383905531</v>
      </c>
    </row>
    <row r="162" spans="1:6" ht="15.75" x14ac:dyDescent="0.3">
      <c r="A162" s="3">
        <v>3609</v>
      </c>
      <c r="B162" s="3">
        <v>240</v>
      </c>
      <c r="C162" s="16">
        <v>0.99679574727810316</v>
      </c>
      <c r="D162" s="15">
        <v>41.4</v>
      </c>
      <c r="E162" s="28">
        <v>1830</v>
      </c>
      <c r="F162" s="42">
        <f t="shared" si="2"/>
        <v>2325435.7521301988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K, Raghavendra Prabhu /CS</dc:creator>
  <cp:lastModifiedBy>DallAqua, Marcelo J</cp:lastModifiedBy>
  <dcterms:created xsi:type="dcterms:W3CDTF">2023-02-07T11:21:47Z</dcterms:created>
  <dcterms:modified xsi:type="dcterms:W3CDTF">2023-05-24T14:01:20Z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505729090</vt:i4>
  </property>
  <property fmtid="{D5CDD505-2E9C-101B-9397-08002B2CF9AE}" pid="3" name="_NewReviewCycle">
    <vt:lpwstr/>
  </property>
  <property fmtid="{D5CDD505-2E9C-101B-9397-08002B2CF9AE}" pid="4" name="_EmailSubject">
    <vt:lpwstr>HGOR Fluids</vt:lpwstr>
  </property>
  <property fmtid="{D5CDD505-2E9C-101B-9397-08002B2CF9AE}" pid="5" name="_AuthorEmail">
    <vt:lpwstr>deepen.gala@exxonmobil.com</vt:lpwstr>
  </property>
  <property fmtid="{D5CDD505-2E9C-101B-9397-08002B2CF9AE}" pid="6" name="_AuthorEmailDisplayName">
    <vt:lpwstr>Gala, Deepen P</vt:lpwstr>
  </property>
  <property fmtid="{D5CDD505-2E9C-101B-9397-08002B2CF9AE}" pid="7" name="_PreviousAdHocReviewCycleID">
    <vt:i4>414231135</vt:i4>
  </property>
  <property fmtid="{D5CDD505-2E9C-101B-9397-08002B2CF9AE}" pid="8" name="_ReviewingToolsShownOnce">
    <vt:lpwstr/>
  </property>
</Properties>
</file>