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X:\UTCS\Region\URC\Org_Data\UNC_Rstr-UGC\Working\GC1\Staff\Michael\URTEC_2023_PVT_Paper_Cronin_etal\"/>
    </mc:Choice>
  </mc:AlternateContent>
  <xr:revisionPtr revIDLastSave="0" documentId="13_ncr:1_{CB3D7FE7-162F-4D9B-BBD7-48D3B3299815}" xr6:coauthVersionLast="47" xr6:coauthVersionMax="47" xr10:uidLastSave="{00000000-0000-0000-0000-000000000000}"/>
  <bookViews>
    <workbookView xWindow="-120" yWindow="-120" windowWidth="38640" windowHeight="23640" activeTab="3" xr2:uid="{00000000-000D-0000-FFFF-FFFF00000000}"/>
  </bookViews>
  <sheets>
    <sheet name="DEL-BAK" sheetId="3" r:id="rId1"/>
    <sheet name="DEL" sheetId="2" r:id="rId2"/>
    <sheet name="Data" sheetId="1" r:id="rId3"/>
    <sheet name="Bob_Check" sheetId="7" r:id="rId4"/>
    <sheet name="Muob_Check" sheetId="8" r:id="rId5"/>
    <sheet name="Psat_Check" sheetId="10" r:id="rId6"/>
    <sheet name="Cob_Check" sheetId="5" r:id="rId7"/>
    <sheet name="Plots" sheetId="4" r:id="rId8"/>
  </sheets>
  <definedNames>
    <definedName name="_xlnm._FilterDatabase" localSheetId="3" hidden="1">Bob_Check!$A$19:$P$173</definedName>
    <definedName name="_xlnm._FilterDatabase" localSheetId="6" hidden="1">Cob_Check!$A$19:$P$173</definedName>
    <definedName name="_xlnm._FilterDatabase" localSheetId="2" hidden="1">Data!$W$1:$Z$156</definedName>
    <definedName name="_xlnm._FilterDatabase" localSheetId="4" hidden="1">Muob_Check!$A$19:$P$173</definedName>
    <definedName name="_xlnm._FilterDatabase" localSheetId="5" hidden="1">Psat_Check!$A$19:$P$173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0" l="1"/>
  <c r="O22" i="10"/>
  <c r="O23" i="10"/>
  <c r="O24" i="10"/>
  <c r="O25" i="10"/>
  <c r="O26" i="10"/>
  <c r="O27" i="10"/>
  <c r="O28" i="10"/>
  <c r="P28" i="10" s="1"/>
  <c r="O29" i="10"/>
  <c r="O30" i="10"/>
  <c r="P30" i="10" s="1"/>
  <c r="O31" i="10"/>
  <c r="O32" i="10"/>
  <c r="O33" i="10"/>
  <c r="O34" i="10"/>
  <c r="O35" i="10"/>
  <c r="O36" i="10"/>
  <c r="P36" i="10" s="1"/>
  <c r="O37" i="10"/>
  <c r="O38" i="10"/>
  <c r="O39" i="10"/>
  <c r="P39" i="10" s="1"/>
  <c r="O40" i="10"/>
  <c r="O41" i="10"/>
  <c r="P41" i="10" s="1"/>
  <c r="O42" i="10"/>
  <c r="O43" i="10"/>
  <c r="O44" i="10"/>
  <c r="O45" i="10"/>
  <c r="O46" i="10"/>
  <c r="P46" i="10" s="1"/>
  <c r="O47" i="10"/>
  <c r="P47" i="10" s="1"/>
  <c r="O48" i="10"/>
  <c r="O49" i="10"/>
  <c r="O50" i="10"/>
  <c r="O51" i="10"/>
  <c r="O52" i="10"/>
  <c r="P52" i="10" s="1"/>
  <c r="O53" i="10"/>
  <c r="P53" i="10" s="1"/>
  <c r="O54" i="10"/>
  <c r="O55" i="10"/>
  <c r="O56" i="10"/>
  <c r="O57" i="10"/>
  <c r="O58" i="10"/>
  <c r="O59" i="10"/>
  <c r="O60" i="10"/>
  <c r="P60" i="10" s="1"/>
  <c r="O61" i="10"/>
  <c r="P61" i="10" s="1"/>
  <c r="O62" i="10"/>
  <c r="P62" i="10" s="1"/>
  <c r="O63" i="10"/>
  <c r="O64" i="10"/>
  <c r="O65" i="10"/>
  <c r="O66" i="10"/>
  <c r="O67" i="10"/>
  <c r="O68" i="10"/>
  <c r="O69" i="10"/>
  <c r="P69" i="10" s="1"/>
  <c r="O70" i="10"/>
  <c r="P70" i="10" s="1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P84" i="10" s="1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P97" i="10" s="1"/>
  <c r="O98" i="10"/>
  <c r="O99" i="10"/>
  <c r="O100" i="10"/>
  <c r="O101" i="10"/>
  <c r="O102" i="10"/>
  <c r="P102" i="10" s="1"/>
  <c r="O103" i="10"/>
  <c r="O104" i="10"/>
  <c r="O105" i="10"/>
  <c r="P105" i="10" s="1"/>
  <c r="O106" i="10"/>
  <c r="O107" i="10"/>
  <c r="O108" i="10"/>
  <c r="O109" i="10"/>
  <c r="P109" i="10" s="1"/>
  <c r="O110" i="10"/>
  <c r="O111" i="10"/>
  <c r="O112" i="10"/>
  <c r="O113" i="10"/>
  <c r="O114" i="10"/>
  <c r="O115" i="10"/>
  <c r="O116" i="10"/>
  <c r="P116" i="10" s="1"/>
  <c r="O117" i="10"/>
  <c r="O118" i="10"/>
  <c r="O119" i="10"/>
  <c r="P119" i="10" s="1"/>
  <c r="O120" i="10"/>
  <c r="O121" i="10"/>
  <c r="P121" i="10" s="1"/>
  <c r="O122" i="10"/>
  <c r="O123" i="10"/>
  <c r="O124" i="10"/>
  <c r="P124" i="10" s="1"/>
  <c r="O125" i="10"/>
  <c r="P125" i="10" s="1"/>
  <c r="O126" i="10"/>
  <c r="O127" i="10"/>
  <c r="O128" i="10"/>
  <c r="O129" i="10"/>
  <c r="O130" i="10"/>
  <c r="O131" i="10"/>
  <c r="O132" i="10"/>
  <c r="P132" i="10" s="1"/>
  <c r="O133" i="10"/>
  <c r="O134" i="10"/>
  <c r="P134" i="10" s="1"/>
  <c r="O135" i="10"/>
  <c r="O136" i="10"/>
  <c r="O137" i="10"/>
  <c r="O138" i="10"/>
  <c r="O139" i="10"/>
  <c r="O140" i="10"/>
  <c r="P140" i="10" s="1"/>
  <c r="O141" i="10"/>
  <c r="O142" i="10"/>
  <c r="O143" i="10"/>
  <c r="P143" i="10" s="1"/>
  <c r="O144" i="10"/>
  <c r="O145" i="10"/>
  <c r="P145" i="10" s="1"/>
  <c r="O146" i="10"/>
  <c r="O147" i="10"/>
  <c r="O148" i="10"/>
  <c r="O149" i="10"/>
  <c r="P149" i="10" s="1"/>
  <c r="O150" i="10"/>
  <c r="O151" i="10"/>
  <c r="O152" i="10"/>
  <c r="O153" i="10"/>
  <c r="P153" i="10" s="1"/>
  <c r="O154" i="10"/>
  <c r="O155" i="10"/>
  <c r="O156" i="10"/>
  <c r="P156" i="10" s="1"/>
  <c r="O157" i="10"/>
  <c r="P157" i="10" s="1"/>
  <c r="O158" i="10"/>
  <c r="O159" i="10"/>
  <c r="O160" i="10"/>
  <c r="O161" i="10"/>
  <c r="O162" i="10"/>
  <c r="O163" i="10"/>
  <c r="O164" i="10"/>
  <c r="P164" i="10" s="1"/>
  <c r="O165" i="10"/>
  <c r="P165" i="10" s="1"/>
  <c r="O166" i="10"/>
  <c r="P166" i="10" s="1"/>
  <c r="O167" i="10"/>
  <c r="O168" i="10"/>
  <c r="O169" i="10"/>
  <c r="O170" i="10"/>
  <c r="O171" i="10"/>
  <c r="O172" i="10"/>
  <c r="P172" i="10" s="1"/>
  <c r="O173" i="10"/>
  <c r="O20" i="10"/>
  <c r="P20" i="10" s="1"/>
  <c r="P108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20" i="10"/>
  <c r="Q20" i="10"/>
  <c r="O21" i="7"/>
  <c r="O22" i="7"/>
  <c r="O23" i="7"/>
  <c r="O24" i="7"/>
  <c r="O25" i="7"/>
  <c r="O26" i="7"/>
  <c r="P26" i="7" s="1"/>
  <c r="O27" i="7"/>
  <c r="O28" i="7"/>
  <c r="O29" i="7"/>
  <c r="O30" i="7"/>
  <c r="O31" i="7"/>
  <c r="O32" i="7"/>
  <c r="O33" i="7"/>
  <c r="O34" i="7"/>
  <c r="P34" i="7" s="1"/>
  <c r="O35" i="7"/>
  <c r="O36" i="7"/>
  <c r="O37" i="7"/>
  <c r="O38" i="7"/>
  <c r="O39" i="7"/>
  <c r="O40" i="7"/>
  <c r="O41" i="7"/>
  <c r="O42" i="7"/>
  <c r="P42" i="7" s="1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P58" i="7" s="1"/>
  <c r="O59" i="7"/>
  <c r="O60" i="7"/>
  <c r="O61" i="7"/>
  <c r="O62" i="7"/>
  <c r="O63" i="7"/>
  <c r="O64" i="7"/>
  <c r="O65" i="7"/>
  <c r="O66" i="7"/>
  <c r="P66" i="7" s="1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P82" i="7" s="1"/>
  <c r="O83" i="7"/>
  <c r="O84" i="7"/>
  <c r="O85" i="7"/>
  <c r="O86" i="7"/>
  <c r="O87" i="7"/>
  <c r="O88" i="7"/>
  <c r="O89" i="7"/>
  <c r="O90" i="7"/>
  <c r="P90" i="7" s="1"/>
  <c r="O91" i="7"/>
  <c r="O92" i="7"/>
  <c r="O93" i="7"/>
  <c r="O94" i="7"/>
  <c r="O95" i="7"/>
  <c r="O96" i="7"/>
  <c r="O97" i="7"/>
  <c r="O98" i="7"/>
  <c r="P98" i="7" s="1"/>
  <c r="O99" i="7"/>
  <c r="O100" i="7"/>
  <c r="O101" i="7"/>
  <c r="O102" i="7"/>
  <c r="O103" i="7"/>
  <c r="O104" i="7"/>
  <c r="O105" i="7"/>
  <c r="O106" i="7"/>
  <c r="P106" i="7" s="1"/>
  <c r="O107" i="7"/>
  <c r="O108" i="7"/>
  <c r="O109" i="7"/>
  <c r="O110" i="7"/>
  <c r="O111" i="7"/>
  <c r="O112" i="7"/>
  <c r="O113" i="7"/>
  <c r="O114" i="7"/>
  <c r="P114" i="7" s="1"/>
  <c r="O115" i="7"/>
  <c r="O116" i="7"/>
  <c r="O117" i="7"/>
  <c r="O118" i="7"/>
  <c r="O119" i="7"/>
  <c r="O120" i="7"/>
  <c r="O121" i="7"/>
  <c r="O122" i="7"/>
  <c r="P122" i="7" s="1"/>
  <c r="O123" i="7"/>
  <c r="O124" i="7"/>
  <c r="O125" i="7"/>
  <c r="O126" i="7"/>
  <c r="O127" i="7"/>
  <c r="O128" i="7"/>
  <c r="O129" i="7"/>
  <c r="O130" i="7"/>
  <c r="P130" i="7" s="1"/>
  <c r="O131" i="7"/>
  <c r="O132" i="7"/>
  <c r="O133" i="7"/>
  <c r="O134" i="7"/>
  <c r="O135" i="7"/>
  <c r="O136" i="7"/>
  <c r="O137" i="7"/>
  <c r="O138" i="7"/>
  <c r="P138" i="7" s="1"/>
  <c r="O139" i="7"/>
  <c r="O140" i="7"/>
  <c r="O141" i="7"/>
  <c r="O142" i="7"/>
  <c r="O143" i="7"/>
  <c r="O144" i="7"/>
  <c r="O20" i="7"/>
  <c r="P20" i="7" s="1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P25" i="10"/>
  <c r="P27" i="10"/>
  <c r="P31" i="10"/>
  <c r="P34" i="10"/>
  <c r="P35" i="10"/>
  <c r="P43" i="10"/>
  <c r="P49" i="10"/>
  <c r="P50" i="10"/>
  <c r="P51" i="10"/>
  <c r="P58" i="10"/>
  <c r="P59" i="10"/>
  <c r="P66" i="10"/>
  <c r="P67" i="10"/>
  <c r="P85" i="10"/>
  <c r="P86" i="10"/>
  <c r="P88" i="10"/>
  <c r="P93" i="10"/>
  <c r="P98" i="10"/>
  <c r="P99" i="10"/>
  <c r="P107" i="10"/>
  <c r="P111" i="10"/>
  <c r="P114" i="10"/>
  <c r="P115" i="10"/>
  <c r="P122" i="10"/>
  <c r="P123" i="10"/>
  <c r="P126" i="10"/>
  <c r="P128" i="10"/>
  <c r="P129" i="10"/>
  <c r="P130" i="10"/>
  <c r="P131" i="10"/>
  <c r="P133" i="10"/>
  <c r="P136" i="10"/>
  <c r="P137" i="10"/>
  <c r="P138" i="10"/>
  <c r="P141" i="10"/>
  <c r="P142" i="10"/>
  <c r="P144" i="10"/>
  <c r="P147" i="10"/>
  <c r="P148" i="10"/>
  <c r="P150" i="10"/>
  <c r="P151" i="10"/>
  <c r="P152" i="10"/>
  <c r="P154" i="10"/>
  <c r="P155" i="10"/>
  <c r="P158" i="10"/>
  <c r="P159" i="10"/>
  <c r="P160" i="10"/>
  <c r="P161" i="10"/>
  <c r="P162" i="10"/>
  <c r="P163" i="10"/>
  <c r="P167" i="10"/>
  <c r="P168" i="10"/>
  <c r="P169" i="10"/>
  <c r="P170" i="10"/>
  <c r="P171" i="10"/>
  <c r="P173" i="10"/>
  <c r="E146" i="10"/>
  <c r="E139" i="10"/>
  <c r="P135" i="10"/>
  <c r="P127" i="10"/>
  <c r="P120" i="10"/>
  <c r="E118" i="10"/>
  <c r="D118" i="10"/>
  <c r="E117" i="10"/>
  <c r="D117" i="10"/>
  <c r="P113" i="10"/>
  <c r="P112" i="10"/>
  <c r="P110" i="10"/>
  <c r="E106" i="10"/>
  <c r="D106" i="10"/>
  <c r="K105" i="10"/>
  <c r="P104" i="10"/>
  <c r="P103" i="10"/>
  <c r="E101" i="10"/>
  <c r="D101" i="10"/>
  <c r="E100" i="10"/>
  <c r="D100" i="10"/>
  <c r="E96" i="10"/>
  <c r="D96" i="10"/>
  <c r="P96" i="10" s="1"/>
  <c r="P95" i="10"/>
  <c r="P94" i="10"/>
  <c r="E92" i="10"/>
  <c r="D92" i="10"/>
  <c r="E91" i="10"/>
  <c r="D91" i="10"/>
  <c r="E90" i="10"/>
  <c r="D90" i="10"/>
  <c r="P89" i="10"/>
  <c r="P87" i="10"/>
  <c r="P83" i="10"/>
  <c r="E82" i="10"/>
  <c r="D82" i="10"/>
  <c r="P82" i="10" s="1"/>
  <c r="E81" i="10"/>
  <c r="D81" i="10"/>
  <c r="E80" i="10"/>
  <c r="D80" i="10"/>
  <c r="P80" i="10" s="1"/>
  <c r="D79" i="10"/>
  <c r="P79" i="10" s="1"/>
  <c r="D78" i="10"/>
  <c r="E77" i="10"/>
  <c r="D77" i="10"/>
  <c r="E76" i="10"/>
  <c r="D76" i="10"/>
  <c r="D75" i="10"/>
  <c r="E74" i="10"/>
  <c r="D74" i="10"/>
  <c r="P74" i="10" s="1"/>
  <c r="P73" i="10"/>
  <c r="P72" i="10"/>
  <c r="E71" i="10"/>
  <c r="D71" i="10"/>
  <c r="E68" i="10"/>
  <c r="D68" i="10"/>
  <c r="P65" i="10"/>
  <c r="E64" i="10"/>
  <c r="D64" i="10"/>
  <c r="P63" i="10"/>
  <c r="P57" i="10"/>
  <c r="P56" i="10"/>
  <c r="P55" i="10"/>
  <c r="P54" i="10"/>
  <c r="P48" i="10"/>
  <c r="P45" i="10"/>
  <c r="K44" i="10"/>
  <c r="E44" i="10"/>
  <c r="D44" i="10"/>
  <c r="E42" i="10"/>
  <c r="D42" i="10"/>
  <c r="P40" i="10"/>
  <c r="P38" i="10"/>
  <c r="P37" i="10"/>
  <c r="P33" i="10"/>
  <c r="P32" i="10"/>
  <c r="P29" i="10"/>
  <c r="E26" i="10"/>
  <c r="D26" i="10"/>
  <c r="P24" i="10"/>
  <c r="E23" i="10"/>
  <c r="D23" i="10"/>
  <c r="P22" i="10"/>
  <c r="E21" i="10"/>
  <c r="D21" i="10"/>
  <c r="O20" i="8"/>
  <c r="P20" i="8" s="1"/>
  <c r="O53" i="8"/>
  <c r="O95" i="8"/>
  <c r="P95" i="8" s="1"/>
  <c r="O80" i="8"/>
  <c r="P80" i="8" s="1"/>
  <c r="O111" i="8"/>
  <c r="P111" i="8" s="1"/>
  <c r="O122" i="8"/>
  <c r="P122" i="8" s="1"/>
  <c r="O147" i="8"/>
  <c r="P147" i="8" s="1"/>
  <c r="O85" i="8"/>
  <c r="P85" i="8" s="1"/>
  <c r="O94" i="8"/>
  <c r="P94" i="8" s="1"/>
  <c r="O96" i="8"/>
  <c r="O55" i="8"/>
  <c r="O63" i="8"/>
  <c r="P63" i="8" s="1"/>
  <c r="O29" i="8"/>
  <c r="P29" i="8" s="1"/>
  <c r="P96" i="8"/>
  <c r="P55" i="8"/>
  <c r="P123" i="8"/>
  <c r="P119" i="8"/>
  <c r="P98" i="8"/>
  <c r="P74" i="8"/>
  <c r="P37" i="8"/>
  <c r="P30" i="8"/>
  <c r="P53" i="8"/>
  <c r="O30" i="8"/>
  <c r="O37" i="8"/>
  <c r="O41" i="8"/>
  <c r="P41" i="8" s="1"/>
  <c r="O51" i="8"/>
  <c r="P51" i="8" s="1"/>
  <c r="O28" i="8"/>
  <c r="P28" i="8" s="1"/>
  <c r="O78" i="8"/>
  <c r="P78" i="8" s="1"/>
  <c r="O72" i="8"/>
  <c r="P72" i="8" s="1"/>
  <c r="O44" i="8"/>
  <c r="P44" i="8" s="1"/>
  <c r="O54" i="8"/>
  <c r="P54" i="8" s="1"/>
  <c r="O32" i="8"/>
  <c r="P32" i="8" s="1"/>
  <c r="O40" i="8"/>
  <c r="P40" i="8" s="1"/>
  <c r="O21" i="8"/>
  <c r="P21" i="8" s="1"/>
  <c r="O27" i="8"/>
  <c r="P27" i="8" s="1"/>
  <c r="O34" i="8"/>
  <c r="P34" i="8" s="1"/>
  <c r="O143" i="8"/>
  <c r="P143" i="8" s="1"/>
  <c r="O104" i="8"/>
  <c r="P104" i="8" s="1"/>
  <c r="O74" i="8"/>
  <c r="O116" i="8"/>
  <c r="P116" i="8" s="1"/>
  <c r="O77" i="8"/>
  <c r="P77" i="8" s="1"/>
  <c r="O135" i="8"/>
  <c r="P135" i="8" s="1"/>
  <c r="O120" i="8"/>
  <c r="P120" i="8" s="1"/>
  <c r="O124" i="8"/>
  <c r="P124" i="8" s="1"/>
  <c r="O137" i="8"/>
  <c r="P137" i="8" s="1"/>
  <c r="O140" i="8"/>
  <c r="P140" i="8" s="1"/>
  <c r="O131" i="8"/>
  <c r="P131" i="8" s="1"/>
  <c r="O133" i="8"/>
  <c r="P133" i="8" s="1"/>
  <c r="O134" i="8"/>
  <c r="P134" i="8" s="1"/>
  <c r="O115" i="8"/>
  <c r="P115" i="8" s="1"/>
  <c r="E115" i="8"/>
  <c r="O93" i="8"/>
  <c r="P93" i="8" s="1"/>
  <c r="O90" i="8"/>
  <c r="P90" i="8" s="1"/>
  <c r="O76" i="8"/>
  <c r="P76" i="8" s="1"/>
  <c r="O136" i="8"/>
  <c r="P136" i="8" s="1"/>
  <c r="O108" i="8"/>
  <c r="P108" i="8" s="1"/>
  <c r="O142" i="8"/>
  <c r="P142" i="8" s="1"/>
  <c r="E132" i="8"/>
  <c r="O132" i="8" s="1"/>
  <c r="P132" i="8" s="1"/>
  <c r="O103" i="8"/>
  <c r="P103" i="8" s="1"/>
  <c r="O86" i="8"/>
  <c r="P86" i="8" s="1"/>
  <c r="O127" i="8"/>
  <c r="P127" i="8" s="1"/>
  <c r="O99" i="8"/>
  <c r="P99" i="8" s="1"/>
  <c r="O146" i="8"/>
  <c r="P146" i="8" s="1"/>
  <c r="O98" i="8"/>
  <c r="O109" i="8"/>
  <c r="P109" i="8" s="1"/>
  <c r="O97" i="8"/>
  <c r="P97" i="8" s="1"/>
  <c r="O144" i="8"/>
  <c r="P144" i="8" s="1"/>
  <c r="O145" i="8"/>
  <c r="P145" i="8" s="1"/>
  <c r="O118" i="8"/>
  <c r="P118" i="8" s="1"/>
  <c r="O128" i="8"/>
  <c r="P128" i="8" s="1"/>
  <c r="O130" i="8"/>
  <c r="P130" i="8" s="1"/>
  <c r="O119" i="8"/>
  <c r="O71" i="8"/>
  <c r="P71" i="8" s="1"/>
  <c r="O100" i="8"/>
  <c r="P100" i="8" s="1"/>
  <c r="O84" i="8"/>
  <c r="P84" i="8" s="1"/>
  <c r="O48" i="8"/>
  <c r="P48" i="8" s="1"/>
  <c r="O66" i="8"/>
  <c r="P66" i="8" s="1"/>
  <c r="O45" i="8"/>
  <c r="P45" i="8" s="1"/>
  <c r="O39" i="8"/>
  <c r="P39" i="8" s="1"/>
  <c r="O47" i="8"/>
  <c r="P47" i="8" s="1"/>
  <c r="O105" i="8"/>
  <c r="P105" i="8" s="1"/>
  <c r="O60" i="8"/>
  <c r="P60" i="8" s="1"/>
  <c r="O46" i="8"/>
  <c r="P46" i="8" s="1"/>
  <c r="O113" i="8"/>
  <c r="P113" i="8" s="1"/>
  <c r="O59" i="8"/>
  <c r="P59" i="8" s="1"/>
  <c r="O87" i="8"/>
  <c r="P87" i="8" s="1"/>
  <c r="O114" i="8"/>
  <c r="P114" i="8" s="1"/>
  <c r="O33" i="8"/>
  <c r="P33" i="8" s="1"/>
  <c r="O31" i="8"/>
  <c r="P31" i="8" s="1"/>
  <c r="K31" i="8"/>
  <c r="O89" i="8"/>
  <c r="P89" i="8" s="1"/>
  <c r="O61" i="8"/>
  <c r="P61" i="8" s="1"/>
  <c r="O49" i="8"/>
  <c r="P49" i="8" s="1"/>
  <c r="O23" i="8"/>
  <c r="P23" i="8" s="1"/>
  <c r="O22" i="8"/>
  <c r="P22" i="8" s="1"/>
  <c r="O24" i="8"/>
  <c r="P24" i="8" s="1"/>
  <c r="O50" i="8"/>
  <c r="P50" i="8" s="1"/>
  <c r="O36" i="8"/>
  <c r="P36" i="8" s="1"/>
  <c r="O64" i="8"/>
  <c r="P64" i="8" s="1"/>
  <c r="O139" i="8"/>
  <c r="P139" i="8" s="1"/>
  <c r="O92" i="8"/>
  <c r="P92" i="8" s="1"/>
  <c r="O69" i="8"/>
  <c r="P69" i="8" s="1"/>
  <c r="O88" i="8"/>
  <c r="P88" i="8" s="1"/>
  <c r="O102" i="8"/>
  <c r="P102" i="8" s="1"/>
  <c r="O101" i="8"/>
  <c r="P101" i="8" s="1"/>
  <c r="O70" i="8"/>
  <c r="P70" i="8" s="1"/>
  <c r="O26" i="8"/>
  <c r="P26" i="8" s="1"/>
  <c r="O25" i="8"/>
  <c r="P25" i="8" s="1"/>
  <c r="O138" i="8"/>
  <c r="P138" i="8" s="1"/>
  <c r="O123" i="8"/>
  <c r="O65" i="8"/>
  <c r="P65" i="8" s="1"/>
  <c r="O58" i="8"/>
  <c r="P58" i="8" s="1"/>
  <c r="O75" i="8"/>
  <c r="P75" i="8" s="1"/>
  <c r="O129" i="8"/>
  <c r="P129" i="8" s="1"/>
  <c r="O91" i="8"/>
  <c r="P91" i="8" s="1"/>
  <c r="O81" i="8"/>
  <c r="P81" i="8" s="1"/>
  <c r="O106" i="8"/>
  <c r="P106" i="8" s="1"/>
  <c r="O79" i="8"/>
  <c r="P79" i="8" s="1"/>
  <c r="O73" i="8"/>
  <c r="P73" i="8" s="1"/>
  <c r="O125" i="8"/>
  <c r="P125" i="8" s="1"/>
  <c r="O117" i="8"/>
  <c r="P117" i="8" s="1"/>
  <c r="O121" i="8"/>
  <c r="P121" i="8" s="1"/>
  <c r="O56" i="8"/>
  <c r="P56" i="8" s="1"/>
  <c r="O67" i="8"/>
  <c r="P67" i="8" s="1"/>
  <c r="O62" i="8"/>
  <c r="P62" i="8" s="1"/>
  <c r="O68" i="8"/>
  <c r="P68" i="8" s="1"/>
  <c r="O38" i="8"/>
  <c r="P38" i="8" s="1"/>
  <c r="O57" i="8"/>
  <c r="P57" i="8" s="1"/>
  <c r="O83" i="8"/>
  <c r="P83" i="8" s="1"/>
  <c r="O42" i="8"/>
  <c r="P42" i="8" s="1"/>
  <c r="O35" i="8"/>
  <c r="P35" i="8" s="1"/>
  <c r="O52" i="8"/>
  <c r="P52" i="8" s="1"/>
  <c r="O43" i="8"/>
  <c r="P43" i="8" s="1"/>
  <c r="O107" i="8"/>
  <c r="P107" i="8" s="1"/>
  <c r="O110" i="8"/>
  <c r="P110" i="8" s="1"/>
  <c r="O112" i="8"/>
  <c r="P112" i="8" s="1"/>
  <c r="O126" i="8"/>
  <c r="P126" i="8" s="1"/>
  <c r="O82" i="8"/>
  <c r="P82" i="8" s="1"/>
  <c r="O141" i="8"/>
  <c r="P141" i="8" s="1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O20" i="5"/>
  <c r="P123" i="7"/>
  <c r="P132" i="7"/>
  <c r="P87" i="7"/>
  <c r="P71" i="7"/>
  <c r="P97" i="7"/>
  <c r="P46" i="7"/>
  <c r="P60" i="7"/>
  <c r="P142" i="7"/>
  <c r="P80" i="7"/>
  <c r="P86" i="7"/>
  <c r="P88" i="7"/>
  <c r="P136" i="7"/>
  <c r="P128" i="7"/>
  <c r="P94" i="7"/>
  <c r="P28" i="7"/>
  <c r="P61" i="7"/>
  <c r="P101" i="7"/>
  <c r="P49" i="7"/>
  <c r="P99" i="7"/>
  <c r="P74" i="7"/>
  <c r="P75" i="7"/>
  <c r="P78" i="7"/>
  <c r="P54" i="7"/>
  <c r="P39" i="7"/>
  <c r="P53" i="7"/>
  <c r="P44" i="7"/>
  <c r="P47" i="7"/>
  <c r="E50" i="7"/>
  <c r="P50" i="7" s="1"/>
  <c r="P63" i="7"/>
  <c r="P81" i="7"/>
  <c r="P102" i="7"/>
  <c r="P31" i="7"/>
  <c r="P64" i="7"/>
  <c r="P41" i="7"/>
  <c r="E41" i="7"/>
  <c r="P51" i="7"/>
  <c r="P85" i="7"/>
  <c r="P21" i="7"/>
  <c r="P70" i="7"/>
  <c r="P57" i="7"/>
  <c r="P77" i="7"/>
  <c r="P22" i="7"/>
  <c r="P23" i="7"/>
  <c r="P40" i="7"/>
  <c r="P38" i="7"/>
  <c r="P36" i="7"/>
  <c r="P56" i="7"/>
  <c r="P76" i="7"/>
  <c r="P118" i="7"/>
  <c r="P140" i="7"/>
  <c r="P117" i="7"/>
  <c r="P129" i="7"/>
  <c r="P120" i="7"/>
  <c r="P112" i="7"/>
  <c r="P103" i="7"/>
  <c r="P69" i="7"/>
  <c r="P116" i="7"/>
  <c r="P139" i="7"/>
  <c r="P141" i="7"/>
  <c r="K141" i="7"/>
  <c r="P72" i="7"/>
  <c r="P84" i="7"/>
  <c r="P105" i="7"/>
  <c r="P143" i="7"/>
  <c r="P144" i="7"/>
  <c r="P121" i="7"/>
  <c r="P137" i="7"/>
  <c r="P104" i="7"/>
  <c r="P24" i="7"/>
  <c r="P62" i="7"/>
  <c r="P113" i="7"/>
  <c r="P55" i="7"/>
  <c r="P109" i="7"/>
  <c r="P111" i="7"/>
  <c r="P134" i="7"/>
  <c r="P133" i="7"/>
  <c r="P29" i="7"/>
  <c r="P96" i="7"/>
  <c r="P108" i="7"/>
  <c r="P89" i="7"/>
  <c r="P93" i="7"/>
  <c r="P73" i="7"/>
  <c r="P131" i="7"/>
  <c r="P67" i="7"/>
  <c r="P30" i="7"/>
  <c r="P83" i="7"/>
  <c r="P126" i="7"/>
  <c r="P110" i="7"/>
  <c r="P107" i="7"/>
  <c r="P119" i="7"/>
  <c r="P135" i="7"/>
  <c r="P95" i="7"/>
  <c r="P124" i="7"/>
  <c r="P127" i="7"/>
  <c r="P125" i="7"/>
  <c r="P115" i="7"/>
  <c r="P37" i="7"/>
  <c r="P27" i="7"/>
  <c r="P35" i="7"/>
  <c r="P33" i="7"/>
  <c r="P68" i="7"/>
  <c r="P25" i="7"/>
  <c r="P92" i="7"/>
  <c r="P100" i="7"/>
  <c r="P52" i="7"/>
  <c r="P65" i="7"/>
  <c r="P43" i="7"/>
  <c r="P48" i="7"/>
  <c r="E32" i="7"/>
  <c r="D32" i="7"/>
  <c r="P32" i="7" s="1"/>
  <c r="P45" i="7"/>
  <c r="P79" i="7"/>
  <c r="P59" i="7"/>
  <c r="P91" i="7"/>
  <c r="O6" i="5"/>
  <c r="O21" i="5"/>
  <c r="O22" i="5"/>
  <c r="O24" i="5"/>
  <c r="O25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3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5" i="5"/>
  <c r="O66" i="5"/>
  <c r="O67" i="5"/>
  <c r="O69" i="5"/>
  <c r="O70" i="5"/>
  <c r="O71" i="5"/>
  <c r="O72" i="5"/>
  <c r="O73" i="5"/>
  <c r="O78" i="5"/>
  <c r="O79" i="5"/>
  <c r="O81" i="5"/>
  <c r="O83" i="5"/>
  <c r="O84" i="5"/>
  <c r="O85" i="5"/>
  <c r="O86" i="5"/>
  <c r="O87" i="5"/>
  <c r="O88" i="5"/>
  <c r="O89" i="5"/>
  <c r="O93" i="5"/>
  <c r="O94" i="5"/>
  <c r="O95" i="5"/>
  <c r="O96" i="5"/>
  <c r="O97" i="5"/>
  <c r="O98" i="5"/>
  <c r="O99" i="5"/>
  <c r="O102" i="5"/>
  <c r="O103" i="5"/>
  <c r="O104" i="5"/>
  <c r="O105" i="5"/>
  <c r="O107" i="5"/>
  <c r="O108" i="5"/>
  <c r="O109" i="5"/>
  <c r="O110" i="5"/>
  <c r="O111" i="5"/>
  <c r="O112" i="5"/>
  <c r="O113" i="5"/>
  <c r="O114" i="5"/>
  <c r="O115" i="5"/>
  <c r="O116" i="5"/>
  <c r="O117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40" i="5"/>
  <c r="O141" i="5"/>
  <c r="O142" i="5"/>
  <c r="O143" i="5"/>
  <c r="O144" i="5"/>
  <c r="O145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E146" i="5"/>
  <c r="O146" i="5" s="1"/>
  <c r="E139" i="5"/>
  <c r="O139" i="5" s="1"/>
  <c r="E118" i="5"/>
  <c r="O118" i="5" s="1"/>
  <c r="D118" i="5"/>
  <c r="E117" i="5"/>
  <c r="D117" i="5"/>
  <c r="E106" i="5"/>
  <c r="D106" i="5"/>
  <c r="O106" i="5" s="1"/>
  <c r="K105" i="5"/>
  <c r="E101" i="5"/>
  <c r="D101" i="5"/>
  <c r="O101" i="5" s="1"/>
  <c r="E100" i="5"/>
  <c r="D100" i="5"/>
  <c r="O100" i="5" s="1"/>
  <c r="E96" i="5"/>
  <c r="D96" i="5"/>
  <c r="E92" i="5"/>
  <c r="D92" i="5"/>
  <c r="O92" i="5" s="1"/>
  <c r="E91" i="5"/>
  <c r="D91" i="5"/>
  <c r="O91" i="5" s="1"/>
  <c r="E90" i="5"/>
  <c r="D90" i="5"/>
  <c r="O90" i="5" s="1"/>
  <c r="E82" i="5"/>
  <c r="D82" i="5"/>
  <c r="O82" i="5" s="1"/>
  <c r="E81" i="5"/>
  <c r="D81" i="5"/>
  <c r="E80" i="5"/>
  <c r="D80" i="5"/>
  <c r="O80" i="5" s="1"/>
  <c r="D79" i="5"/>
  <c r="D78" i="5"/>
  <c r="E77" i="5"/>
  <c r="D77" i="5"/>
  <c r="O77" i="5" s="1"/>
  <c r="E76" i="5"/>
  <c r="D76" i="5"/>
  <c r="O76" i="5" s="1"/>
  <c r="D75" i="5"/>
  <c r="O75" i="5" s="1"/>
  <c r="E74" i="5"/>
  <c r="D74" i="5"/>
  <c r="O74" i="5" s="1"/>
  <c r="E71" i="5"/>
  <c r="D71" i="5"/>
  <c r="E68" i="5"/>
  <c r="D68" i="5"/>
  <c r="O68" i="5" s="1"/>
  <c r="E64" i="5"/>
  <c r="D64" i="5"/>
  <c r="O64" i="5" s="1"/>
  <c r="K44" i="5"/>
  <c r="E44" i="5"/>
  <c r="D44" i="5"/>
  <c r="O44" i="5" s="1"/>
  <c r="E42" i="5"/>
  <c r="D42" i="5"/>
  <c r="O42" i="5" s="1"/>
  <c r="E26" i="5"/>
  <c r="D26" i="5"/>
  <c r="O26" i="5" s="1"/>
  <c r="E23" i="5"/>
  <c r="D23" i="5"/>
  <c r="O23" i="5" s="1"/>
  <c r="E21" i="5"/>
  <c r="D21" i="5"/>
  <c r="Z4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3" i="1"/>
  <c r="Z92" i="1"/>
  <c r="Z91" i="1"/>
  <c r="Z65" i="1"/>
  <c r="Z4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3" i="1"/>
  <c r="X5" i="1"/>
  <c r="X7" i="1"/>
  <c r="X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2" i="1"/>
  <c r="X53" i="1"/>
  <c r="X55" i="1"/>
  <c r="X56" i="1"/>
  <c r="X66" i="1"/>
  <c r="X67" i="1"/>
  <c r="X68" i="1"/>
  <c r="X69" i="1"/>
  <c r="X70" i="1"/>
  <c r="X71" i="1"/>
  <c r="X72" i="1"/>
  <c r="X76" i="1"/>
  <c r="X77" i="1"/>
  <c r="X78" i="1"/>
  <c r="X80" i="1"/>
  <c r="X81" i="1"/>
  <c r="X82" i="1"/>
  <c r="X85" i="1"/>
  <c r="X86" i="1"/>
  <c r="X87" i="1"/>
  <c r="X88" i="1"/>
  <c r="X90" i="1"/>
  <c r="X91" i="1"/>
  <c r="X92" i="1"/>
  <c r="X93" i="1"/>
  <c r="X94" i="1"/>
  <c r="X95" i="1"/>
  <c r="X96" i="1"/>
  <c r="X97" i="1"/>
  <c r="X98" i="1"/>
  <c r="X99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3" i="1"/>
  <c r="T3" i="1"/>
  <c r="T4" i="1"/>
  <c r="T5" i="1"/>
  <c r="T6" i="1"/>
  <c r="T7" i="1"/>
  <c r="T8" i="1"/>
  <c r="T9" i="1"/>
  <c r="T10" i="1"/>
  <c r="T11" i="1"/>
  <c r="V11" i="1" s="1"/>
  <c r="T12" i="1"/>
  <c r="T13" i="1"/>
  <c r="V13" i="1" s="1"/>
  <c r="T14" i="1"/>
  <c r="T15" i="1"/>
  <c r="T16" i="1"/>
  <c r="T17" i="1"/>
  <c r="T18" i="1"/>
  <c r="T19" i="1"/>
  <c r="W19" i="1" s="1"/>
  <c r="T20" i="1"/>
  <c r="V20" i="1" s="1"/>
  <c r="T21" i="1"/>
  <c r="V21" i="1" s="1"/>
  <c r="T22" i="1"/>
  <c r="T23" i="1"/>
  <c r="T24" i="1"/>
  <c r="T25" i="1"/>
  <c r="T26" i="1"/>
  <c r="T28" i="1"/>
  <c r="V28" i="1" s="1"/>
  <c r="T29" i="1"/>
  <c r="T30" i="1"/>
  <c r="V30" i="1" s="1"/>
  <c r="T31" i="1"/>
  <c r="T32" i="1"/>
  <c r="T33" i="1"/>
  <c r="T34" i="1"/>
  <c r="T35" i="1"/>
  <c r="W35" i="1" s="1"/>
  <c r="T36" i="1"/>
  <c r="V36" i="1" s="1"/>
  <c r="T37" i="1"/>
  <c r="T38" i="1"/>
  <c r="V38" i="1" s="1"/>
  <c r="T39" i="1"/>
  <c r="T40" i="1"/>
  <c r="T41" i="1"/>
  <c r="T42" i="1"/>
  <c r="T43" i="1"/>
  <c r="W43" i="1" s="1"/>
  <c r="T44" i="1"/>
  <c r="V44" i="1" s="1"/>
  <c r="T45" i="1"/>
  <c r="T46" i="1"/>
  <c r="T47" i="1"/>
  <c r="T48" i="1"/>
  <c r="T49" i="1"/>
  <c r="T50" i="1"/>
  <c r="T51" i="1"/>
  <c r="W51" i="1" s="1"/>
  <c r="T52" i="1"/>
  <c r="V52" i="1" s="1"/>
  <c r="T53" i="1"/>
  <c r="T54" i="1"/>
  <c r="V54" i="1" s="1"/>
  <c r="T55" i="1"/>
  <c r="T56" i="1"/>
  <c r="T57" i="1"/>
  <c r="T58" i="1"/>
  <c r="T59" i="1"/>
  <c r="W59" i="1" s="1"/>
  <c r="T60" i="1"/>
  <c r="V60" i="1" s="1"/>
  <c r="T61" i="1"/>
  <c r="T62" i="1"/>
  <c r="V62" i="1" s="1"/>
  <c r="T63" i="1"/>
  <c r="T64" i="1"/>
  <c r="T65" i="1"/>
  <c r="T66" i="1"/>
  <c r="T67" i="1"/>
  <c r="W67" i="1" s="1"/>
  <c r="T68" i="1"/>
  <c r="V68" i="1" s="1"/>
  <c r="T69" i="1"/>
  <c r="T70" i="1"/>
  <c r="V70" i="1" s="1"/>
  <c r="T71" i="1"/>
  <c r="T72" i="1"/>
  <c r="T73" i="1"/>
  <c r="T74" i="1"/>
  <c r="T75" i="1"/>
  <c r="W75" i="1" s="1"/>
  <c r="T76" i="1"/>
  <c r="V76" i="1" s="1"/>
  <c r="T77" i="1"/>
  <c r="T78" i="1"/>
  <c r="V78" i="1" s="1"/>
  <c r="T79" i="1"/>
  <c r="T80" i="1"/>
  <c r="T81" i="1"/>
  <c r="T82" i="1"/>
  <c r="T83" i="1"/>
  <c r="W83" i="1" s="1"/>
  <c r="T84" i="1"/>
  <c r="V84" i="1" s="1"/>
  <c r="T85" i="1"/>
  <c r="T86" i="1"/>
  <c r="V86" i="1" s="1"/>
  <c r="T87" i="1"/>
  <c r="T89" i="1"/>
  <c r="T90" i="1"/>
  <c r="T91" i="1"/>
  <c r="W91" i="1" s="1"/>
  <c r="T92" i="1"/>
  <c r="T93" i="1"/>
  <c r="T94" i="1"/>
  <c r="T95" i="1"/>
  <c r="T96" i="1"/>
  <c r="T97" i="1"/>
  <c r="T98" i="1"/>
  <c r="T99" i="1"/>
  <c r="W99" i="1" s="1"/>
  <c r="T100" i="1"/>
  <c r="T101" i="1"/>
  <c r="T102" i="1"/>
  <c r="T103" i="1"/>
  <c r="T104" i="1"/>
  <c r="T105" i="1"/>
  <c r="T106" i="1"/>
  <c r="T107" i="1"/>
  <c r="W107" i="1" s="1"/>
  <c r="T108" i="1"/>
  <c r="T109" i="1"/>
  <c r="T110" i="1"/>
  <c r="T111" i="1"/>
  <c r="T112" i="1"/>
  <c r="T113" i="1"/>
  <c r="T114" i="1"/>
  <c r="T115" i="1"/>
  <c r="W115" i="1" s="1"/>
  <c r="T116" i="1"/>
  <c r="T117" i="1"/>
  <c r="T118" i="1"/>
  <c r="T119" i="1"/>
  <c r="T120" i="1"/>
  <c r="T121" i="1"/>
  <c r="T122" i="1"/>
  <c r="T123" i="1"/>
  <c r="W123" i="1" s="1"/>
  <c r="T124" i="1"/>
  <c r="T125" i="1"/>
  <c r="T126" i="1"/>
  <c r="T127" i="1"/>
  <c r="T128" i="1"/>
  <c r="T129" i="1"/>
  <c r="T130" i="1"/>
  <c r="T131" i="1"/>
  <c r="W131" i="1" s="1"/>
  <c r="T132" i="1"/>
  <c r="T133" i="1"/>
  <c r="T134" i="1"/>
  <c r="T135" i="1"/>
  <c r="T136" i="1"/>
  <c r="T137" i="1"/>
  <c r="T138" i="1"/>
  <c r="T139" i="1"/>
  <c r="W139" i="1" s="1"/>
  <c r="T140" i="1"/>
  <c r="T141" i="1"/>
  <c r="T142" i="1"/>
  <c r="T143" i="1"/>
  <c r="T144" i="1"/>
  <c r="T145" i="1"/>
  <c r="T146" i="1"/>
  <c r="T147" i="1"/>
  <c r="W147" i="1" s="1"/>
  <c r="T148" i="1"/>
  <c r="T149" i="1"/>
  <c r="T150" i="1"/>
  <c r="T151" i="1"/>
  <c r="T152" i="1"/>
  <c r="T153" i="1"/>
  <c r="T154" i="1"/>
  <c r="T155" i="1"/>
  <c r="W155" i="1" s="1"/>
  <c r="T156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3" i="1"/>
  <c r="E129" i="1"/>
  <c r="E122" i="1"/>
  <c r="K27" i="1"/>
  <c r="P27" i="1" s="1"/>
  <c r="P81" i="10" l="1"/>
  <c r="P118" i="10"/>
  <c r="P76" i="10"/>
  <c r="P100" i="10"/>
  <c r="P92" i="10"/>
  <c r="O8" i="7"/>
  <c r="P71" i="10"/>
  <c r="P44" i="10"/>
  <c r="P64" i="10"/>
  <c r="P21" i="10"/>
  <c r="P68" i="10"/>
  <c r="P139" i="10"/>
  <c r="P23" i="10"/>
  <c r="P78" i="10"/>
  <c r="P75" i="10"/>
  <c r="P117" i="10"/>
  <c r="P101" i="10"/>
  <c r="P77" i="10"/>
  <c r="P91" i="10"/>
  <c r="P146" i="10"/>
  <c r="P90" i="10"/>
  <c r="P106" i="10"/>
  <c r="P26" i="10"/>
  <c r="P42" i="10"/>
  <c r="S4" i="8"/>
  <c r="V4" i="8" s="1"/>
  <c r="S4" i="7"/>
  <c r="S4" i="5"/>
  <c r="V4" i="5" s="1"/>
  <c r="V5" i="1"/>
  <c r="V12" i="1"/>
  <c r="V146" i="1"/>
  <c r="V138" i="1"/>
  <c r="V130" i="1"/>
  <c r="V85" i="1"/>
  <c r="V77" i="1"/>
  <c r="V69" i="1"/>
  <c r="V61" i="1"/>
  <c r="V53" i="1"/>
  <c r="V45" i="1"/>
  <c r="V37" i="1"/>
  <c r="V29" i="1"/>
  <c r="V149" i="1"/>
  <c r="V141" i="1"/>
  <c r="V133" i="1"/>
  <c r="V125" i="1"/>
  <c r="V117" i="1"/>
  <c r="V109" i="1"/>
  <c r="V101" i="1"/>
  <c r="V93" i="1"/>
  <c r="W3" i="1"/>
  <c r="V150" i="1"/>
  <c r="V142" i="1"/>
  <c r="V134" i="1"/>
  <c r="V126" i="1"/>
  <c r="V118" i="1"/>
  <c r="V110" i="1"/>
  <c r="V102" i="1"/>
  <c r="V94" i="1"/>
  <c r="V97" i="1"/>
  <c r="V89" i="1"/>
  <c r="V26" i="1"/>
  <c r="V18" i="1"/>
  <c r="V10" i="1"/>
  <c r="V82" i="1"/>
  <c r="V74" i="1"/>
  <c r="V66" i="1"/>
  <c r="V58" i="1"/>
  <c r="V50" i="1"/>
  <c r="V42" i="1"/>
  <c r="V34" i="1"/>
  <c r="V25" i="1"/>
  <c r="V17" i="1"/>
  <c r="V154" i="1"/>
  <c r="V122" i="1"/>
  <c r="V114" i="1"/>
  <c r="V106" i="1"/>
  <c r="V98" i="1"/>
  <c r="V90" i="1"/>
  <c r="V81" i="1"/>
  <c r="V73" i="1"/>
  <c r="V65" i="1"/>
  <c r="V57" i="1"/>
  <c r="V49" i="1"/>
  <c r="V41" i="1"/>
  <c r="V151" i="1"/>
  <c r="V143" i="1"/>
  <c r="V135" i="1"/>
  <c r="V127" i="1"/>
  <c r="V119" i="1"/>
  <c r="V111" i="1"/>
  <c r="V103" i="1"/>
  <c r="V95" i="1"/>
  <c r="V80" i="1"/>
  <c r="V72" i="1"/>
  <c r="V64" i="1"/>
  <c r="V56" i="1"/>
  <c r="V48" i="1"/>
  <c r="V156" i="1"/>
  <c r="V148" i="1"/>
  <c r="V140" i="1"/>
  <c r="V132" i="1"/>
  <c r="V124" i="1"/>
  <c r="V116" i="1"/>
  <c r="V108" i="1"/>
  <c r="V100" i="1"/>
  <c r="V92" i="1"/>
  <c r="V24" i="1"/>
  <c r="V16" i="1"/>
  <c r="V8" i="1"/>
  <c r="V40" i="1"/>
  <c r="V32" i="1"/>
  <c r="V23" i="1"/>
  <c r="V15" i="1"/>
  <c r="V7" i="1"/>
  <c r="V3" i="1"/>
  <c r="W152" i="1"/>
  <c r="W144" i="1"/>
  <c r="W136" i="1"/>
  <c r="W128" i="1"/>
  <c r="W120" i="1"/>
  <c r="W112" i="1"/>
  <c r="W104" i="1"/>
  <c r="W96" i="1"/>
  <c r="V87" i="1"/>
  <c r="V79" i="1"/>
  <c r="V71" i="1"/>
  <c r="V63" i="1"/>
  <c r="V55" i="1"/>
  <c r="V47" i="1"/>
  <c r="V39" i="1"/>
  <c r="V31" i="1"/>
  <c r="V22" i="1"/>
  <c r="V14" i="1"/>
  <c r="V6" i="1"/>
  <c r="V153" i="1"/>
  <c r="V145" i="1"/>
  <c r="V137" i="1"/>
  <c r="V129" i="1"/>
  <c r="V121" i="1"/>
  <c r="V113" i="1"/>
  <c r="V107" i="1"/>
  <c r="V115" i="1"/>
  <c r="V123" i="1"/>
  <c r="V131" i="1"/>
  <c r="V139" i="1"/>
  <c r="V147" i="1"/>
  <c r="V155" i="1"/>
  <c r="V51" i="1"/>
  <c r="V59" i="1"/>
  <c r="V67" i="1"/>
  <c r="V75" i="1"/>
  <c r="V83" i="1"/>
  <c r="V91" i="1"/>
  <c r="V99" i="1"/>
  <c r="W25" i="1"/>
  <c r="W17" i="1"/>
  <c r="W9" i="1"/>
  <c r="V35" i="1"/>
  <c r="V43" i="1"/>
  <c r="V96" i="1"/>
  <c r="W81" i="1"/>
  <c r="W73" i="1"/>
  <c r="W65" i="1"/>
  <c r="W57" i="1"/>
  <c r="W49" i="1"/>
  <c r="W41" i="1"/>
  <c r="W33" i="1"/>
  <c r="V19" i="1"/>
  <c r="W153" i="1"/>
  <c r="W145" i="1"/>
  <c r="W137" i="1"/>
  <c r="W129" i="1"/>
  <c r="V112" i="1"/>
  <c r="V120" i="1"/>
  <c r="V128" i="1"/>
  <c r="V136" i="1"/>
  <c r="V144" i="1"/>
  <c r="V152" i="1"/>
  <c r="T27" i="1"/>
  <c r="W121" i="1"/>
  <c r="W113" i="1"/>
  <c r="W105" i="1"/>
  <c r="W97" i="1"/>
  <c r="W89" i="1"/>
  <c r="W11" i="1"/>
  <c r="W82" i="1"/>
  <c r="W74" i="1"/>
  <c r="W66" i="1"/>
  <c r="W58" i="1"/>
  <c r="W50" i="1"/>
  <c r="W42" i="1"/>
  <c r="W34" i="1"/>
  <c r="W26" i="1"/>
  <c r="W18" i="1"/>
  <c r="W10" i="1"/>
  <c r="W154" i="1"/>
  <c r="W146" i="1"/>
  <c r="W138" i="1"/>
  <c r="W130" i="1"/>
  <c r="W122" i="1"/>
  <c r="W114" i="1"/>
  <c r="W106" i="1"/>
  <c r="W98" i="1"/>
  <c r="W90" i="1"/>
  <c r="W80" i="1"/>
  <c r="W72" i="1"/>
  <c r="W64" i="1"/>
  <c r="W56" i="1"/>
  <c r="W48" i="1"/>
  <c r="W40" i="1"/>
  <c r="W32" i="1"/>
  <c r="W24" i="1"/>
  <c r="W16" i="1"/>
  <c r="W8" i="1"/>
  <c r="W149" i="1"/>
  <c r="W141" i="1"/>
  <c r="W133" i="1"/>
  <c r="W125" i="1"/>
  <c r="W117" i="1"/>
  <c r="W109" i="1"/>
  <c r="W101" i="1"/>
  <c r="W93" i="1"/>
  <c r="W85" i="1"/>
  <c r="W77" i="1"/>
  <c r="W69" i="1"/>
  <c r="W61" i="1"/>
  <c r="W53" i="1"/>
  <c r="W45" i="1"/>
  <c r="W37" i="1"/>
  <c r="W29" i="1"/>
  <c r="W21" i="1"/>
  <c r="W13" i="1"/>
  <c r="W5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2" i="1"/>
  <c r="W4" i="1"/>
  <c r="W151" i="1"/>
  <c r="W143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23" i="1"/>
  <c r="W15" i="1"/>
  <c r="W7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14" i="1"/>
  <c r="W6" i="1"/>
  <c r="D9" i="1"/>
  <c r="X9" i="1" s="1"/>
  <c r="E9" i="1"/>
  <c r="U4" i="10" l="1"/>
  <c r="X4" i="10" s="1"/>
  <c r="W27" i="1"/>
  <c r="V27" i="1"/>
  <c r="D65" i="1"/>
  <c r="X65" i="1" s="1"/>
  <c r="E65" i="1"/>
  <c r="D4" i="1"/>
  <c r="X4" i="1" s="1"/>
  <c r="E4" i="1"/>
  <c r="D25" i="1"/>
  <c r="X25" i="1" s="1"/>
  <c r="E25" i="1"/>
  <c r="D74" i="1" l="1"/>
  <c r="X74" i="1" s="1"/>
  <c r="D62" i="1"/>
  <c r="X62" i="1" s="1"/>
  <c r="D61" i="1"/>
  <c r="X61" i="1" s="1"/>
  <c r="D58" i="1"/>
  <c r="X58" i="1" s="1"/>
  <c r="D27" i="1"/>
  <c r="X27" i="1" s="1"/>
  <c r="E27" i="1"/>
  <c r="D83" i="1"/>
  <c r="X83" i="1" s="1"/>
  <c r="E83" i="1"/>
  <c r="D84" i="1"/>
  <c r="X84" i="1" s="1"/>
  <c r="E84" i="1"/>
  <c r="D79" i="1"/>
  <c r="X79" i="1" s="1"/>
  <c r="E79" i="1"/>
  <c r="D75" i="1"/>
  <c r="X75" i="1" s="1"/>
  <c r="E75" i="1"/>
  <c r="D73" i="1"/>
  <c r="X73" i="1" s="1"/>
  <c r="E73" i="1"/>
  <c r="D64" i="1"/>
  <c r="X64" i="1" s="1"/>
  <c r="E64" i="1"/>
  <c r="D59" i="1"/>
  <c r="X59" i="1" s="1"/>
  <c r="E59" i="1"/>
  <c r="D6" i="1"/>
  <c r="X6" i="1" s="1"/>
  <c r="E6" i="1"/>
  <c r="D54" i="1"/>
  <c r="X54" i="1" s="1"/>
  <c r="E54" i="1"/>
  <c r="D89" i="1"/>
  <c r="X89" i="1" s="1"/>
  <c r="E89" i="1"/>
  <c r="D51" i="1"/>
  <c r="X51" i="1" s="1"/>
  <c r="E51" i="1"/>
  <c r="D47" i="1"/>
  <c r="X47" i="1" s="1"/>
  <c r="E47" i="1"/>
  <c r="D63" i="1"/>
  <c r="X63" i="1" s="1"/>
  <c r="E63" i="1"/>
  <c r="D60" i="1"/>
  <c r="X60" i="1" s="1"/>
  <c r="E60" i="1"/>
  <c r="D57" i="1"/>
  <c r="X57" i="1" s="1"/>
  <c r="E57" i="1"/>
  <c r="E101" i="1"/>
  <c r="D101" i="1"/>
  <c r="X101" i="1" s="1"/>
  <c r="D100" i="1" l="1"/>
  <c r="X100" i="1" s="1"/>
  <c r="E100" i="1"/>
  <c r="E74" i="1" l="1"/>
  <c r="K88" i="1" l="1"/>
  <c r="T88" i="1" s="1"/>
  <c r="W88" i="1" l="1"/>
  <c r="V88" i="1"/>
  <c r="P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I2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I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G4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I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5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6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H6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7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7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9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9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I10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I32" authorId="0" shapeId="0" xr:uid="{34FABCB0-C83D-4A94-BE4F-7B4591D2DAC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G145" authorId="0" shapeId="0" xr:uid="{BA2EC912-76E5-4989-B49B-05B96DF5ECF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145" authorId="0" shapeId="0" xr:uid="{E28B2C25-0533-41F1-BCDD-733682BBD22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145" authorId="0" shapeId="0" xr:uid="{FA3B3909-C745-43D3-87DB-19C331E85C1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146" authorId="0" shapeId="0" xr:uid="{DCAE0C32-B91C-4CF9-8655-2B3AA8A2CED3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G148" authorId="0" shapeId="0" xr:uid="{5B964332-CA34-49CE-902A-95789E399BB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H148" authorId="0" shapeId="0" xr:uid="{6CA45967-58B8-41E6-BB86-404C729B374E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148" authorId="0" shapeId="0" xr:uid="{28304C68-2D46-41DE-A67B-B0937A15B3D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148" authorId="0" shapeId="0" xr:uid="{E239FA71-1909-40A9-8BF6-4D4EBAD2E32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148" authorId="0" shapeId="0" xr:uid="{442113B2-F69B-4C55-BC60-960731390DA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149" authorId="0" shapeId="0" xr:uid="{6FFD9104-C382-42C1-A7B1-4431F2F3FA0A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149" authorId="0" shapeId="0" xr:uid="{A5CFBD10-D1C1-43F0-B93D-CEFC13B4B52E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150" authorId="0" shapeId="0" xr:uid="{46935634-7B94-46AB-A732-9B5F24E784A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150" authorId="0" shapeId="0" xr:uid="{0BCDA454-F9D2-4380-979F-4BFB22704D2E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I151" authorId="0" shapeId="0" xr:uid="{5E03A600-3DD2-4CC9-AE1D-6492A3728EBF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152" authorId="0" shapeId="0" xr:uid="{3D526DF4-6D93-457E-B4A7-17C364CA490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53" authorId="0" shapeId="0" xr:uid="{6DCE6AEE-14FF-4685-BE27-D4F71C1DC7E3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154" authorId="0" shapeId="0" xr:uid="{A35AE440-9FC3-411D-BC3B-1334E76EFCBB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I155" authorId="0" shapeId="0" xr:uid="{04092E16-EC28-4B51-BF20-395894855B9D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156" authorId="0" shapeId="0" xr:uid="{3D740065-3B31-4FBF-9906-10EE55D9E5E1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157" authorId="0" shapeId="0" xr:uid="{85801881-9410-44D5-9F15-D79E81CC633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58" authorId="0" shapeId="0" xr:uid="{CA95F10B-B09A-42A8-AFE1-676A95428DD8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59" authorId="0" shapeId="0" xr:uid="{148384BC-1214-448E-AD5E-65E8E114F942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0" authorId="0" shapeId="0" xr:uid="{FF428D7C-D337-4903-B9B4-A099AB47F09C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1" authorId="0" shapeId="0" xr:uid="{C2412C65-777B-483F-873F-FFA737F97DC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2" authorId="0" shapeId="0" xr:uid="{45446022-63F7-4333-B2E7-ACC79E2015ED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3" authorId="0" shapeId="0" xr:uid="{2E3E19E8-7505-4CA7-B5F1-508D44B78C2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164" authorId="0" shapeId="0" xr:uid="{B2EE22E9-42ED-4D12-8C1C-CC3C98D8609F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165" authorId="0" shapeId="0" xr:uid="{2FD01685-567E-45B1-965F-DFD8891CACA2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165" authorId="0" shapeId="0" xr:uid="{E7063294-64C6-4CA4-9D80-8AA909CDCB0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166" authorId="0" shapeId="0" xr:uid="{095B9B15-8E42-4901-85FC-0EDA8BB7643C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7" authorId="0" shapeId="0" xr:uid="{E0E8FE4F-75A9-4F26-9EB9-7DFB3C61233D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8" authorId="0" shapeId="0" xr:uid="{3B00CA28-49EC-4713-84C2-5B4EBD9DDC6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9" authorId="0" shapeId="0" xr:uid="{496E9FF1-55A6-4867-889B-5867F1E8738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70" authorId="0" shapeId="0" xr:uid="{667590A5-F550-4914-A044-A7381A0A9AA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71" authorId="0" shapeId="0" xr:uid="{95CCE066-6914-479D-ABF6-AD0A22DBAFAF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72" authorId="0" shapeId="0" xr:uid="{322F1FDB-AE3E-4398-AF30-26DA74FB2043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73" authorId="0" shapeId="0" xr:uid="{D064579D-DF20-4C18-AB7A-FE0654668FCA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G20" authorId="0" shapeId="0" xr:uid="{C4ECC6B9-34B7-4D5A-B60B-38CA674DC90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G87" authorId="0" shapeId="0" xr:uid="{204720D4-CA3D-4BA4-A480-895911D4E6C8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87" authorId="0" shapeId="0" xr:uid="{4863A769-0DDB-47E2-B0AB-B134BD0FEEB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114" authorId="0" shapeId="0" xr:uid="{F3B7376F-EA87-4D50-B50F-A3D2DC475DFA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114" authorId="0" shapeId="0" xr:uid="{E7A62229-BC01-4D2E-85D1-471AC1F838A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148" authorId="0" shapeId="0" xr:uid="{11915DBD-F5D1-4103-BD6E-6B2EF455CA9B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148" authorId="0" shapeId="0" xr:uid="{35A8AD85-D03C-4245-9F94-39FCF0EBCB7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148" authorId="0" shapeId="0" xr:uid="{09E260CC-7B46-47B0-AD09-4B056FCA039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149" authorId="0" shapeId="0" xr:uid="{97D90C3C-0D07-4C41-B185-823E4BDD702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149" authorId="0" shapeId="0" xr:uid="{AA79CE71-1F05-4261-9EFE-17ED0C01A15C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150" authorId="0" shapeId="0" xr:uid="{1742026B-8470-46A8-BA6F-EAE0DF8E68C3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I151" authorId="0" shapeId="0" xr:uid="{A9FFBE64-BC93-494F-9A88-57D3CCAAEABC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I152" authorId="0" shapeId="0" xr:uid="{1146EF20-4DE8-455E-9409-FFEFB4DACBB1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153" authorId="0" shapeId="0" xr:uid="{6D61E9FC-3FE9-4B6A-8FC3-B9877E506D8A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54" authorId="0" shapeId="0" xr:uid="{F395B4CC-B82F-4D36-8039-0AD840C4030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55" authorId="0" shapeId="0" xr:uid="{07116F67-FDF0-46BD-B872-6232DB50075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56" authorId="0" shapeId="0" xr:uid="{C11F33F9-C3B8-4625-9848-4ACBF91981DC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57" authorId="0" shapeId="0" xr:uid="{2CC91775-4C8D-4BEA-BF92-89A706290A62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158" authorId="0" shapeId="0" xr:uid="{26C4C8FC-4C92-4B22-8BF3-058C40188C3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59" authorId="0" shapeId="0" xr:uid="{C0A745C5-CA6E-492F-BCBF-3780EA4578A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0" authorId="0" shapeId="0" xr:uid="{F8DDD2AA-BCAB-4781-8906-72D02C2E291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161" authorId="0" shapeId="0" xr:uid="{BC61049E-42D2-4D4C-8129-068B50A5BEBA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162" authorId="0" shapeId="0" xr:uid="{2E803B33-6C47-4FA3-968B-A09E4B505EF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3" authorId="0" shapeId="0" xr:uid="{3A52ED7C-1E80-47BE-91F3-9FA0AF13B813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164" authorId="0" shapeId="0" xr:uid="{DEE8CD29-E584-4370-837D-D47270CEB9F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H164" authorId="0" shapeId="0" xr:uid="{2404823C-693A-4891-AC17-005300E3A7C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164" authorId="0" shapeId="0" xr:uid="{7F87AD6C-DBF8-4E17-B9A9-8418C7EC262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164" authorId="0" shapeId="0" xr:uid="{19D3971F-2BBF-4925-9567-5293D12B6A8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164" authorId="0" shapeId="0" xr:uid="{C2D6EE11-EA30-419E-B1C4-60A06A056F1F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165" authorId="0" shapeId="0" xr:uid="{197F2102-1CDA-4036-9E9E-3BA8DEE0F63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6" authorId="0" shapeId="0" xr:uid="{26B310E5-7C89-4E12-BD80-212855767C7B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167" authorId="0" shapeId="0" xr:uid="{70F5FBFA-2CAA-45F9-BA5E-F09E7089AE6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8" authorId="0" shapeId="0" xr:uid="{4B9B759A-2C8D-4202-A5DF-8A932094086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69" authorId="0" shapeId="0" xr:uid="{F36448D7-75F8-48E1-932F-8E6690834A58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70" authorId="0" shapeId="0" xr:uid="{D005389F-E60F-455A-9012-426AD2921D98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71" authorId="0" shapeId="0" xr:uid="{00A573AD-39BD-4B36-8D71-F321EEE0D97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72" authorId="0" shapeId="0" xr:uid="{CAB1A2B7-F6A4-4A31-952C-A18248831071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73" authorId="0" shapeId="0" xr:uid="{1DD062CA-DE4E-4249-B373-35EDD1A7C9F8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G21" authorId="0" shapeId="0" xr:uid="{A805A2AF-9890-4205-A942-EBF71417229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21" authorId="0" shapeId="0" xr:uid="{AC93378B-1ED3-46FA-AE8F-C9E66C9CDC5E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21" authorId="0" shapeId="0" xr:uid="{FD422A99-C92A-4A78-AB40-BD40FAD08248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23" authorId="0" shapeId="0" xr:uid="{5C08CDB7-00A3-49FE-A561-B22D734C998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23" authorId="0" shapeId="0" xr:uid="{2C1CBC04-4394-481D-96C6-BBB26CE9695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26" authorId="0" shapeId="0" xr:uid="{57226A01-5A14-45C8-B7A6-D78BC71978D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I42" authorId="0" shapeId="0" xr:uid="{7FEB1138-2286-422C-89CB-3F0FDD8B1BE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I44" authorId="0" shapeId="0" xr:uid="{986E5390-E288-4EF2-82DB-31B83DA2FD4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G60" authorId="0" shapeId="0" xr:uid="{167B382B-A106-4CA0-B5A3-5AA798A81D6A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I64" authorId="0" shapeId="0" xr:uid="{1D7808F0-5931-4B39-9745-754D63A6007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8" authorId="0" shapeId="0" xr:uid="{9BF623CA-CD7E-400C-A285-EFB7DBC5FE3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1" authorId="0" shapeId="0" xr:uid="{69AFD70D-903F-4DCC-AC7E-C1E83DB7F48E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4" authorId="0" shapeId="0" xr:uid="{AF3AA400-DCD9-4E79-9500-5189B302221D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5" authorId="0" shapeId="0" xr:uid="{1037BE45-5957-466A-A180-B07F532FC872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76" authorId="0" shapeId="0" xr:uid="{9D7BD135-657B-4B35-8CB1-A92C621E19AE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7" authorId="0" shapeId="0" xr:uid="{9246E2DD-38D4-462F-9BF8-B22A2109243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8" authorId="0" shapeId="0" xr:uid="{67B42F72-3992-4CED-A2C2-498F03D0EC8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79" authorId="0" shapeId="0" xr:uid="{E31B9515-957F-4C04-A192-9C03FB4C7462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80" authorId="0" shapeId="0" xr:uid="{97353E48-DB16-426E-9C76-6A59C53C9D2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1" authorId="0" shapeId="0" xr:uid="{F554D5CF-303D-4D5B-AFAC-E366B85D4F3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82" authorId="0" shapeId="0" xr:uid="{89F132D1-DA81-4363-8A10-79CE821EBEE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H82" authorId="0" shapeId="0" xr:uid="{BB0265DF-112A-4A87-808D-E173E154D31D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82" authorId="0" shapeId="0" xr:uid="{04EBD9F1-025C-486B-BA99-B20F2381F78E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82" authorId="0" shapeId="0" xr:uid="{2B1D26D0-1C6C-4A7C-875E-A25BD3DCE068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82" authorId="0" shapeId="0" xr:uid="{C59904F1-A7D1-4A1B-9294-B6BCFC8533A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90" authorId="0" shapeId="0" xr:uid="{408404BF-1443-4647-B55C-BA958EF9C75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91" authorId="0" shapeId="0" xr:uid="{2DB853CD-9E5A-4AAE-B747-84540344CEDB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92" authorId="0" shapeId="0" xr:uid="{C0322C46-2F59-4C4A-8135-BC5DF8AA23A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96" authorId="0" shapeId="0" xr:uid="{5DFDF18F-A8A1-46A6-9902-64EC5C378D0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0" authorId="0" shapeId="0" xr:uid="{ACCD2973-A854-4DD6-AE4D-6117E57276C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1" authorId="0" shapeId="0" xr:uid="{F8BEDE89-A16F-40CC-BB48-77F6F220D23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6" authorId="0" shapeId="0" xr:uid="{68DB2540-E547-4162-91EC-CB1B7C3FFA52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108" authorId="0" shapeId="0" xr:uid="{325A8190-F556-4C7B-90DC-3D095359F863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108" authorId="0" shapeId="0" xr:uid="{E87D759D-F742-41CA-A393-E5C9F2EBDA93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109" authorId="0" shapeId="0" xr:uid="{8CA32212-0599-4CE3-A9DC-26C4ED6C8042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109" authorId="0" shapeId="0" xr:uid="{29B48C46-DF54-4488-8D33-50CEB3A81A3E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I117" authorId="0" shapeId="0" xr:uid="{CD06D926-E7C2-4192-B04C-64F90961E603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18" authorId="0" shapeId="0" xr:uid="{41FB4116-4D4F-4DDE-AD65-1E02FDF1597A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G21" authorId="0" shapeId="0" xr:uid="{B7FFFEFA-FF45-4261-8B47-0ECE0D586CF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21" authorId="0" shapeId="0" xr:uid="{DD66FC7F-16D3-4D14-AF0C-BEFECD53353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21" authorId="0" shapeId="0" xr:uid="{5274F778-C898-4563-8DEC-D06C6D78839E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23" authorId="0" shapeId="0" xr:uid="{DA3BE2FD-C649-4317-9467-2B1D1189075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23" authorId="0" shapeId="0" xr:uid="{167F170C-3E79-464A-83FD-1C85A97011FD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26" authorId="0" shapeId="0" xr:uid="{F85F9489-799C-4CD4-BF57-5569C3A0970D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I42" authorId="0" shapeId="0" xr:uid="{BE6BFDC9-D984-4903-8DE6-09AE8D30B4A1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I44" authorId="0" shapeId="0" xr:uid="{47AEFF6E-E8DE-4DDE-90DA-A44962D7A2FA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G60" authorId="0" shapeId="0" xr:uid="{74C121B9-E88B-47E4-AC25-98DEE8331B9B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I64" authorId="0" shapeId="0" xr:uid="{6C1C3BED-C61E-41F8-B63B-7BD17E2CEB4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8" authorId="0" shapeId="0" xr:uid="{07013469-2A9A-4817-BA0A-BE5A0AAB02F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1" authorId="0" shapeId="0" xr:uid="{CF89F47D-132D-495C-BA1F-1F8F1EC593FE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4" authorId="0" shapeId="0" xr:uid="{1A9847EA-7DE7-4E01-A723-50BF6B17889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5" authorId="0" shapeId="0" xr:uid="{6703A45C-644F-4A85-BA58-5381BF760FC8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76" authorId="0" shapeId="0" xr:uid="{874DAB42-3AEB-404D-8C7B-B70F86AD5833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7" authorId="0" shapeId="0" xr:uid="{059ED825-413C-416B-858B-F914DF589CAD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8" authorId="0" shapeId="0" xr:uid="{C927668A-95C3-4FDB-8174-D743BBA1A753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79" authorId="0" shapeId="0" xr:uid="{D409BCC1-8ECF-4CD6-99D9-89B8DE6A998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80" authorId="0" shapeId="0" xr:uid="{92F45961-5861-476A-BD87-FDF54118D473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1" authorId="0" shapeId="0" xr:uid="{4246B15D-5CFB-454F-BA1C-64270F7AB5F1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82" authorId="0" shapeId="0" xr:uid="{079897FD-355F-4196-A85B-A98F258BF21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H82" authorId="0" shapeId="0" xr:uid="{76F879A5-8F49-4C5E-B73E-F876AE1F04C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82" authorId="0" shapeId="0" xr:uid="{82E53B29-41DB-44CC-9345-F198B17F9B7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82" authorId="0" shapeId="0" xr:uid="{6F98CC8F-3437-4C6D-8F72-E1065910799D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82" authorId="0" shapeId="0" xr:uid="{BA5FE1D2-6422-4AD3-947D-5CC945BEC291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90" authorId="0" shapeId="0" xr:uid="{A71F2C6D-87E0-4727-AD97-98402AE4393E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91" authorId="0" shapeId="0" xr:uid="{6E0C74F2-3C5F-4674-B0B2-8FBCFC44764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92" authorId="0" shapeId="0" xr:uid="{2B690C7C-2381-4B1A-A822-47F791184656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96" authorId="0" shapeId="0" xr:uid="{05EFF924-276B-4495-9184-94DB0ED356F2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0" authorId="0" shapeId="0" xr:uid="{33DB1D0F-AB67-4DF3-B90B-695B26E085A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1" authorId="0" shapeId="0" xr:uid="{DBF901D4-37C9-4058-B68D-C50E4C137EC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6" authorId="0" shapeId="0" xr:uid="{167843E2-B736-4193-A377-D768213BCDAB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108" authorId="0" shapeId="0" xr:uid="{D9A10A8A-6423-42AA-90B0-9A0D235580D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108" authorId="0" shapeId="0" xr:uid="{445BA2B9-FFF3-4A63-82D5-B0CC3332C3CB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109" authorId="0" shapeId="0" xr:uid="{42894B62-BBD0-4AE4-9141-E1B68FB44DA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109" authorId="0" shapeId="0" xr:uid="{69DC81F4-1F4A-4D5C-93F0-1B21ED6D66C4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I117" authorId="0" shapeId="0" xr:uid="{1EC2D635-2272-4189-B942-18C59B46EB8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18" authorId="0" shapeId="0" xr:uid="{67A5238A-0887-49F1-9CA6-4C9ECA5DC277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sharedStrings.xml><?xml version="1.0" encoding="utf-8"?>
<sst xmlns="http://schemas.openxmlformats.org/spreadsheetml/2006/main" count="2433" uniqueCount="56">
  <si>
    <t>Oil API at 60 F (MSST)</t>
  </si>
  <si>
    <t>Sat P (Pb/ Pdew) , psia</t>
  </si>
  <si>
    <t>Res P(psia)</t>
  </si>
  <si>
    <t xml:space="preserve">  Cum. Gas Specific Gravity (calculate from msst)</t>
  </si>
  <si>
    <t>Reservoir Temperature (F)</t>
  </si>
  <si>
    <t>N/A</t>
  </si>
  <si>
    <t>Oil viscosity/Gas viscosity at Psat, cp</t>
  </si>
  <si>
    <t>Rs (scf/stb)</t>
  </si>
  <si>
    <t>Bg at Psat rb/scf</t>
  </si>
  <si>
    <t>Bg at Pres rb/scf</t>
  </si>
  <si>
    <t xml:space="preserve">Bo at Pres (HC Liquid Vol / STB HC Liquid Vol) </t>
  </si>
  <si>
    <t xml:space="preserve">Bo at Psat (HC Liquid Vol / STB HC Liquid Vol) </t>
  </si>
  <si>
    <t>Compressibility 1/psi at Psat</t>
  </si>
  <si>
    <t>BAK</t>
  </si>
  <si>
    <t>MID</t>
  </si>
  <si>
    <t>DEL</t>
  </si>
  <si>
    <t>co_usip</t>
  </si>
  <si>
    <t>SRC</t>
  </si>
  <si>
    <t>B_synth</t>
  </si>
  <si>
    <t>Boi_Pred</t>
  </si>
  <si>
    <t>Bg_Pred</t>
  </si>
  <si>
    <t>Boi_Actual</t>
  </si>
  <si>
    <t>Rel_Error</t>
  </si>
  <si>
    <t>Rs</t>
  </si>
  <si>
    <t>DP</t>
  </si>
  <si>
    <t>Abs_Rel_Error</t>
  </si>
  <si>
    <t>COND_FLAG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</si>
  <si>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</si>
  <si>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</si>
  <si>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</si>
  <si>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</si>
  <si>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</si>
  <si>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</si>
  <si>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</si>
  <si>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</si>
  <si>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</si>
  <si>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</si>
  <si>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</si>
  <si>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</si>
  <si>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</si>
  <si>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</si>
  <si>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</si>
  <si>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</si>
  <si>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ARE</t>
  </si>
  <si>
    <t>dummy1</t>
  </si>
  <si>
    <t>dummy2</t>
  </si>
  <si>
    <t>Cob</t>
  </si>
  <si>
    <t>AARE (%)</t>
  </si>
  <si>
    <t>Paper</t>
  </si>
  <si>
    <t>My Calc Using Paper Coeff's</t>
  </si>
  <si>
    <t>Muob</t>
  </si>
  <si>
    <t>Bob [RB/STB]</t>
  </si>
  <si>
    <t>COUNT</t>
  </si>
  <si>
    <t>Psat</t>
  </si>
  <si>
    <t>Numerator (Pre Raise )</t>
  </si>
  <si>
    <t>Denom (Pre Raise)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</si>
</sst>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000"/>
    <numFmt numFmtId="167" formatCode="0.000000000"/>
    <numFmt numFmtId="171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EMprint"/>
      <family val="2"/>
    </font>
    <font>
      <b/>
      <sz val="11"/>
      <color theme="1"/>
      <name val="EMprint"/>
      <family val="2"/>
    </font>
    <font>
      <sz val="11"/>
      <name val="EMprint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7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1" fillId="0" borderId="0" xfId="0" applyFont="1" applyFill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3" borderId="0" xfId="0" applyFont="1" applyFill="1"/>
    <xf numFmtId="0" fontId="1" fillId="0" borderId="1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2" fillId="4" borderId="0" xfId="0" applyFont="1" applyFill="1" applyAlignment="1">
      <alignment horizontal="center" vertical="center" wrapText="1"/>
    </xf>
    <xf numFmtId="2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2" fillId="4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/>
    <xf numFmtId="2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1" fontId="1" fillId="0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1" fontId="1" fillId="5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1" fontId="3" fillId="5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11" fontId="1" fillId="0" borderId="0" xfId="0" applyNumberFormat="1" applyFont="1"/>
    <xf numFmtId="10" fontId="1" fillId="0" borderId="0" xfId="0" applyNumberFormat="1" applyFont="1" applyFill="1"/>
    <xf numFmtId="10" fontId="1" fillId="0" borderId="0" xfId="0" applyNumberFormat="1" applyFont="1" applyAlignment="1">
      <alignment wrapText="1"/>
    </xf>
    <xf numFmtId="10" fontId="1" fillId="0" borderId="0" xfId="0" applyNumberFormat="1" applyFont="1"/>
    <xf numFmtId="2" fontId="1" fillId="0" borderId="0" xfId="0" applyNumberFormat="1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9" fontId="1" fillId="0" borderId="0" xfId="2" applyFon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2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1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73157687857433E-2"/>
          <c:y val="2.2199223170204795E-2"/>
          <c:w val="0.86337430589772401"/>
          <c:h val="0.84773652938584432"/>
        </c:manualLayout>
      </c:layout>
      <c:scatterChart>
        <c:scatterStyle val="lineMarker"/>
        <c:varyColors val="0"/>
        <c:ser>
          <c:idx val="1"/>
          <c:order val="1"/>
          <c:tx>
            <c:v>co_sat vs GOR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40260054217946E-2"/>
                  <c:y val="0.14245497347613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Data!$D$3:$D$156</c:f>
              <c:numCache>
                <c:formatCode>0</c:formatCode>
                <c:ptCount val="154"/>
                <c:pt idx="0">
                  <c:v>1667.7686823505683</c:v>
                </c:pt>
                <c:pt idx="1">
                  <c:v>3188.8071</c:v>
                </c:pt>
                <c:pt idx="2">
                  <c:v>1133.4462691607539</c:v>
                </c:pt>
                <c:pt idx="3">
                  <c:v>8422.6288999999997</c:v>
                </c:pt>
                <c:pt idx="4">
                  <c:v>1371</c:v>
                </c:pt>
                <c:pt idx="5">
                  <c:v>979</c:v>
                </c:pt>
                <c:pt idx="6">
                  <c:v>1748.1534999999999</c:v>
                </c:pt>
                <c:pt idx="7">
                  <c:v>977</c:v>
                </c:pt>
                <c:pt idx="8">
                  <c:v>224</c:v>
                </c:pt>
                <c:pt idx="9">
                  <c:v>895</c:v>
                </c:pt>
                <c:pt idx="10">
                  <c:v>1179</c:v>
                </c:pt>
                <c:pt idx="11">
                  <c:v>1064</c:v>
                </c:pt>
                <c:pt idx="12">
                  <c:v>1827</c:v>
                </c:pt>
                <c:pt idx="13">
                  <c:v>1633</c:v>
                </c:pt>
                <c:pt idx="14">
                  <c:v>1921.8963562753036</c:v>
                </c:pt>
                <c:pt idx="15">
                  <c:v>564</c:v>
                </c:pt>
                <c:pt idx="16">
                  <c:v>1226</c:v>
                </c:pt>
                <c:pt idx="17">
                  <c:v>848</c:v>
                </c:pt>
                <c:pt idx="18">
                  <c:v>840</c:v>
                </c:pt>
                <c:pt idx="19">
                  <c:v>743</c:v>
                </c:pt>
                <c:pt idx="20">
                  <c:v>975</c:v>
                </c:pt>
                <c:pt idx="21">
                  <c:v>2124</c:v>
                </c:pt>
                <c:pt idx="22">
                  <c:v>4971.75</c:v>
                </c:pt>
                <c:pt idx="23">
                  <c:v>2645</c:v>
                </c:pt>
                <c:pt idx="24">
                  <c:v>4389.2539999999999</c:v>
                </c:pt>
                <c:pt idx="25">
                  <c:v>2393</c:v>
                </c:pt>
                <c:pt idx="26">
                  <c:v>2261</c:v>
                </c:pt>
                <c:pt idx="27">
                  <c:v>1598</c:v>
                </c:pt>
                <c:pt idx="28">
                  <c:v>2689</c:v>
                </c:pt>
                <c:pt idx="29">
                  <c:v>2072</c:v>
                </c:pt>
                <c:pt idx="30">
                  <c:v>1776</c:v>
                </c:pt>
                <c:pt idx="31">
                  <c:v>1786</c:v>
                </c:pt>
                <c:pt idx="32">
                  <c:v>2247</c:v>
                </c:pt>
                <c:pt idx="33">
                  <c:v>2196</c:v>
                </c:pt>
                <c:pt idx="34">
                  <c:v>1455</c:v>
                </c:pt>
                <c:pt idx="35">
                  <c:v>761</c:v>
                </c:pt>
                <c:pt idx="36">
                  <c:v>694</c:v>
                </c:pt>
                <c:pt idx="37">
                  <c:v>1193</c:v>
                </c:pt>
                <c:pt idx="38">
                  <c:v>2539</c:v>
                </c:pt>
                <c:pt idx="39">
                  <c:v>1311</c:v>
                </c:pt>
                <c:pt idx="40">
                  <c:v>7104</c:v>
                </c:pt>
                <c:pt idx="41">
                  <c:v>1583</c:v>
                </c:pt>
                <c:pt idx="42">
                  <c:v>1562</c:v>
                </c:pt>
                <c:pt idx="43">
                  <c:v>1992</c:v>
                </c:pt>
                <c:pt idx="44">
                  <c:v>9489.9</c:v>
                </c:pt>
                <c:pt idx="45">
                  <c:v>1537</c:v>
                </c:pt>
                <c:pt idx="46">
                  <c:v>1902.8279498619736</c:v>
                </c:pt>
                <c:pt idx="47">
                  <c:v>1611</c:v>
                </c:pt>
                <c:pt idx="48">
                  <c:v>7030.6531000000004</c:v>
                </c:pt>
                <c:pt idx="49">
                  <c:v>1106</c:v>
                </c:pt>
                <c:pt idx="50">
                  <c:v>716</c:v>
                </c:pt>
                <c:pt idx="51">
                  <c:v>8467.7186000000002</c:v>
                </c:pt>
                <c:pt idx="52">
                  <c:v>2583</c:v>
                </c:pt>
                <c:pt idx="53">
                  <c:v>2592.8721580424876</c:v>
                </c:pt>
                <c:pt idx="54">
                  <c:v>4009.4260000000004</c:v>
                </c:pt>
                <c:pt idx="55">
                  <c:v>3940.8596000000002</c:v>
                </c:pt>
                <c:pt idx="56">
                  <c:v>12038.6284</c:v>
                </c:pt>
                <c:pt idx="57">
                  <c:v>4248.6336000000001</c:v>
                </c:pt>
                <c:pt idx="58">
                  <c:v>4371.3931999999995</c:v>
                </c:pt>
                <c:pt idx="59">
                  <c:v>6617.7096000000001</c:v>
                </c:pt>
                <c:pt idx="60">
                  <c:v>5073.28</c:v>
                </c:pt>
                <c:pt idx="61">
                  <c:v>11050.2042</c:v>
                </c:pt>
                <c:pt idx="62">
                  <c:v>2643.5792999999999</c:v>
                </c:pt>
                <c:pt idx="63">
                  <c:v>1964</c:v>
                </c:pt>
                <c:pt idx="64">
                  <c:v>1928</c:v>
                </c:pt>
                <c:pt idx="65">
                  <c:v>1022</c:v>
                </c:pt>
                <c:pt idx="66">
                  <c:v>1190</c:v>
                </c:pt>
                <c:pt idx="67">
                  <c:v>1858</c:v>
                </c:pt>
                <c:pt idx="68">
                  <c:v>1235</c:v>
                </c:pt>
                <c:pt idx="69">
                  <c:v>338</c:v>
                </c:pt>
                <c:pt idx="70">
                  <c:v>8958.5512999999992</c:v>
                </c:pt>
                <c:pt idx="71">
                  <c:v>4210.3598999999995</c:v>
                </c:pt>
                <c:pt idx="72">
                  <c:v>5154.8473999999997</c:v>
                </c:pt>
                <c:pt idx="73">
                  <c:v>1784</c:v>
                </c:pt>
                <c:pt idx="74">
                  <c:v>2615</c:v>
                </c:pt>
                <c:pt idx="75">
                  <c:v>2206</c:v>
                </c:pt>
                <c:pt idx="76">
                  <c:v>6348.9564</c:v>
                </c:pt>
                <c:pt idx="77">
                  <c:v>2870</c:v>
                </c:pt>
                <c:pt idx="78">
                  <c:v>3786</c:v>
                </c:pt>
                <c:pt idx="79">
                  <c:v>3878</c:v>
                </c:pt>
                <c:pt idx="80">
                  <c:v>9499.6735000000008</c:v>
                </c:pt>
                <c:pt idx="81">
                  <c:v>14937.022400000002</c:v>
                </c:pt>
                <c:pt idx="82">
                  <c:v>1925</c:v>
                </c:pt>
                <c:pt idx="83">
                  <c:v>1573</c:v>
                </c:pt>
                <c:pt idx="84">
                  <c:v>1303</c:v>
                </c:pt>
                <c:pt idx="85">
                  <c:v>3198</c:v>
                </c:pt>
                <c:pt idx="86">
                  <c:v>15090.0604</c:v>
                </c:pt>
                <c:pt idx="87">
                  <c:v>3019.0898226608274</c:v>
                </c:pt>
                <c:pt idx="88">
                  <c:v>897</c:v>
                </c:pt>
                <c:pt idx="89">
                  <c:v>1230</c:v>
                </c:pt>
                <c:pt idx="90">
                  <c:v>2143</c:v>
                </c:pt>
                <c:pt idx="91">
                  <c:v>1335</c:v>
                </c:pt>
                <c:pt idx="92">
                  <c:v>1882</c:v>
                </c:pt>
                <c:pt idx="93">
                  <c:v>2038</c:v>
                </c:pt>
                <c:pt idx="94">
                  <c:v>1759</c:v>
                </c:pt>
                <c:pt idx="95">
                  <c:v>2163</c:v>
                </c:pt>
                <c:pt idx="96">
                  <c:v>2369</c:v>
                </c:pt>
                <c:pt idx="97">
                  <c:v>10964.788499999999</c:v>
                </c:pt>
                <c:pt idx="98">
                  <c:v>5720.1431999999995</c:v>
                </c:pt>
                <c:pt idx="99" formatCode="General">
                  <c:v>2453</c:v>
                </c:pt>
                <c:pt idx="100">
                  <c:v>2179.0347581216583</c:v>
                </c:pt>
                <c:pt idx="101" formatCode="General">
                  <c:v>2238</c:v>
                </c:pt>
                <c:pt idx="102" formatCode="General">
                  <c:v>1973</c:v>
                </c:pt>
                <c:pt idx="103">
                  <c:v>1315</c:v>
                </c:pt>
                <c:pt idx="104">
                  <c:v>1883.8370124237647</c:v>
                </c:pt>
                <c:pt idx="105">
                  <c:v>1077</c:v>
                </c:pt>
                <c:pt idx="106">
                  <c:v>828</c:v>
                </c:pt>
                <c:pt idx="107">
                  <c:v>824</c:v>
                </c:pt>
                <c:pt idx="108">
                  <c:v>878</c:v>
                </c:pt>
                <c:pt idx="109">
                  <c:v>461</c:v>
                </c:pt>
                <c:pt idx="110">
                  <c:v>441</c:v>
                </c:pt>
                <c:pt idx="111">
                  <c:v>1428</c:v>
                </c:pt>
                <c:pt idx="112">
                  <c:v>1124</c:v>
                </c:pt>
                <c:pt idx="113">
                  <c:v>1178</c:v>
                </c:pt>
                <c:pt idx="114">
                  <c:v>440</c:v>
                </c:pt>
                <c:pt idx="115">
                  <c:v>1477</c:v>
                </c:pt>
                <c:pt idx="116">
                  <c:v>933</c:v>
                </c:pt>
                <c:pt idx="117">
                  <c:v>1482</c:v>
                </c:pt>
                <c:pt idx="118">
                  <c:v>1010</c:v>
                </c:pt>
                <c:pt idx="119">
                  <c:v>872</c:v>
                </c:pt>
                <c:pt idx="120">
                  <c:v>779</c:v>
                </c:pt>
                <c:pt idx="121">
                  <c:v>1147</c:v>
                </c:pt>
                <c:pt idx="122">
                  <c:v>734</c:v>
                </c:pt>
                <c:pt idx="123">
                  <c:v>1908</c:v>
                </c:pt>
                <c:pt idx="124">
                  <c:v>1446</c:v>
                </c:pt>
                <c:pt idx="125">
                  <c:v>1062</c:v>
                </c:pt>
                <c:pt idx="126">
                  <c:v>1028</c:v>
                </c:pt>
                <c:pt idx="127">
                  <c:v>875.9778633928637</c:v>
                </c:pt>
                <c:pt idx="128">
                  <c:v>878.71586985293175</c:v>
                </c:pt>
                <c:pt idx="129">
                  <c:v>893.50580230451294</c:v>
                </c:pt>
                <c:pt idx="130">
                  <c:v>819.2574068129552</c:v>
                </c:pt>
                <c:pt idx="131">
                  <c:v>1014.8050338327058</c:v>
                </c:pt>
                <c:pt idx="132">
                  <c:v>1316.8520531613119</c:v>
                </c:pt>
                <c:pt idx="133">
                  <c:v>1309.5712971320097</c:v>
                </c:pt>
                <c:pt idx="134">
                  <c:v>1255.9824334889472</c:v>
                </c:pt>
                <c:pt idx="135">
                  <c:v>1662.9066039752083</c:v>
                </c:pt>
                <c:pt idx="136">
                  <c:v>926.67416705051619</c:v>
                </c:pt>
                <c:pt idx="137">
                  <c:v>1669.824655779699</c:v>
                </c:pt>
                <c:pt idx="138">
                  <c:v>1078.8275574104816</c:v>
                </c:pt>
                <c:pt idx="139">
                  <c:v>656</c:v>
                </c:pt>
                <c:pt idx="140">
                  <c:v>1454</c:v>
                </c:pt>
                <c:pt idx="141">
                  <c:v>2205.9741313164527</c:v>
                </c:pt>
                <c:pt idx="142">
                  <c:v>2185.1652241112824</c:v>
                </c:pt>
                <c:pt idx="143">
                  <c:v>1317.9111629386198</c:v>
                </c:pt>
                <c:pt idx="144">
                  <c:v>1300.3197900526727</c:v>
                </c:pt>
                <c:pt idx="145">
                  <c:v>1220.3824306769673</c:v>
                </c:pt>
                <c:pt idx="146">
                  <c:v>2716.0284119008852</c:v>
                </c:pt>
                <c:pt idx="147">
                  <c:v>997</c:v>
                </c:pt>
                <c:pt idx="148">
                  <c:v>847.10507033279407</c:v>
                </c:pt>
                <c:pt idx="149">
                  <c:v>1471.8214907124384</c:v>
                </c:pt>
                <c:pt idx="150">
                  <c:v>1195.9951434878585</c:v>
                </c:pt>
                <c:pt idx="151">
                  <c:v>1302.9698972755696</c:v>
                </c:pt>
                <c:pt idx="152">
                  <c:v>1290.7743124026983</c:v>
                </c:pt>
                <c:pt idx="153">
                  <c:v>1830</c:v>
                </c:pt>
              </c:numCache>
            </c:numRef>
          </c:xVal>
          <c:yVal>
            <c:numRef>
              <c:f>Data!$P$3:$P$156</c:f>
              <c:numCache>
                <c:formatCode>0.00E+00</c:formatCode>
                <c:ptCount val="154"/>
                <c:pt idx="0">
                  <c:v>25.861872746664798</c:v>
                </c:pt>
                <c:pt idx="1">
                  <c:v>29.828500000000002</c:v>
                </c:pt>
                <c:pt idx="2">
                  <c:v>17.811199999999999</c:v>
                </c:pt>
                <c:pt idx="3">
                  <c:v>61.831550802139141</c:v>
                </c:pt>
                <c:pt idx="4">
                  <c:v>20.641000000000002</c:v>
                </c:pt>
                <c:pt idx="5">
                  <c:v>18.4603</c:v>
                </c:pt>
                <c:pt idx="6">
                  <c:v>22.1206</c:v>
                </c:pt>
                <c:pt idx="7">
                  <c:v>15.4185158706069</c:v>
                </c:pt>
                <c:pt idx="8">
                  <c:v>10.3558</c:v>
                </c:pt>
                <c:pt idx="9">
                  <c:v>17.227399999999999</c:v>
                </c:pt>
                <c:pt idx="10">
                  <c:v>17.947059986285069</c:v>
                </c:pt>
                <c:pt idx="11">
                  <c:v>17.852200000000003</c:v>
                </c:pt>
                <c:pt idx="12">
                  <c:v>30.246998091170202</c:v>
                </c:pt>
                <c:pt idx="13">
                  <c:v>28.6722</c:v>
                </c:pt>
                <c:pt idx="14">
                  <c:v>26.29</c:v>
                </c:pt>
                <c:pt idx="15">
                  <c:v>12.2088</c:v>
                </c:pt>
                <c:pt idx="16">
                  <c:v>18.875599999999999</c:v>
                </c:pt>
                <c:pt idx="17">
                  <c:v>13.5686</c:v>
                </c:pt>
                <c:pt idx="18">
                  <c:v>14.694800000000001</c:v>
                </c:pt>
                <c:pt idx="19">
                  <c:v>13.7521</c:v>
                </c:pt>
                <c:pt idx="20">
                  <c:v>16.968699999999998</c:v>
                </c:pt>
                <c:pt idx="21">
                  <c:v>37.546883008720918</c:v>
                </c:pt>
                <c:pt idx="22">
                  <c:v>45.710145927484639</c:v>
                </c:pt>
                <c:pt idx="23">
                  <c:v>33.244699999999995</c:v>
                </c:pt>
                <c:pt idx="24">
                  <c:v>44.658484555745012</c:v>
                </c:pt>
                <c:pt idx="25">
                  <c:v>32.993586346309897</c:v>
                </c:pt>
                <c:pt idx="26">
                  <c:v>29.787800000000001</c:v>
                </c:pt>
                <c:pt idx="27">
                  <c:v>21.097100000000001</c:v>
                </c:pt>
                <c:pt idx="28">
                  <c:v>38.010199999999998</c:v>
                </c:pt>
                <c:pt idx="29">
                  <c:v>29.7226</c:v>
                </c:pt>
                <c:pt idx="30">
                  <c:v>22.328200000000002</c:v>
                </c:pt>
                <c:pt idx="31">
                  <c:v>24.075399999999998</c:v>
                </c:pt>
                <c:pt idx="32">
                  <c:v>31.637200000000004</c:v>
                </c:pt>
                <c:pt idx="33">
                  <c:v>30.255000000000003</c:v>
                </c:pt>
                <c:pt idx="34">
                  <c:v>20.632899999999999</c:v>
                </c:pt>
                <c:pt idx="35">
                  <c:v>13.774100000000001</c:v>
                </c:pt>
                <c:pt idx="36">
                  <c:v>14.6343</c:v>
                </c:pt>
                <c:pt idx="37">
                  <c:v>20.536100000000001</c:v>
                </c:pt>
                <c:pt idx="38">
                  <c:v>27.0824</c:v>
                </c:pt>
                <c:pt idx="39">
                  <c:v>20.366100000000003</c:v>
                </c:pt>
                <c:pt idx="40">
                  <c:v>75.153502924252678</c:v>
                </c:pt>
                <c:pt idx="41">
                  <c:v>21.942399999999999</c:v>
                </c:pt>
                <c:pt idx="42">
                  <c:v>23.057500000000001</c:v>
                </c:pt>
                <c:pt idx="43">
                  <c:v>22.232000608155797</c:v>
                </c:pt>
                <c:pt idx="44">
                  <c:v>66.363559345965626</c:v>
                </c:pt>
                <c:pt idx="45">
                  <c:v>20.970200000000002</c:v>
                </c:pt>
                <c:pt idx="46">
                  <c:v>28.958600000000001</c:v>
                </c:pt>
                <c:pt idx="47">
                  <c:v>24.1219</c:v>
                </c:pt>
                <c:pt idx="48">
                  <c:v>38.767352612879179</c:v>
                </c:pt>
                <c:pt idx="49">
                  <c:v>16.000600000000002</c:v>
                </c:pt>
                <c:pt idx="50">
                  <c:v>14.000999999999999</c:v>
                </c:pt>
                <c:pt idx="51">
                  <c:v>61.927960315292786</c:v>
                </c:pt>
                <c:pt idx="52">
                  <c:v>39.792000000000002</c:v>
                </c:pt>
                <c:pt idx="53">
                  <c:v>37.7515</c:v>
                </c:pt>
                <c:pt idx="54">
                  <c:v>47.141591724124225</c:v>
                </c:pt>
                <c:pt idx="55">
                  <c:v>44.855980263368579</c:v>
                </c:pt>
                <c:pt idx="56">
                  <c:v>76.181920712299814</c:v>
                </c:pt>
                <c:pt idx="57">
                  <c:v>54.289961100979873</c:v>
                </c:pt>
                <c:pt idx="58">
                  <c:v>60.875900129307915</c:v>
                </c:pt>
                <c:pt idx="59">
                  <c:v>57.69659259866566</c:v>
                </c:pt>
                <c:pt idx="60">
                  <c:v>58.237185326586591</c:v>
                </c:pt>
                <c:pt idx="61">
                  <c:v>75.223557651672522</c:v>
                </c:pt>
                <c:pt idx="62">
                  <c:v>37.600299999999997</c:v>
                </c:pt>
                <c:pt idx="63">
                  <c:v>24.625700000000002</c:v>
                </c:pt>
                <c:pt idx="64">
                  <c:v>30.369199999999999</c:v>
                </c:pt>
                <c:pt idx="65">
                  <c:v>17.276700000000002</c:v>
                </c:pt>
                <c:pt idx="66">
                  <c:v>20.018016214593398</c:v>
                </c:pt>
                <c:pt idx="67">
                  <c:v>24.649699999999999</c:v>
                </c:pt>
                <c:pt idx="68">
                  <c:v>19.306598903568972</c:v>
                </c:pt>
                <c:pt idx="69">
                  <c:v>13.618399999999999</c:v>
                </c:pt>
                <c:pt idx="70">
                  <c:v>58.542578969883252</c:v>
                </c:pt>
                <c:pt idx="71">
                  <c:v>49.084457480247508</c:v>
                </c:pt>
                <c:pt idx="72">
                  <c:v>55.507535049465318</c:v>
                </c:pt>
                <c:pt idx="73">
                  <c:v>28.805299999999999</c:v>
                </c:pt>
                <c:pt idx="74">
                  <c:v>35.503</c:v>
                </c:pt>
                <c:pt idx="75">
                  <c:v>32.677395172111211</c:v>
                </c:pt>
                <c:pt idx="76">
                  <c:v>52.520973167628995</c:v>
                </c:pt>
                <c:pt idx="77">
                  <c:v>39.453414659042238</c:v>
                </c:pt>
                <c:pt idx="78">
                  <c:v>70.318049317459582</c:v>
                </c:pt>
                <c:pt idx="79">
                  <c:v>51.2864</c:v>
                </c:pt>
                <c:pt idx="80">
                  <c:v>65.297767629066357</c:v>
                </c:pt>
                <c:pt idx="81">
                  <c:v>95.971359558316166</c:v>
                </c:pt>
                <c:pt idx="82">
                  <c:v>27.06406778805</c:v>
                </c:pt>
                <c:pt idx="83">
                  <c:v>27.552</c:v>
                </c:pt>
                <c:pt idx="84">
                  <c:v>24.730800000000002</c:v>
                </c:pt>
                <c:pt idx="85">
                  <c:v>41.775112387656399</c:v>
                </c:pt>
                <c:pt idx="86">
                  <c:v>45.773174304247888</c:v>
                </c:pt>
                <c:pt idx="87">
                  <c:v>44.029273699827719</c:v>
                </c:pt>
                <c:pt idx="88">
                  <c:v>18.600000000000001</c:v>
                </c:pt>
                <c:pt idx="89">
                  <c:v>23.399999999999995</c:v>
                </c:pt>
                <c:pt idx="90">
                  <c:v>25.0258</c:v>
                </c:pt>
                <c:pt idx="91">
                  <c:v>20.558</c:v>
                </c:pt>
                <c:pt idx="92">
                  <c:v>27.320860476648598</c:v>
                </c:pt>
                <c:pt idx="93">
                  <c:v>24.738317170880354</c:v>
                </c:pt>
                <c:pt idx="94">
                  <c:v>25.837527208457164</c:v>
                </c:pt>
                <c:pt idx="95">
                  <c:v>30.348992576962502</c:v>
                </c:pt>
                <c:pt idx="96">
                  <c:v>32.977396396851702</c:v>
                </c:pt>
                <c:pt idx="97">
                  <c:v>59.073348772862545</c:v>
                </c:pt>
                <c:pt idx="98">
                  <c:v>62.389860005910776</c:v>
                </c:pt>
                <c:pt idx="99">
                  <c:v>34.219600381535102</c:v>
                </c:pt>
                <c:pt idx="100">
                  <c:v>29.3018</c:v>
                </c:pt>
                <c:pt idx="101">
                  <c:v>34.412219858609198</c:v>
                </c:pt>
                <c:pt idx="102">
                  <c:v>23.988000000000003</c:v>
                </c:pt>
                <c:pt idx="103">
                  <c:v>13.5736506880662</c:v>
                </c:pt>
                <c:pt idx="104">
                  <c:v>16.84</c:v>
                </c:pt>
                <c:pt idx="105">
                  <c:v>12.18733089187136</c:v>
                </c:pt>
                <c:pt idx="106">
                  <c:v>11.764543174783324</c:v>
                </c:pt>
                <c:pt idx="107">
                  <c:v>11.135223596978101</c:v>
                </c:pt>
                <c:pt idx="108">
                  <c:v>12.3589010327442</c:v>
                </c:pt>
                <c:pt idx="109">
                  <c:v>8.34</c:v>
                </c:pt>
                <c:pt idx="110">
                  <c:v>8.8419999999999987</c:v>
                </c:pt>
                <c:pt idx="111">
                  <c:v>12.9747949764333</c:v>
                </c:pt>
                <c:pt idx="112">
                  <c:v>12.3492033978367</c:v>
                </c:pt>
                <c:pt idx="113">
                  <c:v>12.937006721061701</c:v>
                </c:pt>
                <c:pt idx="114">
                  <c:v>7.8406999999999991</c:v>
                </c:pt>
                <c:pt idx="115">
                  <c:v>13.3689711230295</c:v>
                </c:pt>
                <c:pt idx="116">
                  <c:v>10.3509031269858</c:v>
                </c:pt>
                <c:pt idx="117">
                  <c:v>13.6840244771081</c:v>
                </c:pt>
                <c:pt idx="118">
                  <c:v>11.9997221381849</c:v>
                </c:pt>
                <c:pt idx="119">
                  <c:v>12.483066538382099</c:v>
                </c:pt>
                <c:pt idx="120">
                  <c:v>11.3891928347361</c:v>
                </c:pt>
                <c:pt idx="121">
                  <c:v>10.355057978956001</c:v>
                </c:pt>
                <c:pt idx="122">
                  <c:v>8.9183311020334788</c:v>
                </c:pt>
                <c:pt idx="123">
                  <c:v>13.2050964869255</c:v>
                </c:pt>
                <c:pt idx="124">
                  <c:v>12.663605579472001</c:v>
                </c:pt>
                <c:pt idx="125">
                  <c:v>14.3895</c:v>
                </c:pt>
                <c:pt idx="126">
                  <c:v>10.129999999999999</c:v>
                </c:pt>
                <c:pt idx="127">
                  <c:v>12.567876612644101</c:v>
                </c:pt>
                <c:pt idx="128">
                  <c:v>12.270322886207973</c:v>
                </c:pt>
                <c:pt idx="129">
                  <c:v>15.213107546419977</c:v>
                </c:pt>
                <c:pt idx="130">
                  <c:v>10.809348749147171</c:v>
                </c:pt>
                <c:pt idx="131">
                  <c:v>12.104800478043099</c:v>
                </c:pt>
                <c:pt idx="132">
                  <c:v>14.761725370070495</c:v>
                </c:pt>
                <c:pt idx="133">
                  <c:v>13.256093623020083</c:v>
                </c:pt>
                <c:pt idx="134">
                  <c:v>13.013815190895386</c:v>
                </c:pt>
                <c:pt idx="135">
                  <c:v>14.044040777892233</c:v>
                </c:pt>
                <c:pt idx="136">
                  <c:v>15.033540944251211</c:v>
                </c:pt>
                <c:pt idx="137">
                  <c:v>15.8487149214415</c:v>
                </c:pt>
                <c:pt idx="138">
                  <c:v>12.428042054759199</c:v>
                </c:pt>
                <c:pt idx="139">
                  <c:v>10.779500000000001</c:v>
                </c:pt>
                <c:pt idx="140">
                  <c:v>52.866</c:v>
                </c:pt>
                <c:pt idx="141">
                  <c:v>52.415779308568403</c:v>
                </c:pt>
                <c:pt idx="142">
                  <c:v>56.315497084457199</c:v>
                </c:pt>
                <c:pt idx="143">
                  <c:v>30.711608145691098</c:v>
                </c:pt>
                <c:pt idx="144">
                  <c:v>36.631766113990899</c:v>
                </c:pt>
                <c:pt idx="145">
                  <c:v>35.836299846315903</c:v>
                </c:pt>
                <c:pt idx="146">
                  <c:v>60.317517366866589</c:v>
                </c:pt>
                <c:pt idx="147">
                  <c:v>26.910915673748292</c:v>
                </c:pt>
                <c:pt idx="148">
                  <c:v>20.657461797034198</c:v>
                </c:pt>
                <c:pt idx="149">
                  <c:v>34.819690765204093</c:v>
                </c:pt>
                <c:pt idx="150">
                  <c:v>26.646440917223092</c:v>
                </c:pt>
                <c:pt idx="151">
                  <c:v>33.405927508536401</c:v>
                </c:pt>
                <c:pt idx="152">
                  <c:v>29.842397655878901</c:v>
                </c:pt>
                <c:pt idx="153">
                  <c:v>40.392901023486175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7F-4376-A5B3-3F0982A7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27423"/>
        <c:axId val="502327839"/>
      </c:scatterChart>
      <c:scatterChart>
        <c:scatterStyle val="lineMarker"/>
        <c:varyColors val="0"/>
        <c:ser>
          <c:idx val="0"/>
          <c:order val="0"/>
          <c:tx>
            <c:v>muob vs GOR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072847752391181"/>
                  <c:y val="-8.4951040145634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Data!$D$3:$D$156</c:f>
              <c:numCache>
                <c:formatCode>0</c:formatCode>
                <c:ptCount val="154"/>
                <c:pt idx="0">
                  <c:v>1667.7686823505683</c:v>
                </c:pt>
                <c:pt idx="1">
                  <c:v>3188.8071</c:v>
                </c:pt>
                <c:pt idx="2">
                  <c:v>1133.4462691607539</c:v>
                </c:pt>
                <c:pt idx="3">
                  <c:v>8422.6288999999997</c:v>
                </c:pt>
                <c:pt idx="4">
                  <c:v>1371</c:v>
                </c:pt>
                <c:pt idx="5">
                  <c:v>979</c:v>
                </c:pt>
                <c:pt idx="6">
                  <c:v>1748.1534999999999</c:v>
                </c:pt>
                <c:pt idx="7">
                  <c:v>977</c:v>
                </c:pt>
                <c:pt idx="8">
                  <c:v>224</c:v>
                </c:pt>
                <c:pt idx="9">
                  <c:v>895</c:v>
                </c:pt>
                <c:pt idx="10">
                  <c:v>1179</c:v>
                </c:pt>
                <c:pt idx="11">
                  <c:v>1064</c:v>
                </c:pt>
                <c:pt idx="12">
                  <c:v>1827</c:v>
                </c:pt>
                <c:pt idx="13">
                  <c:v>1633</c:v>
                </c:pt>
                <c:pt idx="14">
                  <c:v>1921.8963562753036</c:v>
                </c:pt>
                <c:pt idx="15">
                  <c:v>564</c:v>
                </c:pt>
                <c:pt idx="16">
                  <c:v>1226</c:v>
                </c:pt>
                <c:pt idx="17">
                  <c:v>848</c:v>
                </c:pt>
                <c:pt idx="18">
                  <c:v>840</c:v>
                </c:pt>
                <c:pt idx="19">
                  <c:v>743</c:v>
                </c:pt>
                <c:pt idx="20">
                  <c:v>975</c:v>
                </c:pt>
                <c:pt idx="21">
                  <c:v>2124</c:v>
                </c:pt>
                <c:pt idx="22">
                  <c:v>4971.75</c:v>
                </c:pt>
                <c:pt idx="23">
                  <c:v>2645</c:v>
                </c:pt>
                <c:pt idx="24">
                  <c:v>4389.2539999999999</c:v>
                </c:pt>
                <c:pt idx="25">
                  <c:v>2393</c:v>
                </c:pt>
                <c:pt idx="26">
                  <c:v>2261</c:v>
                </c:pt>
                <c:pt idx="27">
                  <c:v>1598</c:v>
                </c:pt>
                <c:pt idx="28">
                  <c:v>2689</c:v>
                </c:pt>
                <c:pt idx="29">
                  <c:v>2072</c:v>
                </c:pt>
                <c:pt idx="30">
                  <c:v>1776</c:v>
                </c:pt>
                <c:pt idx="31">
                  <c:v>1786</c:v>
                </c:pt>
                <c:pt idx="32">
                  <c:v>2247</c:v>
                </c:pt>
                <c:pt idx="33">
                  <c:v>2196</c:v>
                </c:pt>
                <c:pt idx="34">
                  <c:v>1455</c:v>
                </c:pt>
                <c:pt idx="35">
                  <c:v>761</c:v>
                </c:pt>
                <c:pt idx="36">
                  <c:v>694</c:v>
                </c:pt>
                <c:pt idx="37">
                  <c:v>1193</c:v>
                </c:pt>
                <c:pt idx="38">
                  <c:v>2539</c:v>
                </c:pt>
                <c:pt idx="39">
                  <c:v>1311</c:v>
                </c:pt>
                <c:pt idx="40">
                  <c:v>7104</c:v>
                </c:pt>
                <c:pt idx="41">
                  <c:v>1583</c:v>
                </c:pt>
                <c:pt idx="42">
                  <c:v>1562</c:v>
                </c:pt>
                <c:pt idx="43">
                  <c:v>1992</c:v>
                </c:pt>
                <c:pt idx="44">
                  <c:v>9489.9</c:v>
                </c:pt>
                <c:pt idx="45">
                  <c:v>1537</c:v>
                </c:pt>
                <c:pt idx="46">
                  <c:v>1902.8279498619736</c:v>
                </c:pt>
                <c:pt idx="47">
                  <c:v>1611</c:v>
                </c:pt>
                <c:pt idx="48">
                  <c:v>7030.6531000000004</c:v>
                </c:pt>
                <c:pt idx="49">
                  <c:v>1106</c:v>
                </c:pt>
                <c:pt idx="50">
                  <c:v>716</c:v>
                </c:pt>
                <c:pt idx="51">
                  <c:v>8467.7186000000002</c:v>
                </c:pt>
                <c:pt idx="52">
                  <c:v>2583</c:v>
                </c:pt>
                <c:pt idx="53">
                  <c:v>2592.8721580424876</c:v>
                </c:pt>
                <c:pt idx="54">
                  <c:v>4009.4260000000004</c:v>
                </c:pt>
                <c:pt idx="55">
                  <c:v>3940.8596000000002</c:v>
                </c:pt>
                <c:pt idx="56">
                  <c:v>12038.6284</c:v>
                </c:pt>
                <c:pt idx="57">
                  <c:v>4248.6336000000001</c:v>
                </c:pt>
                <c:pt idx="58">
                  <c:v>4371.3931999999995</c:v>
                </c:pt>
                <c:pt idx="59">
                  <c:v>6617.7096000000001</c:v>
                </c:pt>
                <c:pt idx="60">
                  <c:v>5073.28</c:v>
                </c:pt>
                <c:pt idx="61">
                  <c:v>11050.2042</c:v>
                </c:pt>
                <c:pt idx="62">
                  <c:v>2643.5792999999999</c:v>
                </c:pt>
                <c:pt idx="63">
                  <c:v>1964</c:v>
                </c:pt>
                <c:pt idx="64">
                  <c:v>1928</c:v>
                </c:pt>
                <c:pt idx="65">
                  <c:v>1022</c:v>
                </c:pt>
                <c:pt idx="66">
                  <c:v>1190</c:v>
                </c:pt>
                <c:pt idx="67">
                  <c:v>1858</c:v>
                </c:pt>
                <c:pt idx="68">
                  <c:v>1235</c:v>
                </c:pt>
                <c:pt idx="69">
                  <c:v>338</c:v>
                </c:pt>
                <c:pt idx="70">
                  <c:v>8958.5512999999992</c:v>
                </c:pt>
                <c:pt idx="71">
                  <c:v>4210.3598999999995</c:v>
                </c:pt>
                <c:pt idx="72">
                  <c:v>5154.8473999999997</c:v>
                </c:pt>
                <c:pt idx="73">
                  <c:v>1784</c:v>
                </c:pt>
                <c:pt idx="74">
                  <c:v>2615</c:v>
                </c:pt>
                <c:pt idx="75">
                  <c:v>2206</c:v>
                </c:pt>
                <c:pt idx="76">
                  <c:v>6348.9564</c:v>
                </c:pt>
                <c:pt idx="77">
                  <c:v>2870</c:v>
                </c:pt>
                <c:pt idx="78">
                  <c:v>3786</c:v>
                </c:pt>
                <c:pt idx="79">
                  <c:v>3878</c:v>
                </c:pt>
                <c:pt idx="80">
                  <c:v>9499.6735000000008</c:v>
                </c:pt>
                <c:pt idx="81">
                  <c:v>14937.022400000002</c:v>
                </c:pt>
                <c:pt idx="82">
                  <c:v>1925</c:v>
                </c:pt>
                <c:pt idx="83">
                  <c:v>1573</c:v>
                </c:pt>
                <c:pt idx="84">
                  <c:v>1303</c:v>
                </c:pt>
                <c:pt idx="85">
                  <c:v>3198</c:v>
                </c:pt>
                <c:pt idx="86">
                  <c:v>15090.0604</c:v>
                </c:pt>
                <c:pt idx="87">
                  <c:v>3019.0898226608274</c:v>
                </c:pt>
                <c:pt idx="88">
                  <c:v>897</c:v>
                </c:pt>
                <c:pt idx="89">
                  <c:v>1230</c:v>
                </c:pt>
                <c:pt idx="90">
                  <c:v>2143</c:v>
                </c:pt>
                <c:pt idx="91">
                  <c:v>1335</c:v>
                </c:pt>
                <c:pt idx="92">
                  <c:v>1882</c:v>
                </c:pt>
                <c:pt idx="93">
                  <c:v>2038</c:v>
                </c:pt>
                <c:pt idx="94">
                  <c:v>1759</c:v>
                </c:pt>
                <c:pt idx="95">
                  <c:v>2163</c:v>
                </c:pt>
                <c:pt idx="96">
                  <c:v>2369</c:v>
                </c:pt>
                <c:pt idx="97">
                  <c:v>10964.788499999999</c:v>
                </c:pt>
                <c:pt idx="98">
                  <c:v>5720.1431999999995</c:v>
                </c:pt>
                <c:pt idx="99" formatCode="General">
                  <c:v>2453</c:v>
                </c:pt>
                <c:pt idx="100">
                  <c:v>2179.0347581216583</c:v>
                </c:pt>
                <c:pt idx="101" formatCode="General">
                  <c:v>2238</c:v>
                </c:pt>
                <c:pt idx="102" formatCode="General">
                  <c:v>1973</c:v>
                </c:pt>
                <c:pt idx="103">
                  <c:v>1315</c:v>
                </c:pt>
                <c:pt idx="104">
                  <c:v>1883.8370124237647</c:v>
                </c:pt>
                <c:pt idx="105">
                  <c:v>1077</c:v>
                </c:pt>
                <c:pt idx="106">
                  <c:v>828</c:v>
                </c:pt>
                <c:pt idx="107">
                  <c:v>824</c:v>
                </c:pt>
                <c:pt idx="108">
                  <c:v>878</c:v>
                </c:pt>
                <c:pt idx="109">
                  <c:v>461</c:v>
                </c:pt>
                <c:pt idx="110">
                  <c:v>441</c:v>
                </c:pt>
                <c:pt idx="111">
                  <c:v>1428</c:v>
                </c:pt>
                <c:pt idx="112">
                  <c:v>1124</c:v>
                </c:pt>
                <c:pt idx="113">
                  <c:v>1178</c:v>
                </c:pt>
                <c:pt idx="114">
                  <c:v>440</c:v>
                </c:pt>
                <c:pt idx="115">
                  <c:v>1477</c:v>
                </c:pt>
                <c:pt idx="116">
                  <c:v>933</c:v>
                </c:pt>
                <c:pt idx="117">
                  <c:v>1482</c:v>
                </c:pt>
                <c:pt idx="118">
                  <c:v>1010</c:v>
                </c:pt>
                <c:pt idx="119">
                  <c:v>872</c:v>
                </c:pt>
                <c:pt idx="120">
                  <c:v>779</c:v>
                </c:pt>
                <c:pt idx="121">
                  <c:v>1147</c:v>
                </c:pt>
                <c:pt idx="122">
                  <c:v>734</c:v>
                </c:pt>
                <c:pt idx="123">
                  <c:v>1908</c:v>
                </c:pt>
                <c:pt idx="124">
                  <c:v>1446</c:v>
                </c:pt>
                <c:pt idx="125">
                  <c:v>1062</c:v>
                </c:pt>
                <c:pt idx="126">
                  <c:v>1028</c:v>
                </c:pt>
                <c:pt idx="127">
                  <c:v>875.9778633928637</c:v>
                </c:pt>
                <c:pt idx="128">
                  <c:v>878.71586985293175</c:v>
                </c:pt>
                <c:pt idx="129">
                  <c:v>893.50580230451294</c:v>
                </c:pt>
                <c:pt idx="130">
                  <c:v>819.2574068129552</c:v>
                </c:pt>
                <c:pt idx="131">
                  <c:v>1014.8050338327058</c:v>
                </c:pt>
                <c:pt idx="132">
                  <c:v>1316.8520531613119</c:v>
                </c:pt>
                <c:pt idx="133">
                  <c:v>1309.5712971320097</c:v>
                </c:pt>
                <c:pt idx="134">
                  <c:v>1255.9824334889472</c:v>
                </c:pt>
                <c:pt idx="135">
                  <c:v>1662.9066039752083</c:v>
                </c:pt>
                <c:pt idx="136">
                  <c:v>926.67416705051619</c:v>
                </c:pt>
                <c:pt idx="137">
                  <c:v>1669.824655779699</c:v>
                </c:pt>
                <c:pt idx="138">
                  <c:v>1078.8275574104816</c:v>
                </c:pt>
                <c:pt idx="139">
                  <c:v>656</c:v>
                </c:pt>
                <c:pt idx="140">
                  <c:v>1454</c:v>
                </c:pt>
                <c:pt idx="141">
                  <c:v>2205.9741313164527</c:v>
                </c:pt>
                <c:pt idx="142">
                  <c:v>2185.1652241112824</c:v>
                </c:pt>
                <c:pt idx="143">
                  <c:v>1317.9111629386198</c:v>
                </c:pt>
                <c:pt idx="144">
                  <c:v>1300.3197900526727</c:v>
                </c:pt>
                <c:pt idx="145">
                  <c:v>1220.3824306769673</c:v>
                </c:pt>
                <c:pt idx="146">
                  <c:v>2716.0284119008852</c:v>
                </c:pt>
                <c:pt idx="147">
                  <c:v>997</c:v>
                </c:pt>
                <c:pt idx="148">
                  <c:v>847.10507033279407</c:v>
                </c:pt>
                <c:pt idx="149">
                  <c:v>1471.8214907124384</c:v>
                </c:pt>
                <c:pt idx="150">
                  <c:v>1195.9951434878585</c:v>
                </c:pt>
                <c:pt idx="151">
                  <c:v>1302.9698972755696</c:v>
                </c:pt>
                <c:pt idx="152">
                  <c:v>1290.7743124026983</c:v>
                </c:pt>
                <c:pt idx="153">
                  <c:v>1830</c:v>
                </c:pt>
              </c:numCache>
            </c:numRef>
          </c:xVal>
          <c:yVal>
            <c:numRef>
              <c:f>Data!$I$3:$I$156</c:f>
              <c:numCache>
                <c:formatCode>0.0000</c:formatCode>
                <c:ptCount val="154"/>
                <c:pt idx="0" formatCode="0.00000">
                  <c:v>0.1800575556996</c:v>
                </c:pt>
                <c:pt idx="1">
                  <c:v>0</c:v>
                </c:pt>
                <c:pt idx="2" formatCode="0.00000">
                  <c:v>0.30599999999999999</c:v>
                </c:pt>
                <c:pt idx="3">
                  <c:v>0</c:v>
                </c:pt>
                <c:pt idx="4" formatCode="0.00000">
                  <c:v>0.254</c:v>
                </c:pt>
                <c:pt idx="5" formatCode="0.00000">
                  <c:v>0.38600000000000001</c:v>
                </c:pt>
                <c:pt idx="6" formatCode="0.00000">
                  <c:v>0</c:v>
                </c:pt>
                <c:pt idx="7" formatCode="0.00000">
                  <c:v>0.44900000000000001</c:v>
                </c:pt>
                <c:pt idx="8" formatCode="0.00000">
                  <c:v>1.1719999999999999</c:v>
                </c:pt>
                <c:pt idx="9" formatCode="0.00000">
                  <c:v>0.26800000000000002</c:v>
                </c:pt>
                <c:pt idx="10" formatCode="0.00000">
                  <c:v>0.29599999999999999</c:v>
                </c:pt>
                <c:pt idx="11" formatCode="0.00000">
                  <c:v>0.309</c:v>
                </c:pt>
                <c:pt idx="12" formatCode="0.00000">
                  <c:v>0.184</c:v>
                </c:pt>
                <c:pt idx="13" formatCode="0.00000">
                  <c:v>0.20899999999999999</c:v>
                </c:pt>
                <c:pt idx="14" formatCode="0.00000">
                  <c:v>0.13337967864028299</c:v>
                </c:pt>
                <c:pt idx="15" formatCode="0.00000">
                  <c:v>0.59299999999999997</c:v>
                </c:pt>
                <c:pt idx="16" formatCode="0.00000">
                  <c:v>0.25700000000000001</c:v>
                </c:pt>
                <c:pt idx="17" formatCode="0.00000">
                  <c:v>0.45600000000000002</c:v>
                </c:pt>
                <c:pt idx="18" formatCode="0.00000">
                  <c:v>0.38700000000000001</c:v>
                </c:pt>
                <c:pt idx="19" formatCode="0.00000">
                  <c:v>0.38100000000000001</c:v>
                </c:pt>
                <c:pt idx="20" formatCode="0.00000">
                  <c:v>0.36799999999999999</c:v>
                </c:pt>
                <c:pt idx="21" formatCode="0.00000">
                  <c:v>0.16700000000000001</c:v>
                </c:pt>
                <c:pt idx="22" formatCode="0.00000">
                  <c:v>0</c:v>
                </c:pt>
                <c:pt idx="23" formatCode="0.00000">
                  <c:v>0.17699999999999999</c:v>
                </c:pt>
                <c:pt idx="24" formatCode="0.00000">
                  <c:v>0</c:v>
                </c:pt>
                <c:pt idx="25" formatCode="0.00000">
                  <c:v>0.14699999999999999</c:v>
                </c:pt>
                <c:pt idx="26" formatCode="0.00000">
                  <c:v>0.16600000000000001</c:v>
                </c:pt>
                <c:pt idx="27" formatCode="0.00000">
                  <c:v>0.25900000000000001</c:v>
                </c:pt>
                <c:pt idx="28" formatCode="0.00000">
                  <c:v>0.186</c:v>
                </c:pt>
                <c:pt idx="29" formatCode="0.00000">
                  <c:v>0.151</c:v>
                </c:pt>
                <c:pt idx="30" formatCode="0.00000">
                  <c:v>0.21299999999999999</c:v>
                </c:pt>
                <c:pt idx="31" formatCode="0.00000">
                  <c:v>0.20799999999999999</c:v>
                </c:pt>
                <c:pt idx="32" formatCode="0.00000">
                  <c:v>0.21099999999999999</c:v>
                </c:pt>
                <c:pt idx="33" formatCode="0.00000">
                  <c:v>0.185</c:v>
                </c:pt>
                <c:pt idx="34" formatCode="0.00000">
                  <c:v>0.434</c:v>
                </c:pt>
                <c:pt idx="35" formatCode="0.00000">
                  <c:v>0.41199999999999998</c:v>
                </c:pt>
                <c:pt idx="36" formatCode="0.00000">
                  <c:v>0.45300000000000001</c:v>
                </c:pt>
                <c:pt idx="37" formatCode="0.00000">
                  <c:v>0.23499999999999999</c:v>
                </c:pt>
                <c:pt idx="38" formatCode="0.00000">
                  <c:v>0.249</c:v>
                </c:pt>
                <c:pt idx="39" formatCode="0.00000">
                  <c:v>0.36599999999999999</c:v>
                </c:pt>
                <c:pt idx="40" formatCode="0.00000">
                  <c:v>5.0999999999999997E-2</c:v>
                </c:pt>
                <c:pt idx="41" formatCode="0.00000">
                  <c:v>0.254</c:v>
                </c:pt>
                <c:pt idx="42" formatCode="0.00000">
                  <c:v>0.29299999999999998</c:v>
                </c:pt>
                <c:pt idx="43" formatCode="0.00000">
                  <c:v>0.504</c:v>
                </c:pt>
                <c:pt idx="44" formatCode="0.00000">
                  <c:v>0</c:v>
                </c:pt>
                <c:pt idx="45" formatCode="0.00000">
                  <c:v>0.23799999999999999</c:v>
                </c:pt>
                <c:pt idx="46" formatCode="0.00000">
                  <c:v>0.188</c:v>
                </c:pt>
                <c:pt idx="47" formatCode="0.00000">
                  <c:v>0.21</c:v>
                </c:pt>
                <c:pt idx="48" formatCode="0.00000">
                  <c:v>0</c:v>
                </c:pt>
                <c:pt idx="49" formatCode="0.00000">
                  <c:v>0.45</c:v>
                </c:pt>
                <c:pt idx="50" formatCode="0.00000">
                  <c:v>0.56000000000000005</c:v>
                </c:pt>
                <c:pt idx="51" formatCode="0.00000">
                  <c:v>0</c:v>
                </c:pt>
                <c:pt idx="52" formatCode="0.00000">
                  <c:v>0.125</c:v>
                </c:pt>
                <c:pt idx="53" formatCode="0.00000">
                  <c:v>0.127</c:v>
                </c:pt>
                <c:pt idx="54" formatCode="0.00000">
                  <c:v>0</c:v>
                </c:pt>
                <c:pt idx="55" formatCode="0.00000">
                  <c:v>0</c:v>
                </c:pt>
                <c:pt idx="56" formatCode="0.00000">
                  <c:v>0</c:v>
                </c:pt>
                <c:pt idx="57" formatCode="0.00000">
                  <c:v>0</c:v>
                </c:pt>
                <c:pt idx="58" formatCode="0.00000">
                  <c:v>0</c:v>
                </c:pt>
                <c:pt idx="59" formatCode="0.00000">
                  <c:v>0</c:v>
                </c:pt>
                <c:pt idx="60" formatCode="0.00000">
                  <c:v>0</c:v>
                </c:pt>
                <c:pt idx="61" formatCode="0.00000">
                  <c:v>0</c:v>
                </c:pt>
                <c:pt idx="62" formatCode="0.00000">
                  <c:v>0</c:v>
                </c:pt>
                <c:pt idx="63" formatCode="0.00000">
                  <c:v>0.223</c:v>
                </c:pt>
                <c:pt idx="64" formatCode="0.00000">
                  <c:v>0.33200000000000002</c:v>
                </c:pt>
                <c:pt idx="65" formatCode="0.00000">
                  <c:v>0.33800000000000002</c:v>
                </c:pt>
                <c:pt idx="66" formatCode="0.00000">
                  <c:v>0.28499999999999998</c:v>
                </c:pt>
                <c:pt idx="67" formatCode="0.00000">
                  <c:v>0.215</c:v>
                </c:pt>
                <c:pt idx="68" formatCode="0.00000">
                  <c:v>0.29399999999999998</c:v>
                </c:pt>
                <c:pt idx="69" formatCode="0.00000">
                  <c:v>0.56599999999999995</c:v>
                </c:pt>
                <c:pt idx="70" formatCode="0.00000">
                  <c:v>0</c:v>
                </c:pt>
                <c:pt idx="71" formatCode="0.00000">
                  <c:v>0</c:v>
                </c:pt>
                <c:pt idx="72" formatCode="0.00000">
                  <c:v>0</c:v>
                </c:pt>
                <c:pt idx="73" formatCode="0.00000">
                  <c:v>0.20899999999999999</c:v>
                </c:pt>
                <c:pt idx="74" formatCode="0.00000">
                  <c:v>0.14699999999999999</c:v>
                </c:pt>
                <c:pt idx="75" formatCode="0.00000">
                  <c:v>0.17599999999999999</c:v>
                </c:pt>
                <c:pt idx="76" formatCode="0.00000">
                  <c:v>0</c:v>
                </c:pt>
                <c:pt idx="77" formatCode="0.00000">
                  <c:v>0.123</c:v>
                </c:pt>
                <c:pt idx="78" formatCode="0.00000">
                  <c:v>9.7000000000000003E-2</c:v>
                </c:pt>
                <c:pt idx="79" formatCode="0.00000">
                  <c:v>0.11</c:v>
                </c:pt>
                <c:pt idx="80" formatCode="0.00000">
                  <c:v>0</c:v>
                </c:pt>
                <c:pt idx="81" formatCode="0.00000">
                  <c:v>0</c:v>
                </c:pt>
                <c:pt idx="82" formatCode="0.00000">
                  <c:v>0.17435896980184501</c:v>
                </c:pt>
                <c:pt idx="83" formatCode="0.00000">
                  <c:v>0.2</c:v>
                </c:pt>
                <c:pt idx="84" formatCode="0.00000">
                  <c:v>0.28499999999999998</c:v>
                </c:pt>
                <c:pt idx="85" formatCode="0.00000">
                  <c:v>0.13600000000000001</c:v>
                </c:pt>
                <c:pt idx="86" formatCode="0.00000">
                  <c:v>0</c:v>
                </c:pt>
                <c:pt idx="87" formatCode="0.00000">
                  <c:v>0.13800000000000001</c:v>
                </c:pt>
                <c:pt idx="88" formatCode="0.00000">
                  <c:v>0.39649000000000001</c:v>
                </c:pt>
                <c:pt idx="89" formatCode="0.00000">
                  <c:v>0.2782</c:v>
                </c:pt>
                <c:pt idx="90" formatCode="0.00000">
                  <c:v>0.188</c:v>
                </c:pt>
                <c:pt idx="91" formatCode="0.00000">
                  <c:v>0.39200000000000002</c:v>
                </c:pt>
                <c:pt idx="92" formatCode="0.00000">
                  <c:v>0.17299999999999999</c:v>
                </c:pt>
                <c:pt idx="93" formatCode="0.00000">
                  <c:v>0.188</c:v>
                </c:pt>
                <c:pt idx="94" formatCode="0.00000">
                  <c:v>0.36199999999999999</c:v>
                </c:pt>
                <c:pt idx="95" formatCode="0.00000">
                  <c:v>0.17399999999999999</c:v>
                </c:pt>
                <c:pt idx="96" formatCode="0.00000">
                  <c:v>0.155</c:v>
                </c:pt>
                <c:pt idx="97" formatCode="0.00000">
                  <c:v>0</c:v>
                </c:pt>
                <c:pt idx="98" formatCode="0.00000">
                  <c:v>0</c:v>
                </c:pt>
                <c:pt idx="99" formatCode="0.00000">
                  <c:v>0.1697175980790222</c:v>
                </c:pt>
                <c:pt idx="100" formatCode="0.00000">
                  <c:v>0.21029315067669996</c:v>
                </c:pt>
                <c:pt idx="101" formatCode="General">
                  <c:v>0.17400000000000002</c:v>
                </c:pt>
                <c:pt idx="102" formatCode="General">
                  <c:v>0.26300000000000001</c:v>
                </c:pt>
                <c:pt idx="103">
                  <c:v>0.316</c:v>
                </c:pt>
                <c:pt idx="104">
                  <c:v>0.2286</c:v>
                </c:pt>
                <c:pt idx="105">
                  <c:v>0.41899999999999998</c:v>
                </c:pt>
                <c:pt idx="106">
                  <c:v>0.51100000000000001</c:v>
                </c:pt>
                <c:pt idx="107">
                  <c:v>0.48899999999999999</c:v>
                </c:pt>
                <c:pt idx="108">
                  <c:v>0.41299999999999998</c:v>
                </c:pt>
                <c:pt idx="109">
                  <c:v>0.98399999999999999</c:v>
                </c:pt>
                <c:pt idx="110">
                  <c:v>0.91500000000000004</c:v>
                </c:pt>
                <c:pt idx="111">
                  <c:v>0.309</c:v>
                </c:pt>
                <c:pt idx="112">
                  <c:v>0.376</c:v>
                </c:pt>
                <c:pt idx="113">
                  <c:v>0.313</c:v>
                </c:pt>
                <c:pt idx="114">
                  <c:v>1.107</c:v>
                </c:pt>
                <c:pt idx="115">
                  <c:v>0.314</c:v>
                </c:pt>
                <c:pt idx="116">
                  <c:v>0.47299999999999998</c:v>
                </c:pt>
                <c:pt idx="117">
                  <c:v>0.27500000000000002</c:v>
                </c:pt>
                <c:pt idx="118">
                  <c:v>0.35599999999999998</c:v>
                </c:pt>
                <c:pt idx="119">
                  <c:v>0.52</c:v>
                </c:pt>
                <c:pt idx="120">
                  <c:v>0.624</c:v>
                </c:pt>
                <c:pt idx="121">
                  <c:v>0.36799999999999999</c:v>
                </c:pt>
                <c:pt idx="122">
                  <c:v>0.55100000000000005</c:v>
                </c:pt>
                <c:pt idx="123">
                  <c:v>0.24199999999999999</c:v>
                </c:pt>
                <c:pt idx="124">
                  <c:v>0.28531483083514203</c:v>
                </c:pt>
                <c:pt idx="125">
                  <c:v>0.29499999999999998</c:v>
                </c:pt>
                <c:pt idx="126">
                  <c:v>0.40500000000000003</c:v>
                </c:pt>
                <c:pt idx="127">
                  <c:v>0.53227000000000002</c:v>
                </c:pt>
                <c:pt idx="128">
                  <c:v>0.52621000000000007</c:v>
                </c:pt>
                <c:pt idx="129">
                  <c:v>0.51300000000000001</c:v>
                </c:pt>
                <c:pt idx="130">
                  <c:v>0.56599999999999995</c:v>
                </c:pt>
                <c:pt idx="131">
                  <c:v>0.55300000000000005</c:v>
                </c:pt>
                <c:pt idx="132">
                  <c:v>0.45250000000000001</c:v>
                </c:pt>
                <c:pt idx="133">
                  <c:v>0.42370000000000002</c:v>
                </c:pt>
                <c:pt idx="134">
                  <c:v>0.54239999999999999</c:v>
                </c:pt>
                <c:pt idx="135">
                  <c:v>0.24250372633665854</c:v>
                </c:pt>
                <c:pt idx="136">
                  <c:v>0.41020653230299997</c:v>
                </c:pt>
                <c:pt idx="137">
                  <c:v>0.23524203840575</c:v>
                </c:pt>
                <c:pt idx="138">
                  <c:v>0.35863015920792102</c:v>
                </c:pt>
                <c:pt idx="139" formatCode="General">
                  <c:v>0.74</c:v>
                </c:pt>
                <c:pt idx="140">
                  <c:v>0.13900000000000001</c:v>
                </c:pt>
                <c:pt idx="141">
                  <c:v>0.127</c:v>
                </c:pt>
                <c:pt idx="142">
                  <c:v>8.9899999999999994E-2</c:v>
                </c:pt>
                <c:pt idx="143">
                  <c:v>0.15531206651272</c:v>
                </c:pt>
                <c:pt idx="144">
                  <c:v>0.1363</c:v>
                </c:pt>
                <c:pt idx="145">
                  <c:v>0.183</c:v>
                </c:pt>
                <c:pt idx="146">
                  <c:v>0.16739999999999999</c:v>
                </c:pt>
                <c:pt idx="147">
                  <c:v>0.23200000000000001</c:v>
                </c:pt>
                <c:pt idx="148">
                  <c:v>0.245</c:v>
                </c:pt>
                <c:pt idx="149">
                  <c:v>0.128</c:v>
                </c:pt>
                <c:pt idx="150">
                  <c:v>0.17599999999999999</c:v>
                </c:pt>
                <c:pt idx="151">
                  <c:v>0.156</c:v>
                </c:pt>
                <c:pt idx="152">
                  <c:v>0.14699999999999999</c:v>
                </c:pt>
                <c:pt idx="153">
                  <c:v>0.13567425546815229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F-4376-A5B3-3F0982A735B5}"/>
            </c:ext>
          </c:extLst>
        </c:ser>
        <c:ser>
          <c:idx val="3"/>
          <c:order val="2"/>
          <c:tx>
            <c:v>Bob vs GOR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15270434610905"/>
                  <c:y val="5.1977010058615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Data!$D$3:$D$156</c:f>
              <c:numCache>
                <c:formatCode>0</c:formatCode>
                <c:ptCount val="154"/>
                <c:pt idx="0">
                  <c:v>1667.7686823505683</c:v>
                </c:pt>
                <c:pt idx="1">
                  <c:v>3188.8071</c:v>
                </c:pt>
                <c:pt idx="2">
                  <c:v>1133.4462691607539</c:v>
                </c:pt>
                <c:pt idx="3">
                  <c:v>8422.6288999999997</c:v>
                </c:pt>
                <c:pt idx="4">
                  <c:v>1371</c:v>
                </c:pt>
                <c:pt idx="5">
                  <c:v>979</c:v>
                </c:pt>
                <c:pt idx="6">
                  <c:v>1748.1534999999999</c:v>
                </c:pt>
                <c:pt idx="7">
                  <c:v>977</c:v>
                </c:pt>
                <c:pt idx="8">
                  <c:v>224</c:v>
                </c:pt>
                <c:pt idx="9">
                  <c:v>895</c:v>
                </c:pt>
                <c:pt idx="10">
                  <c:v>1179</c:v>
                </c:pt>
                <c:pt idx="11">
                  <c:v>1064</c:v>
                </c:pt>
                <c:pt idx="12">
                  <c:v>1827</c:v>
                </c:pt>
                <c:pt idx="13">
                  <c:v>1633</c:v>
                </c:pt>
                <c:pt idx="14">
                  <c:v>1921.8963562753036</c:v>
                </c:pt>
                <c:pt idx="15">
                  <c:v>564</c:v>
                </c:pt>
                <c:pt idx="16">
                  <c:v>1226</c:v>
                </c:pt>
                <c:pt idx="17">
                  <c:v>848</c:v>
                </c:pt>
                <c:pt idx="18">
                  <c:v>840</c:v>
                </c:pt>
                <c:pt idx="19">
                  <c:v>743</c:v>
                </c:pt>
                <c:pt idx="20">
                  <c:v>975</c:v>
                </c:pt>
                <c:pt idx="21">
                  <c:v>2124</c:v>
                </c:pt>
                <c:pt idx="22">
                  <c:v>4971.75</c:v>
                </c:pt>
                <c:pt idx="23">
                  <c:v>2645</c:v>
                </c:pt>
                <c:pt idx="24">
                  <c:v>4389.2539999999999</c:v>
                </c:pt>
                <c:pt idx="25">
                  <c:v>2393</c:v>
                </c:pt>
                <c:pt idx="26">
                  <c:v>2261</c:v>
                </c:pt>
                <c:pt idx="27">
                  <c:v>1598</c:v>
                </c:pt>
                <c:pt idx="28">
                  <c:v>2689</c:v>
                </c:pt>
                <c:pt idx="29">
                  <c:v>2072</c:v>
                </c:pt>
                <c:pt idx="30">
                  <c:v>1776</c:v>
                </c:pt>
                <c:pt idx="31">
                  <c:v>1786</c:v>
                </c:pt>
                <c:pt idx="32">
                  <c:v>2247</c:v>
                </c:pt>
                <c:pt idx="33">
                  <c:v>2196</c:v>
                </c:pt>
                <c:pt idx="34">
                  <c:v>1455</c:v>
                </c:pt>
                <c:pt idx="35">
                  <c:v>761</c:v>
                </c:pt>
                <c:pt idx="36">
                  <c:v>694</c:v>
                </c:pt>
                <c:pt idx="37">
                  <c:v>1193</c:v>
                </c:pt>
                <c:pt idx="38">
                  <c:v>2539</c:v>
                </c:pt>
                <c:pt idx="39">
                  <c:v>1311</c:v>
                </c:pt>
                <c:pt idx="40">
                  <c:v>7104</c:v>
                </c:pt>
                <c:pt idx="41">
                  <c:v>1583</c:v>
                </c:pt>
                <c:pt idx="42">
                  <c:v>1562</c:v>
                </c:pt>
                <c:pt idx="43">
                  <c:v>1992</c:v>
                </c:pt>
                <c:pt idx="44">
                  <c:v>9489.9</c:v>
                </c:pt>
                <c:pt idx="45">
                  <c:v>1537</c:v>
                </c:pt>
                <c:pt idx="46">
                  <c:v>1902.8279498619736</c:v>
                </c:pt>
                <c:pt idx="47">
                  <c:v>1611</c:v>
                </c:pt>
                <c:pt idx="48">
                  <c:v>7030.6531000000004</c:v>
                </c:pt>
                <c:pt idx="49">
                  <c:v>1106</c:v>
                </c:pt>
                <c:pt idx="50">
                  <c:v>716</c:v>
                </c:pt>
                <c:pt idx="51">
                  <c:v>8467.7186000000002</c:v>
                </c:pt>
                <c:pt idx="52">
                  <c:v>2583</c:v>
                </c:pt>
                <c:pt idx="53">
                  <c:v>2592.8721580424876</c:v>
                </c:pt>
                <c:pt idx="54">
                  <c:v>4009.4260000000004</c:v>
                </c:pt>
                <c:pt idx="55">
                  <c:v>3940.8596000000002</c:v>
                </c:pt>
                <c:pt idx="56">
                  <c:v>12038.6284</c:v>
                </c:pt>
                <c:pt idx="57">
                  <c:v>4248.6336000000001</c:v>
                </c:pt>
                <c:pt idx="58">
                  <c:v>4371.3931999999995</c:v>
                </c:pt>
                <c:pt idx="59">
                  <c:v>6617.7096000000001</c:v>
                </c:pt>
                <c:pt idx="60">
                  <c:v>5073.28</c:v>
                </c:pt>
                <c:pt idx="61">
                  <c:v>11050.2042</c:v>
                </c:pt>
                <c:pt idx="62">
                  <c:v>2643.5792999999999</c:v>
                </c:pt>
                <c:pt idx="63">
                  <c:v>1964</c:v>
                </c:pt>
                <c:pt idx="64">
                  <c:v>1928</c:v>
                </c:pt>
                <c:pt idx="65">
                  <c:v>1022</c:v>
                </c:pt>
                <c:pt idx="66">
                  <c:v>1190</c:v>
                </c:pt>
                <c:pt idx="67">
                  <c:v>1858</c:v>
                </c:pt>
                <c:pt idx="68">
                  <c:v>1235</c:v>
                </c:pt>
                <c:pt idx="69">
                  <c:v>338</c:v>
                </c:pt>
                <c:pt idx="70">
                  <c:v>8958.5512999999992</c:v>
                </c:pt>
                <c:pt idx="71">
                  <c:v>4210.3598999999995</c:v>
                </c:pt>
                <c:pt idx="72">
                  <c:v>5154.8473999999997</c:v>
                </c:pt>
                <c:pt idx="73">
                  <c:v>1784</c:v>
                </c:pt>
                <c:pt idx="74">
                  <c:v>2615</c:v>
                </c:pt>
                <c:pt idx="75">
                  <c:v>2206</c:v>
                </c:pt>
                <c:pt idx="76">
                  <c:v>6348.9564</c:v>
                </c:pt>
                <c:pt idx="77">
                  <c:v>2870</c:v>
                </c:pt>
                <c:pt idx="78">
                  <c:v>3786</c:v>
                </c:pt>
                <c:pt idx="79">
                  <c:v>3878</c:v>
                </c:pt>
                <c:pt idx="80">
                  <c:v>9499.6735000000008</c:v>
                </c:pt>
                <c:pt idx="81">
                  <c:v>14937.022400000002</c:v>
                </c:pt>
                <c:pt idx="82">
                  <c:v>1925</c:v>
                </c:pt>
                <c:pt idx="83">
                  <c:v>1573</c:v>
                </c:pt>
                <c:pt idx="84">
                  <c:v>1303</c:v>
                </c:pt>
                <c:pt idx="85">
                  <c:v>3198</c:v>
                </c:pt>
                <c:pt idx="86">
                  <c:v>15090.0604</c:v>
                </c:pt>
                <c:pt idx="87">
                  <c:v>3019.0898226608274</c:v>
                </c:pt>
                <c:pt idx="88">
                  <c:v>897</c:v>
                </c:pt>
                <c:pt idx="89">
                  <c:v>1230</c:v>
                </c:pt>
                <c:pt idx="90">
                  <c:v>2143</c:v>
                </c:pt>
                <c:pt idx="91">
                  <c:v>1335</c:v>
                </c:pt>
                <c:pt idx="92">
                  <c:v>1882</c:v>
                </c:pt>
                <c:pt idx="93">
                  <c:v>2038</c:v>
                </c:pt>
                <c:pt idx="94">
                  <c:v>1759</c:v>
                </c:pt>
                <c:pt idx="95">
                  <c:v>2163</c:v>
                </c:pt>
                <c:pt idx="96">
                  <c:v>2369</c:v>
                </c:pt>
                <c:pt idx="97">
                  <c:v>10964.788499999999</c:v>
                </c:pt>
                <c:pt idx="98">
                  <c:v>5720.1431999999995</c:v>
                </c:pt>
                <c:pt idx="99" formatCode="General">
                  <c:v>2453</c:v>
                </c:pt>
                <c:pt idx="100">
                  <c:v>2179.0347581216583</c:v>
                </c:pt>
                <c:pt idx="101" formatCode="General">
                  <c:v>2238</c:v>
                </c:pt>
                <c:pt idx="102" formatCode="General">
                  <c:v>1973</c:v>
                </c:pt>
                <c:pt idx="103">
                  <c:v>1315</c:v>
                </c:pt>
                <c:pt idx="104">
                  <c:v>1883.8370124237647</c:v>
                </c:pt>
                <c:pt idx="105">
                  <c:v>1077</c:v>
                </c:pt>
                <c:pt idx="106">
                  <c:v>828</c:v>
                </c:pt>
                <c:pt idx="107">
                  <c:v>824</c:v>
                </c:pt>
                <c:pt idx="108">
                  <c:v>878</c:v>
                </c:pt>
                <c:pt idx="109">
                  <c:v>461</c:v>
                </c:pt>
                <c:pt idx="110">
                  <c:v>441</c:v>
                </c:pt>
                <c:pt idx="111">
                  <c:v>1428</c:v>
                </c:pt>
                <c:pt idx="112">
                  <c:v>1124</c:v>
                </c:pt>
                <c:pt idx="113">
                  <c:v>1178</c:v>
                </c:pt>
                <c:pt idx="114">
                  <c:v>440</c:v>
                </c:pt>
                <c:pt idx="115">
                  <c:v>1477</c:v>
                </c:pt>
                <c:pt idx="116">
                  <c:v>933</c:v>
                </c:pt>
                <c:pt idx="117">
                  <c:v>1482</c:v>
                </c:pt>
                <c:pt idx="118">
                  <c:v>1010</c:v>
                </c:pt>
                <c:pt idx="119">
                  <c:v>872</c:v>
                </c:pt>
                <c:pt idx="120">
                  <c:v>779</c:v>
                </c:pt>
                <c:pt idx="121">
                  <c:v>1147</c:v>
                </c:pt>
                <c:pt idx="122">
                  <c:v>734</c:v>
                </c:pt>
                <c:pt idx="123">
                  <c:v>1908</c:v>
                </c:pt>
                <c:pt idx="124">
                  <c:v>1446</c:v>
                </c:pt>
                <c:pt idx="125">
                  <c:v>1062</c:v>
                </c:pt>
                <c:pt idx="126">
                  <c:v>1028</c:v>
                </c:pt>
                <c:pt idx="127">
                  <c:v>875.9778633928637</c:v>
                </c:pt>
                <c:pt idx="128">
                  <c:v>878.71586985293175</c:v>
                </c:pt>
                <c:pt idx="129">
                  <c:v>893.50580230451294</c:v>
                </c:pt>
                <c:pt idx="130">
                  <c:v>819.2574068129552</c:v>
                </c:pt>
                <c:pt idx="131">
                  <c:v>1014.8050338327058</c:v>
                </c:pt>
                <c:pt idx="132">
                  <c:v>1316.8520531613119</c:v>
                </c:pt>
                <c:pt idx="133">
                  <c:v>1309.5712971320097</c:v>
                </c:pt>
                <c:pt idx="134">
                  <c:v>1255.9824334889472</c:v>
                </c:pt>
                <c:pt idx="135">
                  <c:v>1662.9066039752083</c:v>
                </c:pt>
                <c:pt idx="136">
                  <c:v>926.67416705051619</c:v>
                </c:pt>
                <c:pt idx="137">
                  <c:v>1669.824655779699</c:v>
                </c:pt>
                <c:pt idx="138">
                  <c:v>1078.8275574104816</c:v>
                </c:pt>
                <c:pt idx="139">
                  <c:v>656</c:v>
                </c:pt>
                <c:pt idx="140">
                  <c:v>1454</c:v>
                </c:pt>
                <c:pt idx="141">
                  <c:v>2205.9741313164527</c:v>
                </c:pt>
                <c:pt idx="142">
                  <c:v>2185.1652241112824</c:v>
                </c:pt>
                <c:pt idx="143">
                  <c:v>1317.9111629386198</c:v>
                </c:pt>
                <c:pt idx="144">
                  <c:v>1300.3197900526727</c:v>
                </c:pt>
                <c:pt idx="145">
                  <c:v>1220.3824306769673</c:v>
                </c:pt>
                <c:pt idx="146">
                  <c:v>2716.0284119008852</c:v>
                </c:pt>
                <c:pt idx="147">
                  <c:v>997</c:v>
                </c:pt>
                <c:pt idx="148">
                  <c:v>847.10507033279407</c:v>
                </c:pt>
                <c:pt idx="149">
                  <c:v>1471.8214907124384</c:v>
                </c:pt>
                <c:pt idx="150">
                  <c:v>1195.9951434878585</c:v>
                </c:pt>
                <c:pt idx="151">
                  <c:v>1302.9698972755696</c:v>
                </c:pt>
                <c:pt idx="152">
                  <c:v>1290.7743124026983</c:v>
                </c:pt>
                <c:pt idx="153">
                  <c:v>1830</c:v>
                </c:pt>
              </c:numCache>
            </c:numRef>
          </c:xVal>
          <c:yVal>
            <c:numRef>
              <c:f>Data!$M$3:$M$156</c:f>
              <c:numCache>
                <c:formatCode>0.0000</c:formatCode>
                <c:ptCount val="154"/>
                <c:pt idx="0">
                  <c:v>1.75703537278207</c:v>
                </c:pt>
                <c:pt idx="1">
                  <c:v>0</c:v>
                </c:pt>
                <c:pt idx="2">
                  <c:v>1.5450999999999999</c:v>
                </c:pt>
                <c:pt idx="3">
                  <c:v>0</c:v>
                </c:pt>
                <c:pt idx="4">
                  <c:v>1.6646000000000001</c:v>
                </c:pt>
                <c:pt idx="5">
                  <c:v>1.4709000000000001</c:v>
                </c:pt>
                <c:pt idx="6">
                  <c:v>1.3649</c:v>
                </c:pt>
                <c:pt idx="7">
                  <c:v>1.4773948236521384</c:v>
                </c:pt>
                <c:pt idx="8">
                  <c:v>1.156944645</c:v>
                </c:pt>
                <c:pt idx="9">
                  <c:v>1.4563999999999999</c:v>
                </c:pt>
                <c:pt idx="10">
                  <c:v>1.569312227992639</c:v>
                </c:pt>
                <c:pt idx="11">
                  <c:v>1.4995000000000001</c:v>
                </c:pt>
                <c:pt idx="12">
                  <c:v>1.86044577651448</c:v>
                </c:pt>
                <c:pt idx="13">
                  <c:v>1.7716207204278491</c:v>
                </c:pt>
                <c:pt idx="14">
                  <c:v>1.944</c:v>
                </c:pt>
                <c:pt idx="15">
                  <c:v>1.2613000000000001</c:v>
                </c:pt>
                <c:pt idx="16">
                  <c:v>1.5886</c:v>
                </c:pt>
                <c:pt idx="17">
                  <c:v>1.3776999999999999</c:v>
                </c:pt>
                <c:pt idx="18">
                  <c:v>1.3939999999999999</c:v>
                </c:pt>
                <c:pt idx="19">
                  <c:v>1.3373999999999999</c:v>
                </c:pt>
                <c:pt idx="20">
                  <c:v>1.4247000000000001</c:v>
                </c:pt>
                <c:pt idx="21">
                  <c:v>1.9788422467159459</c:v>
                </c:pt>
                <c:pt idx="22">
                  <c:v>0</c:v>
                </c:pt>
                <c:pt idx="23">
                  <c:v>2.0859999999999999</c:v>
                </c:pt>
                <c:pt idx="24">
                  <c:v>0</c:v>
                </c:pt>
                <c:pt idx="25">
                  <c:v>2.1040654680209947</c:v>
                </c:pt>
                <c:pt idx="26">
                  <c:v>2.0699999999999998</c:v>
                </c:pt>
                <c:pt idx="27">
                  <c:v>1.7854000000000001</c:v>
                </c:pt>
                <c:pt idx="28">
                  <c:v>2.2726000000000002</c:v>
                </c:pt>
                <c:pt idx="29">
                  <c:v>2.0295999999999998</c:v>
                </c:pt>
                <c:pt idx="30">
                  <c:v>1.901</c:v>
                </c:pt>
                <c:pt idx="31">
                  <c:v>1.9172</c:v>
                </c:pt>
                <c:pt idx="32">
                  <c:v>2.0609999999999999</c:v>
                </c:pt>
                <c:pt idx="33">
                  <c:v>2.0948000000000002</c:v>
                </c:pt>
                <c:pt idx="34">
                  <c:v>1.6921999999999999</c:v>
                </c:pt>
                <c:pt idx="35">
                  <c:v>1.3613999999999999</c:v>
                </c:pt>
                <c:pt idx="36">
                  <c:v>1.3181</c:v>
                </c:pt>
                <c:pt idx="37">
                  <c:v>1.5885</c:v>
                </c:pt>
                <c:pt idx="38">
                  <c:v>2.1887727105337955</c:v>
                </c:pt>
                <c:pt idx="39">
                  <c:v>1.6188</c:v>
                </c:pt>
                <c:pt idx="40">
                  <c:v>0</c:v>
                </c:pt>
                <c:pt idx="41">
                  <c:v>1.7758</c:v>
                </c:pt>
                <c:pt idx="42">
                  <c:v>1.7322</c:v>
                </c:pt>
                <c:pt idx="43">
                  <c:v>0</c:v>
                </c:pt>
                <c:pt idx="44">
                  <c:v>0</c:v>
                </c:pt>
                <c:pt idx="45">
                  <c:v>1.7427999999999999</c:v>
                </c:pt>
                <c:pt idx="46">
                  <c:v>1.9049</c:v>
                </c:pt>
                <c:pt idx="47">
                  <c:v>1.7997000000000001</c:v>
                </c:pt>
                <c:pt idx="48">
                  <c:v>0</c:v>
                </c:pt>
                <c:pt idx="49" formatCode="General">
                  <c:v>1.5794999999999999</c:v>
                </c:pt>
                <c:pt idx="50">
                  <c:v>1.352737733274451</c:v>
                </c:pt>
                <c:pt idx="51">
                  <c:v>0</c:v>
                </c:pt>
                <c:pt idx="52">
                  <c:v>2.2368000000000001</c:v>
                </c:pt>
                <c:pt idx="53">
                  <c:v>2.2591000000000001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1.9350000000000001</c:v>
                </c:pt>
                <c:pt idx="64">
                  <c:v>1.9061399734829223</c:v>
                </c:pt>
                <c:pt idx="65">
                  <c:v>1.5130603680982628</c:v>
                </c:pt>
                <c:pt idx="66">
                  <c:v>1.544</c:v>
                </c:pt>
                <c:pt idx="67">
                  <c:v>1.9392476670579872</c:v>
                </c:pt>
                <c:pt idx="68">
                  <c:v>1.556</c:v>
                </c:pt>
                <c:pt idx="69">
                  <c:v>1.2577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1.89041397</c:v>
                </c:pt>
                <c:pt idx="74">
                  <c:v>2.3170000000000002</c:v>
                </c:pt>
                <c:pt idx="75">
                  <c:v>2.0428687487688331</c:v>
                </c:pt>
                <c:pt idx="76">
                  <c:v>0</c:v>
                </c:pt>
                <c:pt idx="77">
                  <c:v>2.3387812897176889</c:v>
                </c:pt>
                <c:pt idx="78">
                  <c:v>2.8834312</c:v>
                </c:pt>
                <c:pt idx="79">
                  <c:v>2.8382000000000001</c:v>
                </c:pt>
                <c:pt idx="80">
                  <c:v>0</c:v>
                </c:pt>
                <c:pt idx="81">
                  <c:v>0</c:v>
                </c:pt>
                <c:pt idx="82">
                  <c:v>1.8912825290639923</c:v>
                </c:pt>
                <c:pt idx="83">
                  <c:v>1.7033262209799349</c:v>
                </c:pt>
                <c:pt idx="84">
                  <c:v>1.6107</c:v>
                </c:pt>
                <c:pt idx="85">
                  <c:v>2.5209999999999999</c:v>
                </c:pt>
                <c:pt idx="86">
                  <c:v>0</c:v>
                </c:pt>
                <c:pt idx="87">
                  <c:v>2.4782733289085912</c:v>
                </c:pt>
                <c:pt idx="88">
                  <c:v>0</c:v>
                </c:pt>
                <c:pt idx="89">
                  <c:v>0</c:v>
                </c:pt>
                <c:pt idx="90">
                  <c:v>1.9804513013419314</c:v>
                </c:pt>
                <c:pt idx="91">
                  <c:v>1.6063696848506726</c:v>
                </c:pt>
                <c:pt idx="92">
                  <c:v>1.887</c:v>
                </c:pt>
                <c:pt idx="93">
                  <c:v>1.9382999999999999</c:v>
                </c:pt>
                <c:pt idx="94">
                  <c:v>1.8224080208375946</c:v>
                </c:pt>
                <c:pt idx="95">
                  <c:v>2.0386000000000002</c:v>
                </c:pt>
                <c:pt idx="96">
                  <c:v>2.1575000000000002</c:v>
                </c:pt>
                <c:pt idx="97">
                  <c:v>0</c:v>
                </c:pt>
                <c:pt idx="98">
                  <c:v>0</c:v>
                </c:pt>
                <c:pt idx="99">
                  <c:v>2.1651658959571254</c:v>
                </c:pt>
                <c:pt idx="100">
                  <c:v>2.0040266297345735</c:v>
                </c:pt>
                <c:pt idx="101">
                  <c:v>2.4873492917847027</c:v>
                </c:pt>
                <c:pt idx="102">
                  <c:v>2.0122722217506217</c:v>
                </c:pt>
                <c:pt idx="103">
                  <c:v>1.6419999999999999</c:v>
                </c:pt>
                <c:pt idx="104">
                  <c:v>1.8919970656473581</c:v>
                </c:pt>
                <c:pt idx="105">
                  <c:v>1.5166742807596807</c:v>
                </c:pt>
                <c:pt idx="106">
                  <c:v>1.411303</c:v>
                </c:pt>
                <c:pt idx="107">
                  <c:v>1.4324304762790159</c:v>
                </c:pt>
                <c:pt idx="108">
                  <c:v>1.4338039390944741</c:v>
                </c:pt>
                <c:pt idx="109">
                  <c:v>1.2562137600000001</c:v>
                </c:pt>
                <c:pt idx="110">
                  <c:v>1.2518759700000002</c:v>
                </c:pt>
                <c:pt idx="111">
                  <c:v>1.6586662469385278</c:v>
                </c:pt>
                <c:pt idx="112">
                  <c:v>1.5429931315257974</c:v>
                </c:pt>
                <c:pt idx="113">
                  <c:v>1.6067700795736513</c:v>
                </c:pt>
                <c:pt idx="114">
                  <c:v>1.2410628480000001</c:v>
                </c:pt>
                <c:pt idx="115">
                  <c:v>1.6913580368436223</c:v>
                </c:pt>
                <c:pt idx="116">
                  <c:v>1.4520069311395036</c:v>
                </c:pt>
                <c:pt idx="117">
                  <c:v>1.7033367934411385</c:v>
                </c:pt>
                <c:pt idx="118">
                  <c:v>1.4927313190414608</c:v>
                </c:pt>
                <c:pt idx="119">
                  <c:v>1.4417672892184066</c:v>
                </c:pt>
                <c:pt idx="120">
                  <c:v>1.3859980276738082</c:v>
                </c:pt>
                <c:pt idx="121">
                  <c:v>1.5684215927998539</c:v>
                </c:pt>
                <c:pt idx="122">
                  <c:v>1.364527444861539</c:v>
                </c:pt>
                <c:pt idx="123">
                  <c:v>1.8716608335340812</c:v>
                </c:pt>
                <c:pt idx="124">
                  <c:v>1.6875706647617661</c:v>
                </c:pt>
                <c:pt idx="125">
                  <c:v>1.5641317640000001</c:v>
                </c:pt>
                <c:pt idx="126">
                  <c:v>1.4873964</c:v>
                </c:pt>
                <c:pt idx="127">
                  <c:v>1.4758874998425713</c:v>
                </c:pt>
                <c:pt idx="128">
                  <c:v>1.4687980739335071</c:v>
                </c:pt>
                <c:pt idx="129">
                  <c:v>1.5010495080908535</c:v>
                </c:pt>
                <c:pt idx="130">
                  <c:v>1.4336871668987603</c:v>
                </c:pt>
                <c:pt idx="131">
                  <c:v>1.5067920862808049</c:v>
                </c:pt>
                <c:pt idx="132">
                  <c:v>1.6637045819994651</c:v>
                </c:pt>
                <c:pt idx="133">
                  <c:v>1.6414422741091423</c:v>
                </c:pt>
                <c:pt idx="134">
                  <c:v>1.6328121426723283</c:v>
                </c:pt>
                <c:pt idx="135">
                  <c:v>1.8588954904135278</c:v>
                </c:pt>
                <c:pt idx="136">
                  <c:v>1.4871518886211128</c:v>
                </c:pt>
                <c:pt idx="137">
                  <c:v>1.8652054877412294</c:v>
                </c:pt>
                <c:pt idx="138">
                  <c:v>1.5489326936445311</c:v>
                </c:pt>
                <c:pt idx="139">
                  <c:v>1.3487071260000001</c:v>
                </c:pt>
                <c:pt idx="140">
                  <c:v>1.78</c:v>
                </c:pt>
                <c:pt idx="141">
                  <c:v>2.1447051970846669</c:v>
                </c:pt>
                <c:pt idx="142">
                  <c:v>2.2977123139010298</c:v>
                </c:pt>
                <c:pt idx="143">
                  <c:v>1.7229050776838599</c:v>
                </c:pt>
                <c:pt idx="144">
                  <c:v>1.7065076919342763</c:v>
                </c:pt>
                <c:pt idx="145">
                  <c:v>1.6671422130787923</c:v>
                </c:pt>
                <c:pt idx="146">
                  <c:v>2.5504739334005579</c:v>
                </c:pt>
                <c:pt idx="147">
                  <c:v>1.547083293592789</c:v>
                </c:pt>
                <c:pt idx="148">
                  <c:v>1.4710532679434376</c:v>
                </c:pt>
                <c:pt idx="149">
                  <c:v>1.8178851069538626</c:v>
                </c:pt>
                <c:pt idx="150">
                  <c:v>1.6073638122571077</c:v>
                </c:pt>
                <c:pt idx="151">
                  <c:v>1.7148134475218746</c:v>
                </c:pt>
                <c:pt idx="152">
                  <c:v>2.1945895929954657</c:v>
                </c:pt>
                <c:pt idx="153">
                  <c:v>2.0624873723608794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7F-4376-A5B3-3F0982A7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23311"/>
        <c:axId val="520022063"/>
      </c:scatterChart>
      <c:valAx>
        <c:axId val="5023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27839"/>
        <c:crosses val="autoZero"/>
        <c:crossBetween val="midCat"/>
      </c:valAx>
      <c:valAx>
        <c:axId val="5023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27423"/>
        <c:crosses val="autoZero"/>
        <c:crossBetween val="midCat"/>
      </c:valAx>
      <c:valAx>
        <c:axId val="520022063"/>
        <c:scaling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23311"/>
        <c:crosses val="max"/>
        <c:crossBetween val="midCat"/>
      </c:valAx>
      <c:valAx>
        <c:axId val="52002331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002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Calc vs Meas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Cob_Check!$K$20:$K$173</c:f>
              <c:numCache>
                <c:formatCode>0.00E+00</c:formatCode>
                <c:ptCount val="154"/>
                <c:pt idx="0">
                  <c:v>2.5861872746664799E-5</c:v>
                </c:pt>
                <c:pt idx="1">
                  <c:v>2.9828500000000001E-5</c:v>
                </c:pt>
                <c:pt idx="2">
                  <c:v>1.78112E-5</c:v>
                </c:pt>
                <c:pt idx="3">
                  <c:v>6.183155080213914E-5</c:v>
                </c:pt>
                <c:pt idx="4">
                  <c:v>2.0641000000000001E-5</c:v>
                </c:pt>
                <c:pt idx="5">
                  <c:v>1.84603E-5</c:v>
                </c:pt>
                <c:pt idx="6">
                  <c:v>2.21206E-5</c:v>
                </c:pt>
                <c:pt idx="7">
                  <c:v>1.54185158706069E-5</c:v>
                </c:pt>
                <c:pt idx="8">
                  <c:v>1.03558E-5</c:v>
                </c:pt>
                <c:pt idx="9">
                  <c:v>1.72274E-5</c:v>
                </c:pt>
                <c:pt idx="10">
                  <c:v>1.794705998628507E-5</c:v>
                </c:pt>
                <c:pt idx="11">
                  <c:v>1.7852200000000002E-5</c:v>
                </c:pt>
                <c:pt idx="12">
                  <c:v>3.0246998091170203E-5</c:v>
                </c:pt>
                <c:pt idx="13">
                  <c:v>2.86722E-5</c:v>
                </c:pt>
                <c:pt idx="14">
                  <c:v>2.6290000000000001E-5</c:v>
                </c:pt>
                <c:pt idx="15">
                  <c:v>1.2208800000000001E-5</c:v>
                </c:pt>
                <c:pt idx="16">
                  <c:v>1.8875599999999999E-5</c:v>
                </c:pt>
                <c:pt idx="17">
                  <c:v>1.3568600000000001E-5</c:v>
                </c:pt>
                <c:pt idx="18">
                  <c:v>1.46948E-5</c:v>
                </c:pt>
                <c:pt idx="19">
                  <c:v>1.37521E-5</c:v>
                </c:pt>
                <c:pt idx="20">
                  <c:v>1.6968699999999999E-5</c:v>
                </c:pt>
                <c:pt idx="21">
                  <c:v>3.7546883008720921E-5</c:v>
                </c:pt>
                <c:pt idx="22">
                  <c:v>4.5710145927484643E-5</c:v>
                </c:pt>
                <c:pt idx="23">
                  <c:v>3.3244699999999997E-5</c:v>
                </c:pt>
                <c:pt idx="24">
                  <c:v>4.4658484555745014E-5</c:v>
                </c:pt>
                <c:pt idx="25">
                  <c:v>3.2993586346309899E-5</c:v>
                </c:pt>
                <c:pt idx="26">
                  <c:v>2.97878E-5</c:v>
                </c:pt>
                <c:pt idx="27">
                  <c:v>2.1097100000000002E-5</c:v>
                </c:pt>
                <c:pt idx="28">
                  <c:v>3.8010199999999997E-5</c:v>
                </c:pt>
                <c:pt idx="29">
                  <c:v>2.9722599999999999E-5</c:v>
                </c:pt>
                <c:pt idx="30">
                  <c:v>2.2328200000000001E-5</c:v>
                </c:pt>
                <c:pt idx="31">
                  <c:v>2.40754E-5</c:v>
                </c:pt>
                <c:pt idx="32">
                  <c:v>3.1637200000000003E-5</c:v>
                </c:pt>
                <c:pt idx="33">
                  <c:v>3.0255000000000001E-5</c:v>
                </c:pt>
                <c:pt idx="34">
                  <c:v>2.06329E-5</c:v>
                </c:pt>
                <c:pt idx="35">
                  <c:v>1.3774100000000001E-5</c:v>
                </c:pt>
                <c:pt idx="36">
                  <c:v>1.46343E-5</c:v>
                </c:pt>
                <c:pt idx="37">
                  <c:v>2.0536100000000001E-5</c:v>
                </c:pt>
                <c:pt idx="38">
                  <c:v>2.70824E-5</c:v>
                </c:pt>
                <c:pt idx="39">
                  <c:v>2.0366100000000001E-5</c:v>
                </c:pt>
                <c:pt idx="40">
                  <c:v>7.5153502924252676E-5</c:v>
                </c:pt>
                <c:pt idx="41">
                  <c:v>2.1942399999999998E-5</c:v>
                </c:pt>
                <c:pt idx="42">
                  <c:v>2.3057500000000001E-5</c:v>
                </c:pt>
                <c:pt idx="43">
                  <c:v>2.2232000608155799E-5</c:v>
                </c:pt>
                <c:pt idx="44">
                  <c:v>6.6363559345965624E-5</c:v>
                </c:pt>
                <c:pt idx="45">
                  <c:v>2.0970200000000001E-5</c:v>
                </c:pt>
                <c:pt idx="46">
                  <c:v>2.8958600000000001E-5</c:v>
                </c:pt>
                <c:pt idx="47">
                  <c:v>2.41219E-5</c:v>
                </c:pt>
                <c:pt idx="48">
                  <c:v>3.8767352612879179E-5</c:v>
                </c:pt>
                <c:pt idx="49">
                  <c:v>1.6000600000000001E-5</c:v>
                </c:pt>
                <c:pt idx="50">
                  <c:v>1.4001E-5</c:v>
                </c:pt>
                <c:pt idx="51">
                  <c:v>6.1927960315292786E-5</c:v>
                </c:pt>
                <c:pt idx="52">
                  <c:v>3.9792000000000001E-5</c:v>
                </c:pt>
                <c:pt idx="53">
                  <c:v>3.7751499999999999E-5</c:v>
                </c:pt>
                <c:pt idx="54">
                  <c:v>4.7141591724124223E-5</c:v>
                </c:pt>
                <c:pt idx="55">
                  <c:v>4.4855980263368582E-5</c:v>
                </c:pt>
                <c:pt idx="56">
                  <c:v>7.6181920712299812E-5</c:v>
                </c:pt>
                <c:pt idx="57">
                  <c:v>5.428996110097987E-5</c:v>
                </c:pt>
                <c:pt idx="58">
                  <c:v>6.0875900129307919E-5</c:v>
                </c:pt>
                <c:pt idx="59">
                  <c:v>5.7696592598665659E-5</c:v>
                </c:pt>
                <c:pt idx="60">
                  <c:v>5.8237185326586588E-5</c:v>
                </c:pt>
                <c:pt idx="61">
                  <c:v>7.5223557651672528E-5</c:v>
                </c:pt>
                <c:pt idx="62">
                  <c:v>3.76003E-5</c:v>
                </c:pt>
                <c:pt idx="63">
                  <c:v>2.46257E-5</c:v>
                </c:pt>
                <c:pt idx="64">
                  <c:v>3.0369200000000001E-5</c:v>
                </c:pt>
                <c:pt idx="65">
                  <c:v>1.72767E-5</c:v>
                </c:pt>
                <c:pt idx="66">
                  <c:v>2.0018016214593399E-5</c:v>
                </c:pt>
                <c:pt idx="67">
                  <c:v>2.4649699999999999E-5</c:v>
                </c:pt>
                <c:pt idx="68">
                  <c:v>1.9306598903568971E-5</c:v>
                </c:pt>
                <c:pt idx="69">
                  <c:v>1.36184E-5</c:v>
                </c:pt>
                <c:pt idx="70">
                  <c:v>5.8542578969883249E-5</c:v>
                </c:pt>
                <c:pt idx="71">
                  <c:v>4.9084457480247505E-5</c:v>
                </c:pt>
                <c:pt idx="72">
                  <c:v>5.5507535049465321E-5</c:v>
                </c:pt>
                <c:pt idx="73">
                  <c:v>2.88053E-5</c:v>
                </c:pt>
                <c:pt idx="74">
                  <c:v>3.5503000000000002E-5</c:v>
                </c:pt>
                <c:pt idx="75">
                  <c:v>3.2677395172111213E-5</c:v>
                </c:pt>
                <c:pt idx="76">
                  <c:v>5.2520973167628993E-5</c:v>
                </c:pt>
                <c:pt idx="77">
                  <c:v>3.9453414659042241E-5</c:v>
                </c:pt>
                <c:pt idx="78">
                  <c:v>7.0318049317459581E-5</c:v>
                </c:pt>
                <c:pt idx="79">
                  <c:v>5.1286399999999997E-5</c:v>
                </c:pt>
                <c:pt idx="80">
                  <c:v>6.5297767629066359E-5</c:v>
                </c:pt>
                <c:pt idx="81">
                  <c:v>9.5971359558316165E-5</c:v>
                </c:pt>
                <c:pt idx="82">
                  <c:v>2.7064067788050001E-5</c:v>
                </c:pt>
                <c:pt idx="83">
                  <c:v>2.7552E-5</c:v>
                </c:pt>
                <c:pt idx="84">
                  <c:v>2.47308E-5</c:v>
                </c:pt>
                <c:pt idx="85">
                  <c:v>4.1775112387656397E-5</c:v>
                </c:pt>
                <c:pt idx="86">
                  <c:v>4.5773174304247885E-5</c:v>
                </c:pt>
                <c:pt idx="87">
                  <c:v>4.4029273699827716E-5</c:v>
                </c:pt>
                <c:pt idx="88">
                  <c:v>1.8600000000000001E-5</c:v>
                </c:pt>
                <c:pt idx="89">
                  <c:v>2.3399999999999996E-5</c:v>
                </c:pt>
                <c:pt idx="90">
                  <c:v>2.50258E-5</c:v>
                </c:pt>
                <c:pt idx="91">
                  <c:v>2.0557999999999999E-5</c:v>
                </c:pt>
                <c:pt idx="92">
                  <c:v>2.7320860476648599E-5</c:v>
                </c:pt>
                <c:pt idx="93">
                  <c:v>2.4738317170880355E-5</c:v>
                </c:pt>
                <c:pt idx="94">
                  <c:v>2.5837527208457165E-5</c:v>
                </c:pt>
                <c:pt idx="95">
                  <c:v>3.0348992576962501E-5</c:v>
                </c:pt>
                <c:pt idx="96">
                  <c:v>3.2977396396851703E-5</c:v>
                </c:pt>
                <c:pt idx="97">
                  <c:v>5.9073348772862548E-5</c:v>
                </c:pt>
                <c:pt idx="98">
                  <c:v>6.238986000591078E-5</c:v>
                </c:pt>
                <c:pt idx="99">
                  <c:v>3.4219600381535102E-5</c:v>
                </c:pt>
                <c:pt idx="100">
                  <c:v>2.9301800000000001E-5</c:v>
                </c:pt>
                <c:pt idx="101">
                  <c:v>3.4412219858609198E-5</c:v>
                </c:pt>
                <c:pt idx="102">
                  <c:v>2.3988000000000001E-5</c:v>
                </c:pt>
                <c:pt idx="103">
                  <c:v>1.35736506880662E-5</c:v>
                </c:pt>
                <c:pt idx="104">
                  <c:v>1.6840000000000001E-5</c:v>
                </c:pt>
                <c:pt idx="105">
                  <c:v>1.2187330891871359E-5</c:v>
                </c:pt>
                <c:pt idx="106">
                  <c:v>1.1764543174783324E-5</c:v>
                </c:pt>
                <c:pt idx="107">
                  <c:v>1.11352235969781E-5</c:v>
                </c:pt>
                <c:pt idx="108">
                  <c:v>1.23589010327442E-5</c:v>
                </c:pt>
                <c:pt idx="109">
                  <c:v>8.3399999999999998E-6</c:v>
                </c:pt>
                <c:pt idx="110">
                  <c:v>8.8419999999999994E-6</c:v>
                </c:pt>
                <c:pt idx="111">
                  <c:v>1.29747949764333E-5</c:v>
                </c:pt>
                <c:pt idx="112">
                  <c:v>1.23492033978367E-5</c:v>
                </c:pt>
                <c:pt idx="113">
                  <c:v>1.2937006721061701E-5</c:v>
                </c:pt>
                <c:pt idx="114">
                  <c:v>7.8406999999999993E-6</c:v>
                </c:pt>
                <c:pt idx="115">
                  <c:v>1.33689711230295E-5</c:v>
                </c:pt>
                <c:pt idx="116">
                  <c:v>1.03509031269858E-5</c:v>
                </c:pt>
                <c:pt idx="117">
                  <c:v>1.36840244771081E-5</c:v>
                </c:pt>
                <c:pt idx="118">
                  <c:v>1.1999722138184901E-5</c:v>
                </c:pt>
                <c:pt idx="119">
                  <c:v>1.2483066538382099E-5</c:v>
                </c:pt>
                <c:pt idx="120">
                  <c:v>1.13891928347361E-5</c:v>
                </c:pt>
                <c:pt idx="121">
                  <c:v>1.0355057978956E-5</c:v>
                </c:pt>
                <c:pt idx="122">
                  <c:v>8.9183311020334792E-6</c:v>
                </c:pt>
                <c:pt idx="123">
                  <c:v>1.32050964869255E-5</c:v>
                </c:pt>
                <c:pt idx="124">
                  <c:v>1.2663605579472001E-5</c:v>
                </c:pt>
                <c:pt idx="125">
                  <c:v>1.43895E-5</c:v>
                </c:pt>
                <c:pt idx="126">
                  <c:v>1.013E-5</c:v>
                </c:pt>
                <c:pt idx="127">
                  <c:v>1.2567876612644101E-5</c:v>
                </c:pt>
                <c:pt idx="128">
                  <c:v>1.2270322886207972E-5</c:v>
                </c:pt>
                <c:pt idx="129">
                  <c:v>1.5213107546419976E-5</c:v>
                </c:pt>
                <c:pt idx="130">
                  <c:v>1.0809348749147172E-5</c:v>
                </c:pt>
                <c:pt idx="131">
                  <c:v>1.21048004780431E-5</c:v>
                </c:pt>
                <c:pt idx="132">
                  <c:v>1.4761725370070495E-5</c:v>
                </c:pt>
                <c:pt idx="133">
                  <c:v>1.3256093623020083E-5</c:v>
                </c:pt>
                <c:pt idx="134">
                  <c:v>1.3013815190895385E-5</c:v>
                </c:pt>
                <c:pt idx="135">
                  <c:v>1.4044040777892234E-5</c:v>
                </c:pt>
                <c:pt idx="136">
                  <c:v>1.503354094425121E-5</c:v>
                </c:pt>
                <c:pt idx="137">
                  <c:v>1.58487149214415E-5</c:v>
                </c:pt>
                <c:pt idx="138">
                  <c:v>1.24280420547592E-5</c:v>
                </c:pt>
                <c:pt idx="139">
                  <c:v>1.0779500000000001E-5</c:v>
                </c:pt>
                <c:pt idx="140">
                  <c:v>5.2865999999999998E-5</c:v>
                </c:pt>
                <c:pt idx="141">
                  <c:v>5.24157793085684E-5</c:v>
                </c:pt>
                <c:pt idx="142">
                  <c:v>5.6315497084457199E-5</c:v>
                </c:pt>
                <c:pt idx="143">
                  <c:v>3.0711608145691098E-5</c:v>
                </c:pt>
                <c:pt idx="144">
                  <c:v>3.66317661139909E-5</c:v>
                </c:pt>
                <c:pt idx="145">
                  <c:v>3.5836299846315902E-5</c:v>
                </c:pt>
                <c:pt idx="146">
                  <c:v>6.0317517366866591E-5</c:v>
                </c:pt>
                <c:pt idx="147">
                  <c:v>2.6910915673748293E-5</c:v>
                </c:pt>
                <c:pt idx="148">
                  <c:v>2.0657461797034198E-5</c:v>
                </c:pt>
                <c:pt idx="149">
                  <c:v>3.481969076520409E-5</c:v>
                </c:pt>
                <c:pt idx="150">
                  <c:v>2.6646440917223094E-5</c:v>
                </c:pt>
                <c:pt idx="151">
                  <c:v>3.3405927508536401E-5</c:v>
                </c:pt>
                <c:pt idx="152">
                  <c:v>2.9842397655878901E-5</c:v>
                </c:pt>
                <c:pt idx="153">
                  <c:v>4.0392901023486177E-5</c:v>
                </c:pt>
              </c:numCache>
            </c:numRef>
          </c:xVal>
          <c:yVal>
            <c:numRef>
              <c:f>Cob_Check!$O$20:$O$173</c:f>
              <c:numCache>
                <c:formatCode>0.00E+00</c:formatCode>
                <c:ptCount val="154"/>
                <c:pt idx="0">
                  <c:v>2.9200539307543094E-5</c:v>
                </c:pt>
                <c:pt idx="1">
                  <c:v>2.9621749314371706E-5</c:v>
                </c:pt>
                <c:pt idx="2">
                  <c:v>1.8511967167138308E-5</c:v>
                </c:pt>
                <c:pt idx="3">
                  <c:v>6.6329921670046674E-5</c:v>
                </c:pt>
                <c:pt idx="4">
                  <c:v>2.180538042277563E-5</c:v>
                </c:pt>
                <c:pt idx="5">
                  <c:v>1.6709465197151493E-5</c:v>
                </c:pt>
                <c:pt idx="6">
                  <c:v>2.3391167892597127E-5</c:v>
                </c:pt>
                <c:pt idx="7">
                  <c:v>1.641016145746625E-5</c:v>
                </c:pt>
                <c:pt idx="8">
                  <c:v>1.0355797370994392E-5</c:v>
                </c:pt>
                <c:pt idx="9">
                  <c:v>1.6920830695013004E-5</c:v>
                </c:pt>
                <c:pt idx="10">
                  <c:v>1.9383870499238692E-5</c:v>
                </c:pt>
                <c:pt idx="11">
                  <c:v>1.8223015044671009E-5</c:v>
                </c:pt>
                <c:pt idx="12">
                  <c:v>2.7266831420402021E-5</c:v>
                </c:pt>
                <c:pt idx="13">
                  <c:v>2.7626292432560026E-5</c:v>
                </c:pt>
                <c:pt idx="14">
                  <c:v>2.8050572778606663E-5</c:v>
                </c:pt>
                <c:pt idx="15">
                  <c:v>9.4706653017056208E-6</c:v>
                </c:pt>
                <c:pt idx="16">
                  <c:v>1.9189173882942765E-5</c:v>
                </c:pt>
                <c:pt idx="17">
                  <c:v>1.2927141264990894E-5</c:v>
                </c:pt>
                <c:pt idx="18">
                  <c:v>1.2994758971049296E-5</c:v>
                </c:pt>
                <c:pt idx="19">
                  <c:v>1.2259812163413439E-5</c:v>
                </c:pt>
                <c:pt idx="20">
                  <c:v>1.6528187965431578E-5</c:v>
                </c:pt>
                <c:pt idx="21">
                  <c:v>3.1725177068522034E-5</c:v>
                </c:pt>
                <c:pt idx="22">
                  <c:v>4.6529727449492707E-5</c:v>
                </c:pt>
                <c:pt idx="23">
                  <c:v>3.6529558880062416E-5</c:v>
                </c:pt>
                <c:pt idx="24">
                  <c:v>4.4854943495664491E-5</c:v>
                </c:pt>
                <c:pt idx="25">
                  <c:v>3.3809065518532712E-5</c:v>
                </c:pt>
                <c:pt idx="26">
                  <c:v>2.9309754545082597E-5</c:v>
                </c:pt>
                <c:pt idx="27">
                  <c:v>2.4077265969261985E-5</c:v>
                </c:pt>
                <c:pt idx="28">
                  <c:v>3.131678791521034E-5</c:v>
                </c:pt>
                <c:pt idx="29">
                  <c:v>2.9075267308178178E-5</c:v>
                </c:pt>
                <c:pt idx="30">
                  <c:v>2.4218149151285619E-5</c:v>
                </c:pt>
                <c:pt idx="31">
                  <c:v>2.4822644954920098E-5</c:v>
                </c:pt>
                <c:pt idx="32">
                  <c:v>2.9347504014524668E-5</c:v>
                </c:pt>
                <c:pt idx="33">
                  <c:v>3.0984832679035972E-5</c:v>
                </c:pt>
                <c:pt idx="34">
                  <c:v>2.2993204844737762E-5</c:v>
                </c:pt>
                <c:pt idx="35">
                  <c:v>1.3054511183572326E-5</c:v>
                </c:pt>
                <c:pt idx="36">
                  <c:v>1.2786076695944486E-5</c:v>
                </c:pt>
                <c:pt idx="37">
                  <c:v>1.891547613306913E-5</c:v>
                </c:pt>
                <c:pt idx="38">
                  <c:v>2.7312642941687132E-5</c:v>
                </c:pt>
                <c:pt idx="39">
                  <c:v>1.9733129619785377E-5</c:v>
                </c:pt>
                <c:pt idx="40">
                  <c:v>6.686734276977221E-5</c:v>
                </c:pt>
                <c:pt idx="41">
                  <c:v>2.3292985190399377E-5</c:v>
                </c:pt>
                <c:pt idx="42">
                  <c:v>2.5274953908028531E-5</c:v>
                </c:pt>
                <c:pt idx="43">
                  <c:v>2.5474445344826972E-5</c:v>
                </c:pt>
                <c:pt idx="44">
                  <c:v>6.6365084720348622E-5</c:v>
                </c:pt>
                <c:pt idx="45">
                  <c:v>2.3140956612995261E-5</c:v>
                </c:pt>
                <c:pt idx="46">
                  <c:v>2.8949009503047197E-5</c:v>
                </c:pt>
                <c:pt idx="47">
                  <c:v>2.3654224353051088E-5</c:v>
                </c:pt>
                <c:pt idx="48">
                  <c:v>4.7911063849456337E-5</c:v>
                </c:pt>
                <c:pt idx="49">
                  <c:v>1.6366704381286661E-5</c:v>
                </c:pt>
                <c:pt idx="50">
                  <c:v>1.2913670412566944E-5</c:v>
                </c:pt>
                <c:pt idx="51">
                  <c:v>6.8544249317066246E-5</c:v>
                </c:pt>
                <c:pt idx="52">
                  <c:v>3.7243533773915092E-5</c:v>
                </c:pt>
                <c:pt idx="53">
                  <c:v>3.6946916140234403E-5</c:v>
                </c:pt>
                <c:pt idx="54">
                  <c:v>4.5138539205736552E-5</c:v>
                </c:pt>
                <c:pt idx="55">
                  <c:v>4.7132521354868791E-5</c:v>
                </c:pt>
                <c:pt idx="56">
                  <c:v>7.5959321317841931E-5</c:v>
                </c:pt>
                <c:pt idx="57">
                  <c:v>5.0938691639679251E-5</c:v>
                </c:pt>
                <c:pt idx="58">
                  <c:v>5.8436516656221224E-5</c:v>
                </c:pt>
                <c:pt idx="59">
                  <c:v>6.0334822743539491E-5</c:v>
                </c:pt>
                <c:pt idx="60">
                  <c:v>5.6112934647161601E-5</c:v>
                </c:pt>
                <c:pt idx="61">
                  <c:v>8.454057875926061E-5</c:v>
                </c:pt>
                <c:pt idx="62">
                  <c:v>3.3211235893718334E-5</c:v>
                </c:pt>
                <c:pt idx="63">
                  <c:v>2.4107364667349606E-5</c:v>
                </c:pt>
                <c:pt idx="64">
                  <c:v>2.8708648956956556E-5</c:v>
                </c:pt>
                <c:pt idx="65">
                  <c:v>1.6878346273250691E-5</c:v>
                </c:pt>
                <c:pt idx="66">
                  <c:v>1.9753632391574317E-5</c:v>
                </c:pt>
                <c:pt idx="67">
                  <c:v>2.5433158079588738E-5</c:v>
                </c:pt>
                <c:pt idx="68">
                  <c:v>2.0880051763817719E-5</c:v>
                </c:pt>
                <c:pt idx="69">
                  <c:v>9.3881831065520076E-6</c:v>
                </c:pt>
                <c:pt idx="70">
                  <c:v>6.3994867396307108E-5</c:v>
                </c:pt>
                <c:pt idx="71">
                  <c:v>4.8326580077519721E-5</c:v>
                </c:pt>
                <c:pt idx="72">
                  <c:v>5.5834635346904768E-5</c:v>
                </c:pt>
                <c:pt idx="73">
                  <c:v>2.9893302606966737E-5</c:v>
                </c:pt>
                <c:pt idx="74">
                  <c:v>3.7630117485611162E-5</c:v>
                </c:pt>
                <c:pt idx="75">
                  <c:v>3.2154648476231911E-5</c:v>
                </c:pt>
                <c:pt idx="76">
                  <c:v>6.0905808620055017E-5</c:v>
                </c:pt>
                <c:pt idx="77">
                  <c:v>4.1313027679354938E-5</c:v>
                </c:pt>
                <c:pt idx="78">
                  <c:v>5.46333686971469E-5</c:v>
                </c:pt>
                <c:pt idx="79">
                  <c:v>4.3641770891474236E-5</c:v>
                </c:pt>
                <c:pt idx="80">
                  <c:v>6.2048140104196581E-5</c:v>
                </c:pt>
                <c:pt idx="81">
                  <c:v>8.2524308709519358E-5</c:v>
                </c:pt>
                <c:pt idx="82">
                  <c:v>3.1838911760253881E-5</c:v>
                </c:pt>
                <c:pt idx="83">
                  <c:v>2.828126975174241E-5</c:v>
                </c:pt>
                <c:pt idx="84">
                  <c:v>2.4042139085203503E-5</c:v>
                </c:pt>
                <c:pt idx="85">
                  <c:v>3.8573665688556549E-5</c:v>
                </c:pt>
                <c:pt idx="86">
                  <c:v>5.641811701184636E-5</c:v>
                </c:pt>
                <c:pt idx="87">
                  <c:v>3.7975386837349799E-5</c:v>
                </c:pt>
                <c:pt idx="88">
                  <c:v>1.8693694895850563E-5</c:v>
                </c:pt>
                <c:pt idx="89">
                  <c:v>2.2368369548398538E-5</c:v>
                </c:pt>
                <c:pt idx="90">
                  <c:v>2.4544566611165055E-5</c:v>
                </c:pt>
                <c:pt idx="91">
                  <c:v>2.1977290942618636E-5</c:v>
                </c:pt>
                <c:pt idx="92">
                  <c:v>2.7810211125642312E-5</c:v>
                </c:pt>
                <c:pt idx="93">
                  <c:v>2.4047767706196772E-5</c:v>
                </c:pt>
                <c:pt idx="94">
                  <c:v>2.5143901873006817E-5</c:v>
                </c:pt>
                <c:pt idx="95">
                  <c:v>3.0449508567318496E-5</c:v>
                </c:pt>
                <c:pt idx="96">
                  <c:v>3.3055364179083179E-5</c:v>
                </c:pt>
                <c:pt idx="97">
                  <c:v>7.318219591146166E-5</c:v>
                </c:pt>
                <c:pt idx="98">
                  <c:v>6.2273759337627192E-5</c:v>
                </c:pt>
                <c:pt idx="99">
                  <c:v>3.3546277659442659E-5</c:v>
                </c:pt>
                <c:pt idx="100">
                  <c:v>3.1257311764932632E-5</c:v>
                </c:pt>
                <c:pt idx="101">
                  <c:v>2.895749287163302E-5</c:v>
                </c:pt>
                <c:pt idx="102">
                  <c:v>2.4108579718484978E-5</c:v>
                </c:pt>
                <c:pt idx="103">
                  <c:v>2.2775786937316886E-5</c:v>
                </c:pt>
                <c:pt idx="104">
                  <c:v>3.2990401722571299E-5</c:v>
                </c:pt>
                <c:pt idx="105">
                  <c:v>1.6441152679916023E-5</c:v>
                </c:pt>
                <c:pt idx="106">
                  <c:v>1.4157184601491588E-5</c:v>
                </c:pt>
                <c:pt idx="107">
                  <c:v>1.4605703729166271E-5</c:v>
                </c:pt>
                <c:pt idx="108">
                  <c:v>1.6177145093161286E-5</c:v>
                </c:pt>
                <c:pt idx="109">
                  <c:v>8.665294579685385E-6</c:v>
                </c:pt>
                <c:pt idx="110">
                  <c:v>8.8442230447987666E-6</c:v>
                </c:pt>
                <c:pt idx="111">
                  <c:v>2.2065610609023718E-5</c:v>
                </c:pt>
                <c:pt idx="112">
                  <c:v>1.9018778628077639E-5</c:v>
                </c:pt>
                <c:pt idx="113">
                  <c:v>2.0500557336566353E-5</c:v>
                </c:pt>
                <c:pt idx="114">
                  <c:v>8.9689298165643259E-6</c:v>
                </c:pt>
                <c:pt idx="115">
                  <c:v>2.298559365960337E-5</c:v>
                </c:pt>
                <c:pt idx="116">
                  <c:v>1.6832845814382845E-5</c:v>
                </c:pt>
                <c:pt idx="117">
                  <c:v>2.4108103791328231E-5</c:v>
                </c:pt>
                <c:pt idx="118">
                  <c:v>1.725943829258205E-5</c:v>
                </c:pt>
                <c:pt idx="119">
                  <c:v>1.5663429406775666E-5</c:v>
                </c:pt>
                <c:pt idx="120">
                  <c:v>1.5660271957470679E-5</c:v>
                </c:pt>
                <c:pt idx="121">
                  <c:v>2.0123567707797131E-5</c:v>
                </c:pt>
                <c:pt idx="122">
                  <c:v>1.3731241277716324E-5</c:v>
                </c:pt>
                <c:pt idx="123">
                  <c:v>2.8404642334678988E-5</c:v>
                </c:pt>
                <c:pt idx="124">
                  <c:v>2.4946133607853108E-5</c:v>
                </c:pt>
                <c:pt idx="125">
                  <c:v>2.0908709502018979E-5</c:v>
                </c:pt>
                <c:pt idx="126">
                  <c:v>2.0200057949229745E-5</c:v>
                </c:pt>
                <c:pt idx="127">
                  <c:v>1.7477799004435686E-5</c:v>
                </c:pt>
                <c:pt idx="128">
                  <c:v>1.6045468302141897E-5</c:v>
                </c:pt>
                <c:pt idx="129">
                  <c:v>1.5312323931234848E-5</c:v>
                </c:pt>
                <c:pt idx="130">
                  <c:v>1.0427806045425984E-5</c:v>
                </c:pt>
                <c:pt idx="131">
                  <c:v>1.671704896148343E-5</c:v>
                </c:pt>
                <c:pt idx="132">
                  <c:v>1.9207420281714064E-5</c:v>
                </c:pt>
                <c:pt idx="133">
                  <c:v>2.1998408366810008E-5</c:v>
                </c:pt>
                <c:pt idx="134">
                  <c:v>1.8586927009017991E-5</c:v>
                </c:pt>
                <c:pt idx="135">
                  <c:v>2.8651052575860614E-5</c:v>
                </c:pt>
                <c:pt idx="136">
                  <c:v>1.726804828235069E-5</c:v>
                </c:pt>
                <c:pt idx="137">
                  <c:v>2.8011738217874955E-5</c:v>
                </c:pt>
                <c:pt idx="138">
                  <c:v>1.884966436370942E-5</c:v>
                </c:pt>
                <c:pt idx="139">
                  <c:v>1.1739227487392344E-5</c:v>
                </c:pt>
                <c:pt idx="140">
                  <c:v>4.8084734337129755E-5</c:v>
                </c:pt>
                <c:pt idx="141">
                  <c:v>5.1361583441196355E-5</c:v>
                </c:pt>
                <c:pt idx="142">
                  <c:v>5.0120282145827177E-5</c:v>
                </c:pt>
                <c:pt idx="143">
                  <c:v>3.6913694369118482E-5</c:v>
                </c:pt>
                <c:pt idx="144">
                  <c:v>3.6651300310615749E-5</c:v>
                </c:pt>
                <c:pt idx="145">
                  <c:v>3.656080742012987E-5</c:v>
                </c:pt>
                <c:pt idx="146">
                  <c:v>6.5338262011343547E-5</c:v>
                </c:pt>
                <c:pt idx="147">
                  <c:v>2.3613652997342389E-5</c:v>
                </c:pt>
                <c:pt idx="148">
                  <c:v>2.0835637386325248E-5</c:v>
                </c:pt>
                <c:pt idx="149">
                  <c:v>3.8164048944609226E-5</c:v>
                </c:pt>
                <c:pt idx="150">
                  <c:v>2.9520248855242879E-5</c:v>
                </c:pt>
                <c:pt idx="151">
                  <c:v>3.301331581974309E-5</c:v>
                </c:pt>
                <c:pt idx="152">
                  <c:v>3.4172855704085698E-5</c:v>
                </c:pt>
                <c:pt idx="153">
                  <c:v>3.4039069050030963E-5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A-4128-872B-AC0B37D7A290}"/>
            </c:ext>
          </c:extLst>
        </c:ser>
        <c:ser>
          <c:idx val="1"/>
          <c:order val="1"/>
          <c:tx>
            <c:v>1:01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1E-3</c:v>
                </c:pt>
              </c:numCache>
            </c:numRef>
          </c:xVal>
          <c:yVal>
            <c:numRef>
              <c:f>Cob_Check!$O$5:$O$6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A-4128-872B-AC0B37D7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7440"/>
        <c:axId val="184708704"/>
      </c:scatterChart>
      <c:valAx>
        <c:axId val="184717440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c_ob (1/psi)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8704"/>
        <c:crossesAt val="1.0000000000000004E-6"/>
        <c:crossBetween val="midCat"/>
      </c:valAx>
      <c:valAx>
        <c:axId val="184708704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c_ob (1/psi)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7440"/>
        <c:crossesAt val="1.0000000000000004E-6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Calc vs Meas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Cob_Check!$K$20:$K$173</c:f>
              <c:numCache>
                <c:formatCode>0.00E+00</c:formatCode>
                <c:ptCount val="154"/>
                <c:pt idx="0">
                  <c:v>2.5861872746664799E-5</c:v>
                </c:pt>
                <c:pt idx="1">
                  <c:v>2.9828500000000001E-5</c:v>
                </c:pt>
                <c:pt idx="2">
                  <c:v>1.78112E-5</c:v>
                </c:pt>
                <c:pt idx="3">
                  <c:v>6.183155080213914E-5</c:v>
                </c:pt>
                <c:pt idx="4">
                  <c:v>2.0641000000000001E-5</c:v>
                </c:pt>
                <c:pt idx="5">
                  <c:v>1.84603E-5</c:v>
                </c:pt>
                <c:pt idx="6">
                  <c:v>2.21206E-5</c:v>
                </c:pt>
                <c:pt idx="7">
                  <c:v>1.54185158706069E-5</c:v>
                </c:pt>
                <c:pt idx="8">
                  <c:v>1.03558E-5</c:v>
                </c:pt>
                <c:pt idx="9">
                  <c:v>1.72274E-5</c:v>
                </c:pt>
                <c:pt idx="10">
                  <c:v>1.794705998628507E-5</c:v>
                </c:pt>
                <c:pt idx="11">
                  <c:v>1.7852200000000002E-5</c:v>
                </c:pt>
                <c:pt idx="12">
                  <c:v>3.0246998091170203E-5</c:v>
                </c:pt>
                <c:pt idx="13">
                  <c:v>2.86722E-5</c:v>
                </c:pt>
                <c:pt idx="14">
                  <c:v>2.6290000000000001E-5</c:v>
                </c:pt>
                <c:pt idx="15">
                  <c:v>1.2208800000000001E-5</c:v>
                </c:pt>
                <c:pt idx="16">
                  <c:v>1.8875599999999999E-5</c:v>
                </c:pt>
                <c:pt idx="17">
                  <c:v>1.3568600000000001E-5</c:v>
                </c:pt>
                <c:pt idx="18">
                  <c:v>1.46948E-5</c:v>
                </c:pt>
                <c:pt idx="19">
                  <c:v>1.37521E-5</c:v>
                </c:pt>
                <c:pt idx="20">
                  <c:v>1.6968699999999999E-5</c:v>
                </c:pt>
                <c:pt idx="21">
                  <c:v>3.7546883008720921E-5</c:v>
                </c:pt>
                <c:pt idx="22">
                  <c:v>4.5710145927484643E-5</c:v>
                </c:pt>
                <c:pt idx="23">
                  <c:v>3.3244699999999997E-5</c:v>
                </c:pt>
                <c:pt idx="24">
                  <c:v>4.4658484555745014E-5</c:v>
                </c:pt>
                <c:pt idx="25">
                  <c:v>3.2993586346309899E-5</c:v>
                </c:pt>
                <c:pt idx="26">
                  <c:v>2.97878E-5</c:v>
                </c:pt>
                <c:pt idx="27">
                  <c:v>2.1097100000000002E-5</c:v>
                </c:pt>
                <c:pt idx="28">
                  <c:v>3.8010199999999997E-5</c:v>
                </c:pt>
                <c:pt idx="29">
                  <c:v>2.9722599999999999E-5</c:v>
                </c:pt>
                <c:pt idx="30">
                  <c:v>2.2328200000000001E-5</c:v>
                </c:pt>
                <c:pt idx="31">
                  <c:v>2.40754E-5</c:v>
                </c:pt>
                <c:pt idx="32">
                  <c:v>3.1637200000000003E-5</c:v>
                </c:pt>
                <c:pt idx="33">
                  <c:v>3.0255000000000001E-5</c:v>
                </c:pt>
                <c:pt idx="34">
                  <c:v>2.06329E-5</c:v>
                </c:pt>
                <c:pt idx="35">
                  <c:v>1.3774100000000001E-5</c:v>
                </c:pt>
                <c:pt idx="36">
                  <c:v>1.46343E-5</c:v>
                </c:pt>
                <c:pt idx="37">
                  <c:v>2.0536100000000001E-5</c:v>
                </c:pt>
                <c:pt idx="38">
                  <c:v>2.70824E-5</c:v>
                </c:pt>
                <c:pt idx="39">
                  <c:v>2.0366100000000001E-5</c:v>
                </c:pt>
                <c:pt idx="40">
                  <c:v>7.5153502924252676E-5</c:v>
                </c:pt>
                <c:pt idx="41">
                  <c:v>2.1942399999999998E-5</c:v>
                </c:pt>
                <c:pt idx="42">
                  <c:v>2.3057500000000001E-5</c:v>
                </c:pt>
                <c:pt idx="43">
                  <c:v>2.2232000608155799E-5</c:v>
                </c:pt>
                <c:pt idx="44">
                  <c:v>6.6363559345965624E-5</c:v>
                </c:pt>
                <c:pt idx="45">
                  <c:v>2.0970200000000001E-5</c:v>
                </c:pt>
                <c:pt idx="46">
                  <c:v>2.8958600000000001E-5</c:v>
                </c:pt>
                <c:pt idx="47">
                  <c:v>2.41219E-5</c:v>
                </c:pt>
                <c:pt idx="48">
                  <c:v>3.8767352612879179E-5</c:v>
                </c:pt>
                <c:pt idx="49">
                  <c:v>1.6000600000000001E-5</c:v>
                </c:pt>
                <c:pt idx="50">
                  <c:v>1.4001E-5</c:v>
                </c:pt>
                <c:pt idx="51">
                  <c:v>6.1927960315292786E-5</c:v>
                </c:pt>
                <c:pt idx="52">
                  <c:v>3.9792000000000001E-5</c:v>
                </c:pt>
                <c:pt idx="53">
                  <c:v>3.7751499999999999E-5</c:v>
                </c:pt>
                <c:pt idx="54">
                  <c:v>4.7141591724124223E-5</c:v>
                </c:pt>
                <c:pt idx="55">
                  <c:v>4.4855980263368582E-5</c:v>
                </c:pt>
                <c:pt idx="56">
                  <c:v>7.6181920712299812E-5</c:v>
                </c:pt>
                <c:pt idx="57">
                  <c:v>5.428996110097987E-5</c:v>
                </c:pt>
                <c:pt idx="58">
                  <c:v>6.0875900129307919E-5</c:v>
                </c:pt>
                <c:pt idx="59">
                  <c:v>5.7696592598665659E-5</c:v>
                </c:pt>
                <c:pt idx="60">
                  <c:v>5.8237185326586588E-5</c:v>
                </c:pt>
                <c:pt idx="61">
                  <c:v>7.5223557651672528E-5</c:v>
                </c:pt>
                <c:pt idx="62">
                  <c:v>3.76003E-5</c:v>
                </c:pt>
                <c:pt idx="63">
                  <c:v>2.46257E-5</c:v>
                </c:pt>
                <c:pt idx="64">
                  <c:v>3.0369200000000001E-5</c:v>
                </c:pt>
                <c:pt idx="65">
                  <c:v>1.72767E-5</c:v>
                </c:pt>
                <c:pt idx="66">
                  <c:v>2.0018016214593399E-5</c:v>
                </c:pt>
                <c:pt idx="67">
                  <c:v>2.4649699999999999E-5</c:v>
                </c:pt>
                <c:pt idx="68">
                  <c:v>1.9306598903568971E-5</c:v>
                </c:pt>
                <c:pt idx="69">
                  <c:v>1.36184E-5</c:v>
                </c:pt>
                <c:pt idx="70">
                  <c:v>5.8542578969883249E-5</c:v>
                </c:pt>
                <c:pt idx="71">
                  <c:v>4.9084457480247505E-5</c:v>
                </c:pt>
                <c:pt idx="72">
                  <c:v>5.5507535049465321E-5</c:v>
                </c:pt>
                <c:pt idx="73">
                  <c:v>2.88053E-5</c:v>
                </c:pt>
                <c:pt idx="74">
                  <c:v>3.5503000000000002E-5</c:v>
                </c:pt>
                <c:pt idx="75">
                  <c:v>3.2677395172111213E-5</c:v>
                </c:pt>
                <c:pt idx="76">
                  <c:v>5.2520973167628993E-5</c:v>
                </c:pt>
                <c:pt idx="77">
                  <c:v>3.9453414659042241E-5</c:v>
                </c:pt>
                <c:pt idx="78">
                  <c:v>7.0318049317459581E-5</c:v>
                </c:pt>
                <c:pt idx="79">
                  <c:v>5.1286399999999997E-5</c:v>
                </c:pt>
                <c:pt idx="80">
                  <c:v>6.5297767629066359E-5</c:v>
                </c:pt>
                <c:pt idx="81">
                  <c:v>9.5971359558316165E-5</c:v>
                </c:pt>
                <c:pt idx="82">
                  <c:v>2.7064067788050001E-5</c:v>
                </c:pt>
                <c:pt idx="83">
                  <c:v>2.7552E-5</c:v>
                </c:pt>
                <c:pt idx="84">
                  <c:v>2.47308E-5</c:v>
                </c:pt>
                <c:pt idx="85">
                  <c:v>4.1775112387656397E-5</c:v>
                </c:pt>
                <c:pt idx="86">
                  <c:v>4.5773174304247885E-5</c:v>
                </c:pt>
                <c:pt idx="87">
                  <c:v>4.4029273699827716E-5</c:v>
                </c:pt>
                <c:pt idx="88">
                  <c:v>1.8600000000000001E-5</c:v>
                </c:pt>
                <c:pt idx="89">
                  <c:v>2.3399999999999996E-5</c:v>
                </c:pt>
                <c:pt idx="90">
                  <c:v>2.50258E-5</c:v>
                </c:pt>
                <c:pt idx="91">
                  <c:v>2.0557999999999999E-5</c:v>
                </c:pt>
                <c:pt idx="92">
                  <c:v>2.7320860476648599E-5</c:v>
                </c:pt>
                <c:pt idx="93">
                  <c:v>2.4738317170880355E-5</c:v>
                </c:pt>
                <c:pt idx="94">
                  <c:v>2.5837527208457165E-5</c:v>
                </c:pt>
                <c:pt idx="95">
                  <c:v>3.0348992576962501E-5</c:v>
                </c:pt>
                <c:pt idx="96">
                  <c:v>3.2977396396851703E-5</c:v>
                </c:pt>
                <c:pt idx="97">
                  <c:v>5.9073348772862548E-5</c:v>
                </c:pt>
                <c:pt idx="98">
                  <c:v>6.238986000591078E-5</c:v>
                </c:pt>
                <c:pt idx="99">
                  <c:v>3.4219600381535102E-5</c:v>
                </c:pt>
                <c:pt idx="100">
                  <c:v>2.9301800000000001E-5</c:v>
                </c:pt>
                <c:pt idx="101">
                  <c:v>3.4412219858609198E-5</c:v>
                </c:pt>
                <c:pt idx="102">
                  <c:v>2.3988000000000001E-5</c:v>
                </c:pt>
                <c:pt idx="103">
                  <c:v>1.35736506880662E-5</c:v>
                </c:pt>
                <c:pt idx="104">
                  <c:v>1.6840000000000001E-5</c:v>
                </c:pt>
                <c:pt idx="105">
                  <c:v>1.2187330891871359E-5</c:v>
                </c:pt>
                <c:pt idx="106">
                  <c:v>1.1764543174783324E-5</c:v>
                </c:pt>
                <c:pt idx="107">
                  <c:v>1.11352235969781E-5</c:v>
                </c:pt>
                <c:pt idx="108">
                  <c:v>1.23589010327442E-5</c:v>
                </c:pt>
                <c:pt idx="109">
                  <c:v>8.3399999999999998E-6</c:v>
                </c:pt>
                <c:pt idx="110">
                  <c:v>8.8419999999999994E-6</c:v>
                </c:pt>
                <c:pt idx="111">
                  <c:v>1.29747949764333E-5</c:v>
                </c:pt>
                <c:pt idx="112">
                  <c:v>1.23492033978367E-5</c:v>
                </c:pt>
                <c:pt idx="113">
                  <c:v>1.2937006721061701E-5</c:v>
                </c:pt>
                <c:pt idx="114">
                  <c:v>7.8406999999999993E-6</c:v>
                </c:pt>
                <c:pt idx="115">
                  <c:v>1.33689711230295E-5</c:v>
                </c:pt>
                <c:pt idx="116">
                  <c:v>1.03509031269858E-5</c:v>
                </c:pt>
                <c:pt idx="117">
                  <c:v>1.36840244771081E-5</c:v>
                </c:pt>
                <c:pt idx="118">
                  <c:v>1.1999722138184901E-5</c:v>
                </c:pt>
                <c:pt idx="119">
                  <c:v>1.2483066538382099E-5</c:v>
                </c:pt>
                <c:pt idx="120">
                  <c:v>1.13891928347361E-5</c:v>
                </c:pt>
                <c:pt idx="121">
                  <c:v>1.0355057978956E-5</c:v>
                </c:pt>
                <c:pt idx="122">
                  <c:v>8.9183311020334792E-6</c:v>
                </c:pt>
                <c:pt idx="123">
                  <c:v>1.32050964869255E-5</c:v>
                </c:pt>
                <c:pt idx="124">
                  <c:v>1.2663605579472001E-5</c:v>
                </c:pt>
                <c:pt idx="125">
                  <c:v>1.43895E-5</c:v>
                </c:pt>
                <c:pt idx="126">
                  <c:v>1.013E-5</c:v>
                </c:pt>
                <c:pt idx="127">
                  <c:v>1.2567876612644101E-5</c:v>
                </c:pt>
                <c:pt idx="128">
                  <c:v>1.2270322886207972E-5</c:v>
                </c:pt>
                <c:pt idx="129">
                  <c:v>1.5213107546419976E-5</c:v>
                </c:pt>
                <c:pt idx="130">
                  <c:v>1.0809348749147172E-5</c:v>
                </c:pt>
                <c:pt idx="131">
                  <c:v>1.21048004780431E-5</c:v>
                </c:pt>
                <c:pt idx="132">
                  <c:v>1.4761725370070495E-5</c:v>
                </c:pt>
                <c:pt idx="133">
                  <c:v>1.3256093623020083E-5</c:v>
                </c:pt>
                <c:pt idx="134">
                  <c:v>1.3013815190895385E-5</c:v>
                </c:pt>
                <c:pt idx="135">
                  <c:v>1.4044040777892234E-5</c:v>
                </c:pt>
                <c:pt idx="136">
                  <c:v>1.503354094425121E-5</c:v>
                </c:pt>
                <c:pt idx="137">
                  <c:v>1.58487149214415E-5</c:v>
                </c:pt>
                <c:pt idx="138">
                  <c:v>1.24280420547592E-5</c:v>
                </c:pt>
                <c:pt idx="139">
                  <c:v>1.0779500000000001E-5</c:v>
                </c:pt>
                <c:pt idx="140">
                  <c:v>5.2865999999999998E-5</c:v>
                </c:pt>
                <c:pt idx="141">
                  <c:v>5.24157793085684E-5</c:v>
                </c:pt>
                <c:pt idx="142">
                  <c:v>5.6315497084457199E-5</c:v>
                </c:pt>
                <c:pt idx="143">
                  <c:v>3.0711608145691098E-5</c:v>
                </c:pt>
                <c:pt idx="144">
                  <c:v>3.66317661139909E-5</c:v>
                </c:pt>
                <c:pt idx="145">
                  <c:v>3.5836299846315902E-5</c:v>
                </c:pt>
                <c:pt idx="146">
                  <c:v>6.0317517366866591E-5</c:v>
                </c:pt>
                <c:pt idx="147">
                  <c:v>2.6910915673748293E-5</c:v>
                </c:pt>
                <c:pt idx="148">
                  <c:v>2.0657461797034198E-5</c:v>
                </c:pt>
                <c:pt idx="149">
                  <c:v>3.481969076520409E-5</c:v>
                </c:pt>
                <c:pt idx="150">
                  <c:v>2.6646440917223094E-5</c:v>
                </c:pt>
                <c:pt idx="151">
                  <c:v>3.3405927508536401E-5</c:v>
                </c:pt>
                <c:pt idx="152">
                  <c:v>2.9842397655878901E-5</c:v>
                </c:pt>
                <c:pt idx="153">
                  <c:v>4.0392901023486177E-5</c:v>
                </c:pt>
              </c:numCache>
            </c:numRef>
          </c:xVal>
          <c:yVal>
            <c:numRef>
              <c:f>Cob_Check!$O$20:$O$173</c:f>
              <c:numCache>
                <c:formatCode>0.00E+00</c:formatCode>
                <c:ptCount val="154"/>
                <c:pt idx="0">
                  <c:v>2.9200539307543094E-5</c:v>
                </c:pt>
                <c:pt idx="1">
                  <c:v>2.9621749314371706E-5</c:v>
                </c:pt>
                <c:pt idx="2">
                  <c:v>1.8511967167138308E-5</c:v>
                </c:pt>
                <c:pt idx="3">
                  <c:v>6.6329921670046674E-5</c:v>
                </c:pt>
                <c:pt idx="4">
                  <c:v>2.180538042277563E-5</c:v>
                </c:pt>
                <c:pt idx="5">
                  <c:v>1.6709465197151493E-5</c:v>
                </c:pt>
                <c:pt idx="6">
                  <c:v>2.3391167892597127E-5</c:v>
                </c:pt>
                <c:pt idx="7">
                  <c:v>1.641016145746625E-5</c:v>
                </c:pt>
                <c:pt idx="8">
                  <c:v>1.0355797370994392E-5</c:v>
                </c:pt>
                <c:pt idx="9">
                  <c:v>1.6920830695013004E-5</c:v>
                </c:pt>
                <c:pt idx="10">
                  <c:v>1.9383870499238692E-5</c:v>
                </c:pt>
                <c:pt idx="11">
                  <c:v>1.8223015044671009E-5</c:v>
                </c:pt>
                <c:pt idx="12">
                  <c:v>2.7266831420402021E-5</c:v>
                </c:pt>
                <c:pt idx="13">
                  <c:v>2.7626292432560026E-5</c:v>
                </c:pt>
                <c:pt idx="14">
                  <c:v>2.8050572778606663E-5</c:v>
                </c:pt>
                <c:pt idx="15">
                  <c:v>9.4706653017056208E-6</c:v>
                </c:pt>
                <c:pt idx="16">
                  <c:v>1.9189173882942765E-5</c:v>
                </c:pt>
                <c:pt idx="17">
                  <c:v>1.2927141264990894E-5</c:v>
                </c:pt>
                <c:pt idx="18">
                  <c:v>1.2994758971049296E-5</c:v>
                </c:pt>
                <c:pt idx="19">
                  <c:v>1.2259812163413439E-5</c:v>
                </c:pt>
                <c:pt idx="20">
                  <c:v>1.6528187965431578E-5</c:v>
                </c:pt>
                <c:pt idx="21">
                  <c:v>3.1725177068522034E-5</c:v>
                </c:pt>
                <c:pt idx="22">
                  <c:v>4.6529727449492707E-5</c:v>
                </c:pt>
                <c:pt idx="23">
                  <c:v>3.6529558880062416E-5</c:v>
                </c:pt>
                <c:pt idx="24">
                  <c:v>4.4854943495664491E-5</c:v>
                </c:pt>
                <c:pt idx="25">
                  <c:v>3.3809065518532712E-5</c:v>
                </c:pt>
                <c:pt idx="26">
                  <c:v>2.9309754545082597E-5</c:v>
                </c:pt>
                <c:pt idx="27">
                  <c:v>2.4077265969261985E-5</c:v>
                </c:pt>
                <c:pt idx="28">
                  <c:v>3.131678791521034E-5</c:v>
                </c:pt>
                <c:pt idx="29">
                  <c:v>2.9075267308178178E-5</c:v>
                </c:pt>
                <c:pt idx="30">
                  <c:v>2.4218149151285619E-5</c:v>
                </c:pt>
                <c:pt idx="31">
                  <c:v>2.4822644954920098E-5</c:v>
                </c:pt>
                <c:pt idx="32">
                  <c:v>2.9347504014524668E-5</c:v>
                </c:pt>
                <c:pt idx="33">
                  <c:v>3.0984832679035972E-5</c:v>
                </c:pt>
                <c:pt idx="34">
                  <c:v>2.2993204844737762E-5</c:v>
                </c:pt>
                <c:pt idx="35">
                  <c:v>1.3054511183572326E-5</c:v>
                </c:pt>
                <c:pt idx="36">
                  <c:v>1.2786076695944486E-5</c:v>
                </c:pt>
                <c:pt idx="37">
                  <c:v>1.891547613306913E-5</c:v>
                </c:pt>
                <c:pt idx="38">
                  <c:v>2.7312642941687132E-5</c:v>
                </c:pt>
                <c:pt idx="39">
                  <c:v>1.9733129619785377E-5</c:v>
                </c:pt>
                <c:pt idx="40">
                  <c:v>6.686734276977221E-5</c:v>
                </c:pt>
                <c:pt idx="41">
                  <c:v>2.3292985190399377E-5</c:v>
                </c:pt>
                <c:pt idx="42">
                  <c:v>2.5274953908028531E-5</c:v>
                </c:pt>
                <c:pt idx="43">
                  <c:v>2.5474445344826972E-5</c:v>
                </c:pt>
                <c:pt idx="44">
                  <c:v>6.6365084720348622E-5</c:v>
                </c:pt>
                <c:pt idx="45">
                  <c:v>2.3140956612995261E-5</c:v>
                </c:pt>
                <c:pt idx="46">
                  <c:v>2.8949009503047197E-5</c:v>
                </c:pt>
                <c:pt idx="47">
                  <c:v>2.3654224353051088E-5</c:v>
                </c:pt>
                <c:pt idx="48">
                  <c:v>4.7911063849456337E-5</c:v>
                </c:pt>
                <c:pt idx="49">
                  <c:v>1.6366704381286661E-5</c:v>
                </c:pt>
                <c:pt idx="50">
                  <c:v>1.2913670412566944E-5</c:v>
                </c:pt>
                <c:pt idx="51">
                  <c:v>6.8544249317066246E-5</c:v>
                </c:pt>
                <c:pt idx="52">
                  <c:v>3.7243533773915092E-5</c:v>
                </c:pt>
                <c:pt idx="53">
                  <c:v>3.6946916140234403E-5</c:v>
                </c:pt>
                <c:pt idx="54">
                  <c:v>4.5138539205736552E-5</c:v>
                </c:pt>
                <c:pt idx="55">
                  <c:v>4.7132521354868791E-5</c:v>
                </c:pt>
                <c:pt idx="56">
                  <c:v>7.5959321317841931E-5</c:v>
                </c:pt>
                <c:pt idx="57">
                  <c:v>5.0938691639679251E-5</c:v>
                </c:pt>
                <c:pt idx="58">
                  <c:v>5.8436516656221224E-5</c:v>
                </c:pt>
                <c:pt idx="59">
                  <c:v>6.0334822743539491E-5</c:v>
                </c:pt>
                <c:pt idx="60">
                  <c:v>5.6112934647161601E-5</c:v>
                </c:pt>
                <c:pt idx="61">
                  <c:v>8.454057875926061E-5</c:v>
                </c:pt>
                <c:pt idx="62">
                  <c:v>3.3211235893718334E-5</c:v>
                </c:pt>
                <c:pt idx="63">
                  <c:v>2.4107364667349606E-5</c:v>
                </c:pt>
                <c:pt idx="64">
                  <c:v>2.8708648956956556E-5</c:v>
                </c:pt>
                <c:pt idx="65">
                  <c:v>1.6878346273250691E-5</c:v>
                </c:pt>
                <c:pt idx="66">
                  <c:v>1.9753632391574317E-5</c:v>
                </c:pt>
                <c:pt idx="67">
                  <c:v>2.5433158079588738E-5</c:v>
                </c:pt>
                <c:pt idx="68">
                  <c:v>2.0880051763817719E-5</c:v>
                </c:pt>
                <c:pt idx="69">
                  <c:v>9.3881831065520076E-6</c:v>
                </c:pt>
                <c:pt idx="70">
                  <c:v>6.3994867396307108E-5</c:v>
                </c:pt>
                <c:pt idx="71">
                  <c:v>4.8326580077519721E-5</c:v>
                </c:pt>
                <c:pt idx="72">
                  <c:v>5.5834635346904768E-5</c:v>
                </c:pt>
                <c:pt idx="73">
                  <c:v>2.9893302606966737E-5</c:v>
                </c:pt>
                <c:pt idx="74">
                  <c:v>3.7630117485611162E-5</c:v>
                </c:pt>
                <c:pt idx="75">
                  <c:v>3.2154648476231911E-5</c:v>
                </c:pt>
                <c:pt idx="76">
                  <c:v>6.0905808620055017E-5</c:v>
                </c:pt>
                <c:pt idx="77">
                  <c:v>4.1313027679354938E-5</c:v>
                </c:pt>
                <c:pt idx="78">
                  <c:v>5.46333686971469E-5</c:v>
                </c:pt>
                <c:pt idx="79">
                  <c:v>4.3641770891474236E-5</c:v>
                </c:pt>
                <c:pt idx="80">
                  <c:v>6.2048140104196581E-5</c:v>
                </c:pt>
                <c:pt idx="81">
                  <c:v>8.2524308709519358E-5</c:v>
                </c:pt>
                <c:pt idx="82">
                  <c:v>3.1838911760253881E-5</c:v>
                </c:pt>
                <c:pt idx="83">
                  <c:v>2.828126975174241E-5</c:v>
                </c:pt>
                <c:pt idx="84">
                  <c:v>2.4042139085203503E-5</c:v>
                </c:pt>
                <c:pt idx="85">
                  <c:v>3.8573665688556549E-5</c:v>
                </c:pt>
                <c:pt idx="86">
                  <c:v>5.641811701184636E-5</c:v>
                </c:pt>
                <c:pt idx="87">
                  <c:v>3.7975386837349799E-5</c:v>
                </c:pt>
                <c:pt idx="88">
                  <c:v>1.8693694895850563E-5</c:v>
                </c:pt>
                <c:pt idx="89">
                  <c:v>2.2368369548398538E-5</c:v>
                </c:pt>
                <c:pt idx="90">
                  <c:v>2.4544566611165055E-5</c:v>
                </c:pt>
                <c:pt idx="91">
                  <c:v>2.1977290942618636E-5</c:v>
                </c:pt>
                <c:pt idx="92">
                  <c:v>2.7810211125642312E-5</c:v>
                </c:pt>
                <c:pt idx="93">
                  <c:v>2.4047767706196772E-5</c:v>
                </c:pt>
                <c:pt idx="94">
                  <c:v>2.5143901873006817E-5</c:v>
                </c:pt>
                <c:pt idx="95">
                  <c:v>3.0449508567318496E-5</c:v>
                </c:pt>
                <c:pt idx="96">
                  <c:v>3.3055364179083179E-5</c:v>
                </c:pt>
                <c:pt idx="97">
                  <c:v>7.318219591146166E-5</c:v>
                </c:pt>
                <c:pt idx="98">
                  <c:v>6.2273759337627192E-5</c:v>
                </c:pt>
                <c:pt idx="99">
                  <c:v>3.3546277659442659E-5</c:v>
                </c:pt>
                <c:pt idx="100">
                  <c:v>3.1257311764932632E-5</c:v>
                </c:pt>
                <c:pt idx="101">
                  <c:v>2.895749287163302E-5</c:v>
                </c:pt>
                <c:pt idx="102">
                  <c:v>2.4108579718484978E-5</c:v>
                </c:pt>
                <c:pt idx="103">
                  <c:v>2.2775786937316886E-5</c:v>
                </c:pt>
                <c:pt idx="104">
                  <c:v>3.2990401722571299E-5</c:v>
                </c:pt>
                <c:pt idx="105">
                  <c:v>1.6441152679916023E-5</c:v>
                </c:pt>
                <c:pt idx="106">
                  <c:v>1.4157184601491588E-5</c:v>
                </c:pt>
                <c:pt idx="107">
                  <c:v>1.4605703729166271E-5</c:v>
                </c:pt>
                <c:pt idx="108">
                  <c:v>1.6177145093161286E-5</c:v>
                </c:pt>
                <c:pt idx="109">
                  <c:v>8.665294579685385E-6</c:v>
                </c:pt>
                <c:pt idx="110">
                  <c:v>8.8442230447987666E-6</c:v>
                </c:pt>
                <c:pt idx="111">
                  <c:v>2.2065610609023718E-5</c:v>
                </c:pt>
                <c:pt idx="112">
                  <c:v>1.9018778628077639E-5</c:v>
                </c:pt>
                <c:pt idx="113">
                  <c:v>2.0500557336566353E-5</c:v>
                </c:pt>
                <c:pt idx="114">
                  <c:v>8.9689298165643259E-6</c:v>
                </c:pt>
                <c:pt idx="115">
                  <c:v>2.298559365960337E-5</c:v>
                </c:pt>
                <c:pt idx="116">
                  <c:v>1.6832845814382845E-5</c:v>
                </c:pt>
                <c:pt idx="117">
                  <c:v>2.4108103791328231E-5</c:v>
                </c:pt>
                <c:pt idx="118">
                  <c:v>1.725943829258205E-5</c:v>
                </c:pt>
                <c:pt idx="119">
                  <c:v>1.5663429406775666E-5</c:v>
                </c:pt>
                <c:pt idx="120">
                  <c:v>1.5660271957470679E-5</c:v>
                </c:pt>
                <c:pt idx="121">
                  <c:v>2.0123567707797131E-5</c:v>
                </c:pt>
                <c:pt idx="122">
                  <c:v>1.3731241277716324E-5</c:v>
                </c:pt>
                <c:pt idx="123">
                  <c:v>2.8404642334678988E-5</c:v>
                </c:pt>
                <c:pt idx="124">
                  <c:v>2.4946133607853108E-5</c:v>
                </c:pt>
                <c:pt idx="125">
                  <c:v>2.0908709502018979E-5</c:v>
                </c:pt>
                <c:pt idx="126">
                  <c:v>2.0200057949229745E-5</c:v>
                </c:pt>
                <c:pt idx="127">
                  <c:v>1.7477799004435686E-5</c:v>
                </c:pt>
                <c:pt idx="128">
                  <c:v>1.6045468302141897E-5</c:v>
                </c:pt>
                <c:pt idx="129">
                  <c:v>1.5312323931234848E-5</c:v>
                </c:pt>
                <c:pt idx="130">
                  <c:v>1.0427806045425984E-5</c:v>
                </c:pt>
                <c:pt idx="131">
                  <c:v>1.671704896148343E-5</c:v>
                </c:pt>
                <c:pt idx="132">
                  <c:v>1.9207420281714064E-5</c:v>
                </c:pt>
                <c:pt idx="133">
                  <c:v>2.1998408366810008E-5</c:v>
                </c:pt>
                <c:pt idx="134">
                  <c:v>1.8586927009017991E-5</c:v>
                </c:pt>
                <c:pt idx="135">
                  <c:v>2.8651052575860614E-5</c:v>
                </c:pt>
                <c:pt idx="136">
                  <c:v>1.726804828235069E-5</c:v>
                </c:pt>
                <c:pt idx="137">
                  <c:v>2.8011738217874955E-5</c:v>
                </c:pt>
                <c:pt idx="138">
                  <c:v>1.884966436370942E-5</c:v>
                </c:pt>
                <c:pt idx="139">
                  <c:v>1.1739227487392344E-5</c:v>
                </c:pt>
                <c:pt idx="140">
                  <c:v>4.8084734337129755E-5</c:v>
                </c:pt>
                <c:pt idx="141">
                  <c:v>5.1361583441196355E-5</c:v>
                </c:pt>
                <c:pt idx="142">
                  <c:v>5.0120282145827177E-5</c:v>
                </c:pt>
                <c:pt idx="143">
                  <c:v>3.6913694369118482E-5</c:v>
                </c:pt>
                <c:pt idx="144">
                  <c:v>3.6651300310615749E-5</c:v>
                </c:pt>
                <c:pt idx="145">
                  <c:v>3.656080742012987E-5</c:v>
                </c:pt>
                <c:pt idx="146">
                  <c:v>6.5338262011343547E-5</c:v>
                </c:pt>
                <c:pt idx="147">
                  <c:v>2.3613652997342389E-5</c:v>
                </c:pt>
                <c:pt idx="148">
                  <c:v>2.0835637386325248E-5</c:v>
                </c:pt>
                <c:pt idx="149">
                  <c:v>3.8164048944609226E-5</c:v>
                </c:pt>
                <c:pt idx="150">
                  <c:v>2.9520248855242879E-5</c:v>
                </c:pt>
                <c:pt idx="151">
                  <c:v>3.301331581974309E-5</c:v>
                </c:pt>
                <c:pt idx="152">
                  <c:v>3.4172855704085698E-5</c:v>
                </c:pt>
                <c:pt idx="153">
                  <c:v>3.4039069050030963E-5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D-4DBA-AD88-12E71FE4699D}"/>
            </c:ext>
          </c:extLst>
        </c:ser>
        <c:ser>
          <c:idx val="1"/>
          <c:order val="1"/>
          <c:tx>
            <c:v>1:01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1E-3</c:v>
                </c:pt>
              </c:numCache>
            </c:numRef>
          </c:xVal>
          <c:yVal>
            <c:numRef>
              <c:f>Cob_Check!$O$5:$O$6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D-4DBA-AD88-12E71FE4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7440"/>
        <c:axId val="184708704"/>
      </c:scatterChart>
      <c:valAx>
        <c:axId val="184717440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c_ob (1/psi)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8704"/>
        <c:crossesAt val="1.0000000000000004E-6"/>
        <c:crossBetween val="midCat"/>
      </c:valAx>
      <c:valAx>
        <c:axId val="184708704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c_ob (1/psi)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7440"/>
        <c:crossesAt val="1.0000000000000004E-6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5945195832485"/>
          <c:y val="0.10589578872234119"/>
          <c:w val="0.76602866737030662"/>
          <c:h val="0.76220337554165474"/>
        </c:manualLayout>
      </c:layout>
      <c:bubbleChart>
        <c:varyColors val="0"/>
        <c:ser>
          <c:idx val="0"/>
          <c:order val="0"/>
          <c:tx>
            <c:v>Pool 1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xVal>
            <c:numRef>
              <c:f>Data!$Y$3:$Y$105</c:f>
              <c:numCache>
                <c:formatCode>0</c:formatCode>
                <c:ptCount val="103"/>
                <c:pt idx="0">
                  <c:v>4726</c:v>
                </c:pt>
                <c:pt idx="1">
                  <c:v>-976</c:v>
                </c:pt>
                <c:pt idx="2">
                  <c:v>2425</c:v>
                </c:pt>
                <c:pt idx="3">
                  <c:v>3486</c:v>
                </c:pt>
                <c:pt idx="4">
                  <c:v>2190</c:v>
                </c:pt>
                <c:pt idx="5">
                  <c:v>2613</c:v>
                </c:pt>
                <c:pt idx="6">
                  <c:v>-128</c:v>
                </c:pt>
                <c:pt idx="7">
                  <c:v>1047</c:v>
                </c:pt>
                <c:pt idx="8">
                  <c:v>972.00000000000011</c:v>
                </c:pt>
                <c:pt idx="9">
                  <c:v>1763</c:v>
                </c:pt>
                <c:pt idx="10">
                  <c:v>1536</c:v>
                </c:pt>
                <c:pt idx="11">
                  <c:v>3250</c:v>
                </c:pt>
                <c:pt idx="12">
                  <c:v>573</c:v>
                </c:pt>
                <c:pt idx="13">
                  <c:v>3905.9999999999995</c:v>
                </c:pt>
                <c:pt idx="14">
                  <c:v>2065</c:v>
                </c:pt>
                <c:pt idx="15">
                  <c:v>3853</c:v>
                </c:pt>
                <c:pt idx="16">
                  <c:v>3150</c:v>
                </c:pt>
                <c:pt idx="17">
                  <c:v>2747</c:v>
                </c:pt>
                <c:pt idx="18">
                  <c:v>3186</c:v>
                </c:pt>
                <c:pt idx="19">
                  <c:v>3960</c:v>
                </c:pt>
                <c:pt idx="20">
                  <c:v>5358</c:v>
                </c:pt>
                <c:pt idx="21">
                  <c:v>3720</c:v>
                </c:pt>
                <c:pt idx="22">
                  <c:v>928</c:v>
                </c:pt>
                <c:pt idx="23">
                  <c:v>6708</c:v>
                </c:pt>
                <c:pt idx="24">
                  <c:v>532</c:v>
                </c:pt>
                <c:pt idx="25">
                  <c:v>2089</c:v>
                </c:pt>
                <c:pt idx="26">
                  <c:v>2786</c:v>
                </c:pt>
                <c:pt idx="27">
                  <c:v>1166</c:v>
                </c:pt>
                <c:pt idx="28">
                  <c:v>2510</c:v>
                </c:pt>
                <c:pt idx="29">
                  <c:v>3159</c:v>
                </c:pt>
                <c:pt idx="30">
                  <c:v>-229</c:v>
                </c:pt>
                <c:pt idx="31">
                  <c:v>909</c:v>
                </c:pt>
                <c:pt idx="32">
                  <c:v>2511</c:v>
                </c:pt>
                <c:pt idx="33">
                  <c:v>1678</c:v>
                </c:pt>
                <c:pt idx="34">
                  <c:v>1400</c:v>
                </c:pt>
                <c:pt idx="35">
                  <c:v>2794</c:v>
                </c:pt>
                <c:pt idx="36">
                  <c:v>3701</c:v>
                </c:pt>
                <c:pt idx="37">
                  <c:v>3807</c:v>
                </c:pt>
                <c:pt idx="38">
                  <c:v>860</c:v>
                </c:pt>
                <c:pt idx="39">
                  <c:v>3350</c:v>
                </c:pt>
                <c:pt idx="40">
                  <c:v>2776</c:v>
                </c:pt>
                <c:pt idx="41">
                  <c:v>1400</c:v>
                </c:pt>
                <c:pt idx="42">
                  <c:v>3750</c:v>
                </c:pt>
                <c:pt idx="43">
                  <c:v>-56</c:v>
                </c:pt>
                <c:pt idx="44">
                  <c:v>2430</c:v>
                </c:pt>
                <c:pt idx="45">
                  <c:v>1750</c:v>
                </c:pt>
                <c:pt idx="46">
                  <c:v>3116</c:v>
                </c:pt>
                <c:pt idx="47">
                  <c:v>1315</c:v>
                </c:pt>
                <c:pt idx="48">
                  <c:v>1692</c:v>
                </c:pt>
                <c:pt idx="49">
                  <c:v>1595</c:v>
                </c:pt>
                <c:pt idx="50">
                  <c:v>2400</c:v>
                </c:pt>
                <c:pt idx="51">
                  <c:v>3709</c:v>
                </c:pt>
                <c:pt idx="52">
                  <c:v>3082</c:v>
                </c:pt>
                <c:pt idx="53">
                  <c:v>2874</c:v>
                </c:pt>
                <c:pt idx="54">
                  <c:v>2260</c:v>
                </c:pt>
                <c:pt idx="55">
                  <c:v>2553</c:v>
                </c:pt>
                <c:pt idx="56">
                  <c:v>3945</c:v>
                </c:pt>
                <c:pt idx="57">
                  <c:v>2878</c:v>
                </c:pt>
                <c:pt idx="58">
                  <c:v>3575</c:v>
                </c:pt>
                <c:pt idx="59">
                  <c:v>3591</c:v>
                </c:pt>
                <c:pt idx="60">
                  <c:v>3227</c:v>
                </c:pt>
                <c:pt idx="61">
                  <c:v>4501</c:v>
                </c:pt>
                <c:pt idx="62">
                  <c:v>0</c:v>
                </c:pt>
                <c:pt idx="63">
                  <c:v>345</c:v>
                </c:pt>
                <c:pt idx="64">
                  <c:v>1898</c:v>
                </c:pt>
                <c:pt idx="65">
                  <c:v>1288</c:v>
                </c:pt>
                <c:pt idx="66">
                  <c:v>4345</c:v>
                </c:pt>
                <c:pt idx="67">
                  <c:v>1522</c:v>
                </c:pt>
                <c:pt idx="68">
                  <c:v>4604</c:v>
                </c:pt>
                <c:pt idx="69">
                  <c:v>1900</c:v>
                </c:pt>
                <c:pt idx="70">
                  <c:v>4439</c:v>
                </c:pt>
                <c:pt idx="71">
                  <c:v>3695</c:v>
                </c:pt>
                <c:pt idx="72">
                  <c:v>4076</c:v>
                </c:pt>
                <c:pt idx="73">
                  <c:v>2300</c:v>
                </c:pt>
                <c:pt idx="74">
                  <c:v>2041</c:v>
                </c:pt>
                <c:pt idx="75">
                  <c:v>2204</c:v>
                </c:pt>
                <c:pt idx="76">
                  <c:v>1725</c:v>
                </c:pt>
                <c:pt idx="77">
                  <c:v>2267</c:v>
                </c:pt>
                <c:pt idx="78">
                  <c:v>2744</c:v>
                </c:pt>
                <c:pt idx="79">
                  <c:v>2159</c:v>
                </c:pt>
                <c:pt idx="80">
                  <c:v>2117</c:v>
                </c:pt>
                <c:pt idx="81">
                  <c:v>3362</c:v>
                </c:pt>
                <c:pt idx="82">
                  <c:v>4672</c:v>
                </c:pt>
                <c:pt idx="83">
                  <c:v>6300</c:v>
                </c:pt>
                <c:pt idx="84">
                  <c:v>5500</c:v>
                </c:pt>
                <c:pt idx="85">
                  <c:v>3300</c:v>
                </c:pt>
                <c:pt idx="86">
                  <c:v>1339</c:v>
                </c:pt>
                <c:pt idx="87">
                  <c:v>2884</c:v>
                </c:pt>
                <c:pt idx="88">
                  <c:v>2778</c:v>
                </c:pt>
                <c:pt idx="89">
                  <c:v>2300</c:v>
                </c:pt>
                <c:pt idx="90">
                  <c:v>1197</c:v>
                </c:pt>
                <c:pt idx="91">
                  <c:v>2560</c:v>
                </c:pt>
                <c:pt idx="92">
                  <c:v>2160</c:v>
                </c:pt>
                <c:pt idx="93">
                  <c:v>1653</c:v>
                </c:pt>
                <c:pt idx="94">
                  <c:v>2087</c:v>
                </c:pt>
                <c:pt idx="95">
                  <c:v>2185</c:v>
                </c:pt>
                <c:pt idx="96">
                  <c:v>2327</c:v>
                </c:pt>
                <c:pt idx="97">
                  <c:v>2997</c:v>
                </c:pt>
                <c:pt idx="98">
                  <c:v>2740</c:v>
                </c:pt>
                <c:pt idx="99">
                  <c:v>3077</c:v>
                </c:pt>
                <c:pt idx="100">
                  <c:v>3299</c:v>
                </c:pt>
                <c:pt idx="101">
                  <c:v>-27</c:v>
                </c:pt>
                <c:pt idx="102">
                  <c:v>-60</c:v>
                </c:pt>
              </c:numCache>
            </c:numRef>
          </c:xVal>
          <c:yVal>
            <c:numRef>
              <c:f>Data!$W$3:$W$105</c:f>
              <c:numCache>
                <c:formatCode>0.00%</c:formatCode>
                <c:ptCount val="103"/>
                <c:pt idx="0">
                  <c:v>0.11504918394772763</c:v>
                </c:pt>
                <c:pt idx="1">
                  <c:v>0</c:v>
                </c:pt>
                <c:pt idx="2">
                  <c:v>4.2272664501155237E-2</c:v>
                </c:pt>
                <c:pt idx="3">
                  <c:v>0.19389783271958919</c:v>
                </c:pt>
                <c:pt idx="4">
                  <c:v>4.4197321043609475E-2</c:v>
                </c:pt>
                <c:pt idx="5">
                  <c:v>4.7091853882274624E-2</c:v>
                </c:pt>
                <c:pt idx="6">
                  <c:v>2.8354491031434038E-3</c:v>
                </c:pt>
                <c:pt idx="7">
                  <c:v>1.601358322590268E-2</c:v>
                </c:pt>
                <c:pt idx="8">
                  <c:v>1.0015346610083664E-2</c:v>
                </c:pt>
                <c:pt idx="9">
                  <c:v>2.9915314057290778E-2</c:v>
                </c:pt>
                <c:pt idx="10">
                  <c:v>2.7190190594013678E-2</c:v>
                </c:pt>
                <c:pt idx="11">
                  <c:v>5.6368595102487554E-2</c:v>
                </c:pt>
                <c:pt idx="12">
                  <c:v>1.7182202874965691E-2</c:v>
                </c:pt>
                <c:pt idx="13">
                  <c:v>0.1059500323995442</c:v>
                </c:pt>
                <c:pt idx="14">
                  <c:v>5.2841519741792027E-2</c:v>
                </c:pt>
                <c:pt idx="15">
                  <c:v>4.5951248272682876E-2</c:v>
                </c:pt>
                <c:pt idx="16">
                  <c:v>5.7725023603801565E-2</c:v>
                </c:pt>
                <c:pt idx="17">
                  <c:v>3.6586858569803364E-2</c:v>
                </c:pt>
                <c:pt idx="18">
                  <c:v>4.5738592295988589E-2</c:v>
                </c:pt>
                <c:pt idx="19">
                  <c:v>5.3002017300983681E-2</c:v>
                </c:pt>
                <c:pt idx="20">
                  <c:v>8.6907687575825898E-2</c:v>
                </c:pt>
                <c:pt idx="21">
                  <c:v>0.13035865963978882</c:v>
                </c:pt>
                <c:pt idx="22">
                  <c:v>4.1531916487515377E-2</c:v>
                </c:pt>
                <c:pt idx="23">
                  <c:v>0.19988950939922664</c:v>
                </c:pt>
                <c:pt idx="24">
                  <c:v>2.3478306927020343E-2</c:v>
                </c:pt>
                <c:pt idx="25">
                  <c:v>6.6602012791875428E-2</c:v>
                </c:pt>
                <c:pt idx="26">
                  <c:v>7.9638554729205474E-2</c:v>
                </c:pt>
                <c:pt idx="27">
                  <c:v>2.4299123559291775E-2</c:v>
                </c:pt>
                <c:pt idx="28">
                  <c:v>9.0995834221020158E-2</c:v>
                </c:pt>
                <c:pt idx="29">
                  <c:v>8.9620463549963184E-2</c:v>
                </c:pt>
                <c:pt idx="30">
                  <c:v>5.1262522999124356E-3</c:v>
                </c:pt>
                <c:pt idx="31">
                  <c:v>2.1646809440839548E-2</c:v>
                </c:pt>
                <c:pt idx="32">
                  <c:v>7.6367495818115319E-2</c:v>
                </c:pt>
                <c:pt idx="33">
                  <c:v>4.9500734685218685E-2</c:v>
                </c:pt>
                <c:pt idx="34">
                  <c:v>2.8472846035572902E-2</c:v>
                </c:pt>
                <c:pt idx="35">
                  <c:v>3.7753703290632358E-2</c:v>
                </c:pt>
                <c:pt idx="36">
                  <c:v>5.2720933392949962E-2</c:v>
                </c:pt>
                <c:pt idx="37">
                  <c:v>7.5202914628357737E-2</c:v>
                </c:pt>
                <c:pt idx="38">
                  <c:v>2.3021725366695705E-2</c:v>
                </c:pt>
                <c:pt idx="39">
                  <c:v>6.5951051743849076E-2</c:v>
                </c:pt>
                <c:pt idx="40">
                  <c:v>0</c:v>
                </c:pt>
                <c:pt idx="41">
                  <c:v>3.0252315118203414E-2</c:v>
                </c:pt>
                <c:pt idx="42">
                  <c:v>8.2832924138936406E-2</c:v>
                </c:pt>
                <c:pt idx="43">
                  <c:v>0</c:v>
                </c:pt>
                <c:pt idx="44">
                  <c:v>0.14893217157747804</c:v>
                </c:pt>
                <c:pt idx="45">
                  <c:v>3.6032645912995646E-2</c:v>
                </c:pt>
                <c:pt idx="46">
                  <c:v>8.6283561130442957E-2</c:v>
                </c:pt>
                <c:pt idx="47">
                  <c:v>3.1222487288949271E-2</c:v>
                </c:pt>
                <c:pt idx="48">
                  <c:v>6.3489327138471024E-2</c:v>
                </c:pt>
                <c:pt idx="49">
                  <c:v>2.5198050172787437E-2</c:v>
                </c:pt>
                <c:pt idx="50">
                  <c:v>3.3044110121527491E-2</c:v>
                </c:pt>
                <c:pt idx="51">
                  <c:v>0.20522069354473585</c:v>
                </c:pt>
                <c:pt idx="52">
                  <c:v>0.11541701109435223</c:v>
                </c:pt>
                <c:pt idx="53">
                  <c:v>0.10281914125627886</c:v>
                </c:pt>
                <c:pt idx="54">
                  <c:v>0.10106090769126136</c:v>
                </c:pt>
                <c:pt idx="55">
                  <c:v>0.10820350550161389</c:v>
                </c:pt>
                <c:pt idx="56">
                  <c:v>0.2595799933274201</c:v>
                </c:pt>
                <c:pt idx="57">
                  <c:v>0.14465168586306648</c:v>
                </c:pt>
                <c:pt idx="58">
                  <c:v>0.19557805717989651</c:v>
                </c:pt>
                <c:pt idx="59">
                  <c:v>0.18713356052768643</c:v>
                </c:pt>
                <c:pt idx="60">
                  <c:v>0.17132844540314787</c:v>
                </c:pt>
                <c:pt idx="61">
                  <c:v>0.28721912428480079</c:v>
                </c:pt>
                <c:pt idx="62">
                  <c:v>0</c:v>
                </c:pt>
                <c:pt idx="63">
                  <c:v>8.4598786144122039E-3</c:v>
                </c:pt>
                <c:pt idx="64">
                  <c:v>5.6010977488787785E-2</c:v>
                </c:pt>
                <c:pt idx="65">
                  <c:v>2.2006631455838466E-2</c:v>
                </c:pt>
                <c:pt idx="66">
                  <c:v>8.3302994338825265E-2</c:v>
                </c:pt>
                <c:pt idx="67">
                  <c:v>3.6821805611405217E-2</c:v>
                </c:pt>
                <c:pt idx="68">
                  <c:v>8.5051574941962776E-2</c:v>
                </c:pt>
                <c:pt idx="69">
                  <c:v>2.5543071914463138E-2</c:v>
                </c:pt>
                <c:pt idx="70">
                  <c:v>0.22884856275612517</c:v>
                </c:pt>
                <c:pt idx="71">
                  <c:v>0.16587088160703942</c:v>
                </c:pt>
                <c:pt idx="72">
                  <c:v>0.20248027641554484</c:v>
                </c:pt>
                <c:pt idx="73">
                  <c:v>6.410518878468309E-2</c:v>
                </c:pt>
                <c:pt idx="74">
                  <c:v>6.9898559521655454E-2</c:v>
                </c:pt>
                <c:pt idx="75">
                  <c:v>6.9488625553846078E-2</c:v>
                </c:pt>
                <c:pt idx="76">
                  <c:v>8.6615802124408017E-2</c:v>
                </c:pt>
                <c:pt idx="77">
                  <c:v>8.5557684731628794E-2</c:v>
                </c:pt>
                <c:pt idx="78">
                  <c:v>0.1754790494729721</c:v>
                </c:pt>
                <c:pt idx="79">
                  <c:v>0.10481720165379498</c:v>
                </c:pt>
                <c:pt idx="80">
                  <c:v>0.12910631817133264</c:v>
                </c:pt>
                <c:pt idx="81">
                  <c:v>0.27577684636526956</c:v>
                </c:pt>
                <c:pt idx="82">
                  <c:v>0.11877590823705929</c:v>
                </c:pt>
                <c:pt idx="83">
                  <c:v>0.15934808595781588</c:v>
                </c:pt>
                <c:pt idx="84">
                  <c:v>0.12717430049410053</c:v>
                </c:pt>
                <c:pt idx="85">
                  <c:v>0.12877749096425845</c:v>
                </c:pt>
                <c:pt idx="86">
                  <c:v>5.9449823129819661E-2</c:v>
                </c:pt>
                <c:pt idx="87">
                  <c:v>0.11924908718099067</c:v>
                </c:pt>
                <c:pt idx="88">
                  <c:v>0</c:v>
                </c:pt>
                <c:pt idx="89">
                  <c:v>0</c:v>
                </c:pt>
                <c:pt idx="90">
                  <c:v>2.9511651973285341E-2</c:v>
                </c:pt>
                <c:pt idx="91">
                  <c:v>5.1267579916281829E-2</c:v>
                </c:pt>
                <c:pt idx="92">
                  <c:v>5.7305541221004716E-2</c:v>
                </c:pt>
                <c:pt idx="93">
                  <c:v>4.0067623630822197E-2</c:v>
                </c:pt>
                <c:pt idx="94">
                  <c:v>5.2494861938492274E-2</c:v>
                </c:pt>
                <c:pt idx="95">
                  <c:v>6.41616765495336E-2</c:v>
                </c:pt>
                <c:pt idx="96">
                  <c:v>7.3867903234521901E-2</c:v>
                </c:pt>
                <c:pt idx="97">
                  <c:v>0.16225609369388902</c:v>
                </c:pt>
                <c:pt idx="98">
                  <c:v>0.15713478107674883</c:v>
                </c:pt>
                <c:pt idx="99">
                  <c:v>9.9939873236171081E-2</c:v>
                </c:pt>
                <c:pt idx="100">
                  <c:v>9.2141398928927656E-2</c:v>
                </c:pt>
                <c:pt idx="101">
                  <c:v>9.2956171111631132E-4</c:v>
                </c:pt>
                <c:pt idx="102">
                  <c:v>1.4403162605558307E-3</c:v>
                </c:pt>
              </c:numCache>
            </c:numRef>
          </c:yVal>
          <c:bubbleSize>
            <c:numRef>
              <c:f>Data!$X$3:$X$105</c:f>
              <c:numCache>
                <c:formatCode>0.00</c:formatCode>
                <c:ptCount val="103"/>
                <c:pt idx="0">
                  <c:v>1667.7686823505683</c:v>
                </c:pt>
                <c:pt idx="1">
                  <c:v>3188.8071</c:v>
                </c:pt>
                <c:pt idx="2">
                  <c:v>1133.4462691607539</c:v>
                </c:pt>
                <c:pt idx="3">
                  <c:v>8422.6288999999997</c:v>
                </c:pt>
                <c:pt idx="4">
                  <c:v>1371</c:v>
                </c:pt>
                <c:pt idx="5">
                  <c:v>979</c:v>
                </c:pt>
                <c:pt idx="6">
                  <c:v>1748.1534999999999</c:v>
                </c:pt>
                <c:pt idx="7">
                  <c:v>977</c:v>
                </c:pt>
                <c:pt idx="8">
                  <c:v>224</c:v>
                </c:pt>
                <c:pt idx="9">
                  <c:v>895</c:v>
                </c:pt>
                <c:pt idx="10">
                  <c:v>1179</c:v>
                </c:pt>
                <c:pt idx="11">
                  <c:v>1064</c:v>
                </c:pt>
                <c:pt idx="12">
                  <c:v>1827</c:v>
                </c:pt>
                <c:pt idx="13">
                  <c:v>1633</c:v>
                </c:pt>
                <c:pt idx="14">
                  <c:v>1921.8963562753036</c:v>
                </c:pt>
                <c:pt idx="15">
                  <c:v>564</c:v>
                </c:pt>
                <c:pt idx="16">
                  <c:v>1226</c:v>
                </c:pt>
                <c:pt idx="17">
                  <c:v>848</c:v>
                </c:pt>
                <c:pt idx="18">
                  <c:v>840</c:v>
                </c:pt>
                <c:pt idx="19">
                  <c:v>743</c:v>
                </c:pt>
                <c:pt idx="20">
                  <c:v>975</c:v>
                </c:pt>
                <c:pt idx="21">
                  <c:v>2124</c:v>
                </c:pt>
                <c:pt idx="22">
                  <c:v>4971.75</c:v>
                </c:pt>
                <c:pt idx="23">
                  <c:v>2645</c:v>
                </c:pt>
                <c:pt idx="24">
                  <c:v>4389.2539999999999</c:v>
                </c:pt>
                <c:pt idx="25">
                  <c:v>2393</c:v>
                </c:pt>
                <c:pt idx="26">
                  <c:v>2261</c:v>
                </c:pt>
                <c:pt idx="27">
                  <c:v>1598</c:v>
                </c:pt>
                <c:pt idx="28">
                  <c:v>2689</c:v>
                </c:pt>
                <c:pt idx="29">
                  <c:v>2072</c:v>
                </c:pt>
                <c:pt idx="30">
                  <c:v>1776</c:v>
                </c:pt>
                <c:pt idx="31">
                  <c:v>1786</c:v>
                </c:pt>
                <c:pt idx="32">
                  <c:v>2247</c:v>
                </c:pt>
                <c:pt idx="33">
                  <c:v>2196</c:v>
                </c:pt>
                <c:pt idx="34">
                  <c:v>1455</c:v>
                </c:pt>
                <c:pt idx="35">
                  <c:v>761</c:v>
                </c:pt>
                <c:pt idx="36">
                  <c:v>694</c:v>
                </c:pt>
                <c:pt idx="37">
                  <c:v>1193</c:v>
                </c:pt>
                <c:pt idx="38">
                  <c:v>2539</c:v>
                </c:pt>
                <c:pt idx="39">
                  <c:v>1311</c:v>
                </c:pt>
                <c:pt idx="40">
                  <c:v>7104</c:v>
                </c:pt>
                <c:pt idx="41">
                  <c:v>1583</c:v>
                </c:pt>
                <c:pt idx="42">
                  <c:v>1562</c:v>
                </c:pt>
                <c:pt idx="43">
                  <c:v>1992</c:v>
                </c:pt>
                <c:pt idx="44">
                  <c:v>9489.9</c:v>
                </c:pt>
                <c:pt idx="45">
                  <c:v>1537</c:v>
                </c:pt>
                <c:pt idx="46">
                  <c:v>1902.8279498619736</c:v>
                </c:pt>
                <c:pt idx="47">
                  <c:v>1611</c:v>
                </c:pt>
                <c:pt idx="48">
                  <c:v>7030.6531000000004</c:v>
                </c:pt>
                <c:pt idx="49">
                  <c:v>1106</c:v>
                </c:pt>
                <c:pt idx="50">
                  <c:v>716</c:v>
                </c:pt>
                <c:pt idx="51">
                  <c:v>8467.7186000000002</c:v>
                </c:pt>
                <c:pt idx="52">
                  <c:v>2583</c:v>
                </c:pt>
                <c:pt idx="53">
                  <c:v>2592.8721580424876</c:v>
                </c:pt>
                <c:pt idx="54">
                  <c:v>4009.4260000000004</c:v>
                </c:pt>
                <c:pt idx="55">
                  <c:v>3940.8596000000002</c:v>
                </c:pt>
                <c:pt idx="56">
                  <c:v>12038.6284</c:v>
                </c:pt>
                <c:pt idx="57">
                  <c:v>4248.6336000000001</c:v>
                </c:pt>
                <c:pt idx="58">
                  <c:v>4371.3931999999995</c:v>
                </c:pt>
                <c:pt idx="59">
                  <c:v>6617.7096000000001</c:v>
                </c:pt>
                <c:pt idx="60">
                  <c:v>5073.28</c:v>
                </c:pt>
                <c:pt idx="61">
                  <c:v>11050.2042</c:v>
                </c:pt>
                <c:pt idx="62">
                  <c:v>2643.5792999999999</c:v>
                </c:pt>
                <c:pt idx="63">
                  <c:v>1964</c:v>
                </c:pt>
                <c:pt idx="64">
                  <c:v>1928</c:v>
                </c:pt>
                <c:pt idx="65">
                  <c:v>1022</c:v>
                </c:pt>
                <c:pt idx="66">
                  <c:v>1190</c:v>
                </c:pt>
                <c:pt idx="67">
                  <c:v>1858</c:v>
                </c:pt>
                <c:pt idx="68">
                  <c:v>1235</c:v>
                </c:pt>
                <c:pt idx="69">
                  <c:v>338</c:v>
                </c:pt>
                <c:pt idx="70">
                  <c:v>8958.5512999999992</c:v>
                </c:pt>
                <c:pt idx="71">
                  <c:v>4210.3598999999995</c:v>
                </c:pt>
                <c:pt idx="72">
                  <c:v>5154.8473999999997</c:v>
                </c:pt>
                <c:pt idx="73">
                  <c:v>1784</c:v>
                </c:pt>
                <c:pt idx="74">
                  <c:v>2615</c:v>
                </c:pt>
                <c:pt idx="75">
                  <c:v>2206</c:v>
                </c:pt>
                <c:pt idx="76">
                  <c:v>6348.9564</c:v>
                </c:pt>
                <c:pt idx="77">
                  <c:v>2870</c:v>
                </c:pt>
                <c:pt idx="78">
                  <c:v>3786</c:v>
                </c:pt>
                <c:pt idx="79">
                  <c:v>3878</c:v>
                </c:pt>
                <c:pt idx="80">
                  <c:v>9499.6735000000008</c:v>
                </c:pt>
                <c:pt idx="81">
                  <c:v>14937.022400000002</c:v>
                </c:pt>
                <c:pt idx="82">
                  <c:v>1925</c:v>
                </c:pt>
                <c:pt idx="83">
                  <c:v>1573</c:v>
                </c:pt>
                <c:pt idx="84">
                  <c:v>1303</c:v>
                </c:pt>
                <c:pt idx="85">
                  <c:v>3198</c:v>
                </c:pt>
                <c:pt idx="86">
                  <c:v>15090.0604</c:v>
                </c:pt>
                <c:pt idx="87">
                  <c:v>3019.0898226608274</c:v>
                </c:pt>
                <c:pt idx="88">
                  <c:v>897</c:v>
                </c:pt>
                <c:pt idx="89">
                  <c:v>1230</c:v>
                </c:pt>
                <c:pt idx="90">
                  <c:v>2143</c:v>
                </c:pt>
                <c:pt idx="91">
                  <c:v>1335</c:v>
                </c:pt>
                <c:pt idx="92">
                  <c:v>1882</c:v>
                </c:pt>
                <c:pt idx="93">
                  <c:v>2038</c:v>
                </c:pt>
                <c:pt idx="94">
                  <c:v>1759</c:v>
                </c:pt>
                <c:pt idx="95">
                  <c:v>2163</c:v>
                </c:pt>
                <c:pt idx="96">
                  <c:v>2369</c:v>
                </c:pt>
                <c:pt idx="97">
                  <c:v>10964.788499999999</c:v>
                </c:pt>
                <c:pt idx="98">
                  <c:v>5720.1431999999995</c:v>
                </c:pt>
                <c:pt idx="99">
                  <c:v>2453</c:v>
                </c:pt>
                <c:pt idx="100">
                  <c:v>2179.0347581216583</c:v>
                </c:pt>
                <c:pt idx="101">
                  <c:v>2238</c:v>
                </c:pt>
                <c:pt idx="102">
                  <c:v>1973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BC3-4174-A159-14FC5B26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92833583"/>
        <c:axId val="2021787247"/>
      </c:bubbleChart>
      <c:valAx>
        <c:axId val="9283358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Pressure</a:t>
                </a:r>
                <a:r>
                  <a:rPr lang="en-US" sz="1600" baseline="0"/>
                  <a:t> U</a:t>
                </a:r>
                <a:r>
                  <a:rPr lang="en-US" sz="1600"/>
                  <a:t>ndersaturation,</a:t>
                </a:r>
                <a:r>
                  <a:rPr lang="en-US" sz="1600" baseline="0"/>
                  <a:t> </a:t>
                </a:r>
                <a:r>
                  <a:rPr lang="el-GR" sz="1600" baseline="0"/>
                  <a:t>Δ</a:t>
                </a:r>
                <a:r>
                  <a:rPr lang="en-US" sz="1600" i="1" baseline="0"/>
                  <a:t>p</a:t>
                </a:r>
                <a:r>
                  <a:rPr lang="en-US" sz="1600" baseline="0"/>
                  <a:t> = </a:t>
                </a:r>
                <a:r>
                  <a:rPr lang="en-US" sz="1600" i="1" baseline="0"/>
                  <a:t>p</a:t>
                </a:r>
                <a:r>
                  <a:rPr lang="en-US" sz="1600" i="1" baseline="-25000"/>
                  <a:t>i</a:t>
                </a:r>
                <a:r>
                  <a:rPr lang="en-US" sz="1600" baseline="0"/>
                  <a:t> - </a:t>
                </a:r>
                <a:r>
                  <a:rPr lang="en-US" sz="1600" i="1" baseline="0"/>
                  <a:t>p</a:t>
                </a:r>
                <a:r>
                  <a:rPr lang="en-US" sz="1600" i="1" baseline="-25000"/>
                  <a:t>sat</a:t>
                </a:r>
                <a:r>
                  <a:rPr lang="en-US" sz="1600" i="1" baseline="0"/>
                  <a:t> </a:t>
                </a:r>
                <a:r>
                  <a:rPr lang="en-US" sz="1600" i="0" baseline="0"/>
                  <a:t>[psi]</a:t>
                </a:r>
                <a:endParaRPr lang="en-US" sz="1600" i="0"/>
              </a:p>
            </c:rich>
          </c:tx>
          <c:layout>
            <c:manualLayout>
              <c:xMode val="edge"/>
              <c:yMode val="edge"/>
              <c:x val="0.27520578379712213"/>
              <c:y val="0.93890078515346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787247"/>
        <c:crosses val="autoZero"/>
        <c:crossBetween val="midCat"/>
      </c:valAx>
      <c:valAx>
        <c:axId val="2021787247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Absolute Relative Prediction</a:t>
                </a:r>
              </a:p>
              <a:p>
                <a:pPr>
                  <a:defRPr sz="1600"/>
                </a:pPr>
                <a:r>
                  <a:rPr lang="en-US" sz="1600"/>
                  <a:t>Error in Projected </a:t>
                </a:r>
                <a:r>
                  <a:rPr lang="en-US" sz="1600" i="1"/>
                  <a:t>B</a:t>
                </a:r>
                <a:r>
                  <a:rPr lang="en-US" sz="1600" i="1" baseline="-25000"/>
                  <a:t>oi</a:t>
                </a:r>
                <a:r>
                  <a:rPr lang="en-US" sz="16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33583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5945195832485"/>
          <c:y val="0.10589578872234119"/>
          <c:w val="0.76602866737030662"/>
          <c:h val="0.76220337554165474"/>
        </c:manualLayout>
      </c:layout>
      <c:bubbleChart>
        <c:varyColors val="0"/>
        <c:ser>
          <c:idx val="0"/>
          <c:order val="0"/>
          <c:tx>
            <c:v>Pool 2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xVal>
            <c:numRef>
              <c:f>Data!$Y$106:$Y$156</c:f>
              <c:numCache>
                <c:formatCode>0</c:formatCode>
                <c:ptCount val="51"/>
                <c:pt idx="0">
                  <c:v>1970</c:v>
                </c:pt>
                <c:pt idx="1">
                  <c:v>2430.0039999999999</c:v>
                </c:pt>
                <c:pt idx="2">
                  <c:v>1213.6959999999999</c:v>
                </c:pt>
                <c:pt idx="3">
                  <c:v>859</c:v>
                </c:pt>
                <c:pt idx="4">
                  <c:v>987</c:v>
                </c:pt>
                <c:pt idx="5">
                  <c:v>1073</c:v>
                </c:pt>
                <c:pt idx="6">
                  <c:v>3100</c:v>
                </c:pt>
                <c:pt idx="7">
                  <c:v>2350</c:v>
                </c:pt>
                <c:pt idx="8">
                  <c:v>1943</c:v>
                </c:pt>
                <c:pt idx="9">
                  <c:v>1878</c:v>
                </c:pt>
                <c:pt idx="10">
                  <c:v>2058</c:v>
                </c:pt>
                <c:pt idx="11">
                  <c:v>3900</c:v>
                </c:pt>
                <c:pt idx="12">
                  <c:v>2094</c:v>
                </c:pt>
                <c:pt idx="13">
                  <c:v>1977</c:v>
                </c:pt>
                <c:pt idx="14">
                  <c:v>2413</c:v>
                </c:pt>
                <c:pt idx="15">
                  <c:v>1444</c:v>
                </c:pt>
                <c:pt idx="16">
                  <c:v>1450</c:v>
                </c:pt>
                <c:pt idx="17">
                  <c:v>1723</c:v>
                </c:pt>
                <c:pt idx="18">
                  <c:v>3578</c:v>
                </c:pt>
                <c:pt idx="19">
                  <c:v>2413</c:v>
                </c:pt>
                <c:pt idx="20">
                  <c:v>3073.3</c:v>
                </c:pt>
                <c:pt idx="21">
                  <c:v>3078</c:v>
                </c:pt>
                <c:pt idx="22">
                  <c:v>2540</c:v>
                </c:pt>
                <c:pt idx="23">
                  <c:v>3763</c:v>
                </c:pt>
                <c:pt idx="24">
                  <c:v>2250</c:v>
                </c:pt>
                <c:pt idx="25">
                  <c:v>2180</c:v>
                </c:pt>
                <c:pt idx="26">
                  <c:v>595</c:v>
                </c:pt>
                <c:pt idx="27">
                  <c:v>950</c:v>
                </c:pt>
                <c:pt idx="28">
                  <c:v>1892</c:v>
                </c:pt>
                <c:pt idx="29">
                  <c:v>1429</c:v>
                </c:pt>
                <c:pt idx="30">
                  <c:v>1997</c:v>
                </c:pt>
                <c:pt idx="31">
                  <c:v>2050</c:v>
                </c:pt>
                <c:pt idx="32">
                  <c:v>2656</c:v>
                </c:pt>
                <c:pt idx="33">
                  <c:v>580</c:v>
                </c:pt>
                <c:pt idx="34">
                  <c:v>2207</c:v>
                </c:pt>
                <c:pt idx="35">
                  <c:v>2407.7800000000002</c:v>
                </c:pt>
                <c:pt idx="36">
                  <c:v>1750</c:v>
                </c:pt>
                <c:pt idx="37">
                  <c:v>4912</c:v>
                </c:pt>
                <c:pt idx="38">
                  <c:v>4478</c:v>
                </c:pt>
                <c:pt idx="39">
                  <c:v>4563</c:v>
                </c:pt>
                <c:pt idx="40">
                  <c:v>5034</c:v>
                </c:pt>
                <c:pt idx="41">
                  <c:v>5206</c:v>
                </c:pt>
                <c:pt idx="42">
                  <c:v>5277</c:v>
                </c:pt>
                <c:pt idx="43">
                  <c:v>2902</c:v>
                </c:pt>
                <c:pt idx="44">
                  <c:v>5144</c:v>
                </c:pt>
                <c:pt idx="45">
                  <c:v>5288</c:v>
                </c:pt>
                <c:pt idx="46">
                  <c:v>2190</c:v>
                </c:pt>
                <c:pt idx="47">
                  <c:v>4461</c:v>
                </c:pt>
                <c:pt idx="48">
                  <c:v>3691</c:v>
                </c:pt>
                <c:pt idx="49">
                  <c:v>3572</c:v>
                </c:pt>
                <c:pt idx="50">
                  <c:v>3206</c:v>
                </c:pt>
              </c:numCache>
            </c:numRef>
          </c:xVal>
          <c:yVal>
            <c:numRef>
              <c:f>Data!$W$106:$W$156</c:f>
              <c:numCache>
                <c:formatCode>0.00%</c:formatCode>
                <c:ptCount val="51"/>
                <c:pt idx="0">
                  <c:v>2.6385741082224801E-2</c:v>
                </c:pt>
                <c:pt idx="1">
                  <c:v>4.0095297195865166E-2</c:v>
                </c:pt>
                <c:pt idx="2">
                  <c:v>1.4682854744485208E-2</c:v>
                </c:pt>
                <c:pt idx="3">
                  <c:v>1.0054851146725491E-2</c:v>
                </c:pt>
                <c:pt idx="4">
                  <c:v>1.0930291172585307E-2</c:v>
                </c:pt>
                <c:pt idx="5">
                  <c:v>1.3173559801435829E-2</c:v>
                </c:pt>
                <c:pt idx="6">
                  <c:v>2.552264708319903E-2</c:v>
                </c:pt>
                <c:pt idx="7">
                  <c:v>2.0564310293929418E-2</c:v>
                </c:pt>
                <c:pt idx="8">
                  <c:v>2.4894907525144592E-2</c:v>
                </c:pt>
                <c:pt idx="9">
                  <c:v>2.2924941086735061E-2</c:v>
                </c:pt>
                <c:pt idx="10">
                  <c:v>2.6273056213389316E-2</c:v>
                </c:pt>
                <c:pt idx="11">
                  <c:v>3.011592991157748E-2</c:v>
                </c:pt>
                <c:pt idx="12">
                  <c:v>2.7606407114182645E-2</c:v>
                </c:pt>
                <c:pt idx="13">
                  <c:v>2.0255774217651245E-2</c:v>
                </c:pt>
                <c:pt idx="14">
                  <c:v>3.2480356633638047E-2</c:v>
                </c:pt>
                <c:pt idx="15">
                  <c:v>1.7178339274292635E-2</c:v>
                </c:pt>
                <c:pt idx="16">
                  <c:v>1.7937617306246437E-2</c:v>
                </c:pt>
                <c:pt idx="17">
                  <c:v>1.9432290125503168E-2</c:v>
                </c:pt>
                <c:pt idx="18">
                  <c:v>3.6372430245744325E-2</c:v>
                </c:pt>
                <c:pt idx="19">
                  <c:v>2.1290031301379585E-2</c:v>
                </c:pt>
                <c:pt idx="20">
                  <c:v>3.9770752004639282E-2</c:v>
                </c:pt>
                <c:pt idx="21">
                  <c:v>3.8228687983889079E-2</c:v>
                </c:pt>
                <c:pt idx="22">
                  <c:v>3.5889466849352458E-2</c:v>
                </c:pt>
                <c:pt idx="23">
                  <c:v>3.7401798026223718E-2</c:v>
                </c:pt>
                <c:pt idx="24">
                  <c:v>2.7881649712207877E-2</c:v>
                </c:pt>
                <c:pt idx="25">
                  <c:v>2.6394710010948182E-2</c:v>
                </c:pt>
                <c:pt idx="26">
                  <c:v>9.0109547883799844E-3</c:v>
                </c:pt>
                <c:pt idx="27">
                  <c:v>1.0216336363080629E-2</c:v>
                </c:pt>
                <c:pt idx="28">
                  <c:v>2.2642015918371543E-2</c:v>
                </c:pt>
                <c:pt idx="29">
                  <c:v>2.0873572688397266E-2</c:v>
                </c:pt>
                <c:pt idx="30">
                  <c:v>2.6125096057236841E-2</c:v>
                </c:pt>
                <c:pt idx="31">
                  <c:v>2.632559837663016E-2</c:v>
                </c:pt>
                <c:pt idx="32">
                  <c:v>3.6613860837118879E-2</c:v>
                </c:pt>
                <c:pt idx="33">
                  <c:v>8.681549558781353E-3</c:v>
                </c:pt>
                <c:pt idx="34">
                  <c:v>3.4373450108439785E-2</c:v>
                </c:pt>
                <c:pt idx="35">
                  <c:v>2.9480701149251772E-2</c:v>
                </c:pt>
                <c:pt idx="36">
                  <c:v>1.8687310953664788E-2</c:v>
                </c:pt>
                <c:pt idx="37">
                  <c:v>0.22869993517826118</c:v>
                </c:pt>
                <c:pt idx="38">
                  <c:v>0.2092060670402674</c:v>
                </c:pt>
                <c:pt idx="39">
                  <c:v>0.22660673890448507</c:v>
                </c:pt>
                <c:pt idx="40">
                  <c:v>0.14324410312194949</c:v>
                </c:pt>
                <c:pt idx="41">
                  <c:v>0.17362364562070859</c:v>
                </c:pt>
                <c:pt idx="42">
                  <c:v>0.17230301712506929</c:v>
                </c:pt>
                <c:pt idx="43">
                  <c:v>0.16057776174647639</c:v>
                </c:pt>
                <c:pt idx="44">
                  <c:v>0.12927558268561878</c:v>
                </c:pt>
                <c:pt idx="45">
                  <c:v>0.10348177580380084</c:v>
                </c:pt>
                <c:pt idx="46">
                  <c:v>7.3420215204318184E-2</c:v>
                </c:pt>
                <c:pt idx="47">
                  <c:v>0.11207657510243879</c:v>
                </c:pt>
                <c:pt idx="48">
                  <c:v>0.11600270688298624</c:v>
                </c:pt>
                <c:pt idx="49">
                  <c:v>0.1011121881240582</c:v>
                </c:pt>
                <c:pt idx="50">
                  <c:v>0.12146509590978775</c:v>
                </c:pt>
              </c:numCache>
            </c:numRef>
          </c:yVal>
          <c:bubbleSize>
            <c:numRef>
              <c:f>Data!$X$106:$X$156</c:f>
              <c:numCache>
                <c:formatCode>0.00</c:formatCode>
                <c:ptCount val="51"/>
                <c:pt idx="0">
                  <c:v>1315</c:v>
                </c:pt>
                <c:pt idx="1">
                  <c:v>1883.8370124237647</c:v>
                </c:pt>
                <c:pt idx="2">
                  <c:v>1077</c:v>
                </c:pt>
                <c:pt idx="3">
                  <c:v>828</c:v>
                </c:pt>
                <c:pt idx="4">
                  <c:v>824</c:v>
                </c:pt>
                <c:pt idx="5">
                  <c:v>878</c:v>
                </c:pt>
                <c:pt idx="6">
                  <c:v>461</c:v>
                </c:pt>
                <c:pt idx="7">
                  <c:v>441</c:v>
                </c:pt>
                <c:pt idx="8">
                  <c:v>1428</c:v>
                </c:pt>
                <c:pt idx="9">
                  <c:v>1124</c:v>
                </c:pt>
                <c:pt idx="10">
                  <c:v>1178</c:v>
                </c:pt>
                <c:pt idx="11">
                  <c:v>440</c:v>
                </c:pt>
                <c:pt idx="12">
                  <c:v>1477</c:v>
                </c:pt>
                <c:pt idx="13">
                  <c:v>933</c:v>
                </c:pt>
                <c:pt idx="14">
                  <c:v>1482</c:v>
                </c:pt>
                <c:pt idx="15">
                  <c:v>1010</c:v>
                </c:pt>
                <c:pt idx="16">
                  <c:v>872</c:v>
                </c:pt>
                <c:pt idx="17">
                  <c:v>779</c:v>
                </c:pt>
                <c:pt idx="18">
                  <c:v>1147</c:v>
                </c:pt>
                <c:pt idx="19">
                  <c:v>734</c:v>
                </c:pt>
                <c:pt idx="20">
                  <c:v>1908</c:v>
                </c:pt>
                <c:pt idx="21">
                  <c:v>1446</c:v>
                </c:pt>
                <c:pt idx="22">
                  <c:v>1062</c:v>
                </c:pt>
                <c:pt idx="23">
                  <c:v>1028</c:v>
                </c:pt>
                <c:pt idx="24">
                  <c:v>875.9778633928637</c:v>
                </c:pt>
                <c:pt idx="25">
                  <c:v>878.71586985293175</c:v>
                </c:pt>
                <c:pt idx="26">
                  <c:v>893.50580230451294</c:v>
                </c:pt>
                <c:pt idx="27">
                  <c:v>819.2574068129552</c:v>
                </c:pt>
                <c:pt idx="28">
                  <c:v>1014.8050338327058</c:v>
                </c:pt>
                <c:pt idx="29">
                  <c:v>1316.8520531613119</c:v>
                </c:pt>
                <c:pt idx="30">
                  <c:v>1309.5712971320097</c:v>
                </c:pt>
                <c:pt idx="31">
                  <c:v>1255.9824334889472</c:v>
                </c:pt>
                <c:pt idx="32">
                  <c:v>1662.9066039752083</c:v>
                </c:pt>
                <c:pt idx="33">
                  <c:v>926.67416705051619</c:v>
                </c:pt>
                <c:pt idx="34">
                  <c:v>1669.824655779699</c:v>
                </c:pt>
                <c:pt idx="35">
                  <c:v>1078.8275574104816</c:v>
                </c:pt>
                <c:pt idx="36">
                  <c:v>656</c:v>
                </c:pt>
                <c:pt idx="37">
                  <c:v>1454</c:v>
                </c:pt>
                <c:pt idx="38">
                  <c:v>2205.9741313164527</c:v>
                </c:pt>
                <c:pt idx="39">
                  <c:v>2185.1652241112824</c:v>
                </c:pt>
                <c:pt idx="40">
                  <c:v>1317.9111629386198</c:v>
                </c:pt>
                <c:pt idx="41">
                  <c:v>1300.3197900526727</c:v>
                </c:pt>
                <c:pt idx="42">
                  <c:v>1220.3824306769673</c:v>
                </c:pt>
                <c:pt idx="43">
                  <c:v>2716.0284119008852</c:v>
                </c:pt>
                <c:pt idx="44">
                  <c:v>997</c:v>
                </c:pt>
                <c:pt idx="45">
                  <c:v>847.10507033279407</c:v>
                </c:pt>
                <c:pt idx="46">
                  <c:v>1471.8214907124384</c:v>
                </c:pt>
                <c:pt idx="47">
                  <c:v>1195.9951434878585</c:v>
                </c:pt>
                <c:pt idx="48">
                  <c:v>1302.9698972755696</c:v>
                </c:pt>
                <c:pt idx="49">
                  <c:v>1290.7743124026983</c:v>
                </c:pt>
                <c:pt idx="50">
                  <c:v>1830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0AF-4406-92D6-636F2446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92833583"/>
        <c:axId val="2021787247"/>
      </c:bubbleChart>
      <c:valAx>
        <c:axId val="9283358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Pressure</a:t>
                </a:r>
                <a:r>
                  <a:rPr lang="en-US" sz="1600" baseline="0"/>
                  <a:t> U</a:t>
                </a:r>
                <a:r>
                  <a:rPr lang="en-US" sz="1600"/>
                  <a:t>ndersaturation,</a:t>
                </a:r>
                <a:r>
                  <a:rPr lang="en-US" sz="1600" baseline="0"/>
                  <a:t> </a:t>
                </a:r>
                <a:r>
                  <a:rPr lang="el-GR" sz="1600" baseline="0"/>
                  <a:t>Δ</a:t>
                </a:r>
                <a:r>
                  <a:rPr lang="en-US" sz="1600" i="1" baseline="0"/>
                  <a:t>p</a:t>
                </a:r>
                <a:r>
                  <a:rPr lang="en-US" sz="1600" baseline="0"/>
                  <a:t> = </a:t>
                </a:r>
                <a:r>
                  <a:rPr lang="en-US" sz="1600" i="1" baseline="0"/>
                  <a:t>p</a:t>
                </a:r>
                <a:r>
                  <a:rPr lang="en-US" sz="1600" i="1" baseline="-25000"/>
                  <a:t>i</a:t>
                </a:r>
                <a:r>
                  <a:rPr lang="en-US" sz="1600" baseline="0"/>
                  <a:t> - </a:t>
                </a:r>
                <a:r>
                  <a:rPr lang="en-US" sz="1600" i="1" baseline="0"/>
                  <a:t>p</a:t>
                </a:r>
                <a:r>
                  <a:rPr lang="en-US" sz="1600" i="1" baseline="-25000"/>
                  <a:t>sat</a:t>
                </a:r>
                <a:r>
                  <a:rPr lang="en-US" sz="1600" i="1" baseline="0"/>
                  <a:t> </a:t>
                </a:r>
                <a:r>
                  <a:rPr lang="en-US" sz="1600" i="0" baseline="0"/>
                  <a:t>[psi]</a:t>
                </a:r>
                <a:endParaRPr lang="en-US" sz="1600" i="0"/>
              </a:p>
            </c:rich>
          </c:tx>
          <c:layout>
            <c:manualLayout>
              <c:xMode val="edge"/>
              <c:yMode val="edge"/>
              <c:x val="0.27520578379712213"/>
              <c:y val="0.93890078515346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787247"/>
        <c:crosses val="autoZero"/>
        <c:crossBetween val="midCat"/>
      </c:valAx>
      <c:valAx>
        <c:axId val="2021787247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Absolute Relative Prediction</a:t>
                </a:r>
              </a:p>
              <a:p>
                <a:pPr>
                  <a:defRPr sz="1600"/>
                </a:pPr>
                <a:r>
                  <a:rPr lang="en-US" sz="1600"/>
                  <a:t>Error in Projected </a:t>
                </a:r>
                <a:r>
                  <a:rPr lang="en-US" sz="1600" i="1"/>
                  <a:t>B</a:t>
                </a:r>
                <a:r>
                  <a:rPr lang="en-US" sz="1600" i="1" baseline="-25000"/>
                  <a:t>oi</a:t>
                </a:r>
                <a:r>
                  <a:rPr lang="en-US" sz="16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33583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Psat vs GOR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820152541027928"/>
                  <c:y val="0.17213741652845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Data!$D$3:$D$105</c:f>
              <c:numCache>
                <c:formatCode>0</c:formatCode>
                <c:ptCount val="103"/>
                <c:pt idx="0">
                  <c:v>1667.7686823505683</c:v>
                </c:pt>
                <c:pt idx="1">
                  <c:v>3188.8071</c:v>
                </c:pt>
                <c:pt idx="2">
                  <c:v>1133.4462691607539</c:v>
                </c:pt>
                <c:pt idx="3">
                  <c:v>8422.6288999999997</c:v>
                </c:pt>
                <c:pt idx="4">
                  <c:v>1371</c:v>
                </c:pt>
                <c:pt idx="5">
                  <c:v>979</c:v>
                </c:pt>
                <c:pt idx="6">
                  <c:v>1748.1534999999999</c:v>
                </c:pt>
                <c:pt idx="7">
                  <c:v>977</c:v>
                </c:pt>
                <c:pt idx="8">
                  <c:v>224</c:v>
                </c:pt>
                <c:pt idx="9">
                  <c:v>895</c:v>
                </c:pt>
                <c:pt idx="10">
                  <c:v>1179</c:v>
                </c:pt>
                <c:pt idx="11">
                  <c:v>1064</c:v>
                </c:pt>
                <c:pt idx="12">
                  <c:v>1827</c:v>
                </c:pt>
                <c:pt idx="13">
                  <c:v>1633</c:v>
                </c:pt>
                <c:pt idx="14">
                  <c:v>1921.8963562753036</c:v>
                </c:pt>
                <c:pt idx="15">
                  <c:v>564</c:v>
                </c:pt>
                <c:pt idx="16">
                  <c:v>1226</c:v>
                </c:pt>
                <c:pt idx="17">
                  <c:v>848</c:v>
                </c:pt>
                <c:pt idx="18">
                  <c:v>840</c:v>
                </c:pt>
                <c:pt idx="19">
                  <c:v>743</c:v>
                </c:pt>
                <c:pt idx="20">
                  <c:v>975</c:v>
                </c:pt>
                <c:pt idx="21">
                  <c:v>2124</c:v>
                </c:pt>
                <c:pt idx="22">
                  <c:v>4971.75</c:v>
                </c:pt>
                <c:pt idx="23">
                  <c:v>2645</c:v>
                </c:pt>
                <c:pt idx="24">
                  <c:v>4389.2539999999999</c:v>
                </c:pt>
                <c:pt idx="25">
                  <c:v>2393</c:v>
                </c:pt>
                <c:pt idx="26">
                  <c:v>2261</c:v>
                </c:pt>
                <c:pt idx="27">
                  <c:v>1598</c:v>
                </c:pt>
                <c:pt idx="28">
                  <c:v>2689</c:v>
                </c:pt>
                <c:pt idx="29">
                  <c:v>2072</c:v>
                </c:pt>
                <c:pt idx="30">
                  <c:v>1776</c:v>
                </c:pt>
                <c:pt idx="31">
                  <c:v>1786</c:v>
                </c:pt>
                <c:pt idx="32">
                  <c:v>2247</c:v>
                </c:pt>
                <c:pt idx="33">
                  <c:v>2196</c:v>
                </c:pt>
                <c:pt idx="34">
                  <c:v>1455</c:v>
                </c:pt>
                <c:pt idx="35">
                  <c:v>761</c:v>
                </c:pt>
                <c:pt idx="36">
                  <c:v>694</c:v>
                </c:pt>
                <c:pt idx="37">
                  <c:v>1193</c:v>
                </c:pt>
                <c:pt idx="38">
                  <c:v>2539</c:v>
                </c:pt>
                <c:pt idx="39">
                  <c:v>1311</c:v>
                </c:pt>
                <c:pt idx="40">
                  <c:v>7104</c:v>
                </c:pt>
                <c:pt idx="41">
                  <c:v>1583</c:v>
                </c:pt>
                <c:pt idx="42">
                  <c:v>1562</c:v>
                </c:pt>
                <c:pt idx="43">
                  <c:v>1992</c:v>
                </c:pt>
                <c:pt idx="44">
                  <c:v>9489.9</c:v>
                </c:pt>
                <c:pt idx="45">
                  <c:v>1537</c:v>
                </c:pt>
                <c:pt idx="46">
                  <c:v>1902.8279498619736</c:v>
                </c:pt>
                <c:pt idx="47">
                  <c:v>1611</c:v>
                </c:pt>
                <c:pt idx="48">
                  <c:v>7030.6531000000004</c:v>
                </c:pt>
                <c:pt idx="49">
                  <c:v>1106</c:v>
                </c:pt>
                <c:pt idx="50">
                  <c:v>716</c:v>
                </c:pt>
                <c:pt idx="51">
                  <c:v>8467.7186000000002</c:v>
                </c:pt>
                <c:pt idx="52">
                  <c:v>2583</c:v>
                </c:pt>
                <c:pt idx="53">
                  <c:v>2592.8721580424876</c:v>
                </c:pt>
                <c:pt idx="54">
                  <c:v>4009.4260000000004</c:v>
                </c:pt>
                <c:pt idx="55">
                  <c:v>3940.8596000000002</c:v>
                </c:pt>
                <c:pt idx="56">
                  <c:v>12038.6284</c:v>
                </c:pt>
                <c:pt idx="57">
                  <c:v>4248.6336000000001</c:v>
                </c:pt>
                <c:pt idx="58">
                  <c:v>4371.3931999999995</c:v>
                </c:pt>
                <c:pt idx="59">
                  <c:v>6617.7096000000001</c:v>
                </c:pt>
                <c:pt idx="60">
                  <c:v>5073.28</c:v>
                </c:pt>
                <c:pt idx="61">
                  <c:v>11050.2042</c:v>
                </c:pt>
                <c:pt idx="62">
                  <c:v>2643.5792999999999</c:v>
                </c:pt>
                <c:pt idx="63">
                  <c:v>1964</c:v>
                </c:pt>
                <c:pt idx="64">
                  <c:v>1928</c:v>
                </c:pt>
                <c:pt idx="65">
                  <c:v>1022</c:v>
                </c:pt>
                <c:pt idx="66">
                  <c:v>1190</c:v>
                </c:pt>
                <c:pt idx="67">
                  <c:v>1858</c:v>
                </c:pt>
                <c:pt idx="68">
                  <c:v>1235</c:v>
                </c:pt>
                <c:pt idx="69">
                  <c:v>338</c:v>
                </c:pt>
                <c:pt idx="70">
                  <c:v>8958.5512999999992</c:v>
                </c:pt>
                <c:pt idx="71">
                  <c:v>4210.3598999999995</c:v>
                </c:pt>
                <c:pt idx="72">
                  <c:v>5154.8473999999997</c:v>
                </c:pt>
                <c:pt idx="73">
                  <c:v>1784</c:v>
                </c:pt>
                <c:pt idx="74">
                  <c:v>2615</c:v>
                </c:pt>
                <c:pt idx="75">
                  <c:v>2206</c:v>
                </c:pt>
                <c:pt idx="76">
                  <c:v>6348.9564</c:v>
                </c:pt>
                <c:pt idx="77">
                  <c:v>2870</c:v>
                </c:pt>
                <c:pt idx="78">
                  <c:v>3786</c:v>
                </c:pt>
                <c:pt idx="79">
                  <c:v>3878</c:v>
                </c:pt>
                <c:pt idx="80">
                  <c:v>9499.6735000000008</c:v>
                </c:pt>
                <c:pt idx="81">
                  <c:v>14937.022400000002</c:v>
                </c:pt>
                <c:pt idx="82">
                  <c:v>1925</c:v>
                </c:pt>
                <c:pt idx="83">
                  <c:v>1573</c:v>
                </c:pt>
                <c:pt idx="84">
                  <c:v>1303</c:v>
                </c:pt>
                <c:pt idx="85">
                  <c:v>3198</c:v>
                </c:pt>
                <c:pt idx="86">
                  <c:v>15090.0604</c:v>
                </c:pt>
                <c:pt idx="87">
                  <c:v>3019.0898226608274</c:v>
                </c:pt>
                <c:pt idx="88">
                  <c:v>897</c:v>
                </c:pt>
                <c:pt idx="89">
                  <c:v>1230</c:v>
                </c:pt>
                <c:pt idx="90">
                  <c:v>2143</c:v>
                </c:pt>
                <c:pt idx="91">
                  <c:v>1335</c:v>
                </c:pt>
                <c:pt idx="92">
                  <c:v>1882</c:v>
                </c:pt>
                <c:pt idx="93">
                  <c:v>2038</c:v>
                </c:pt>
                <c:pt idx="94">
                  <c:v>1759</c:v>
                </c:pt>
                <c:pt idx="95">
                  <c:v>2163</c:v>
                </c:pt>
                <c:pt idx="96">
                  <c:v>2369</c:v>
                </c:pt>
                <c:pt idx="97">
                  <c:v>10964.788499999999</c:v>
                </c:pt>
                <c:pt idx="98">
                  <c:v>5720.1431999999995</c:v>
                </c:pt>
                <c:pt idx="99" formatCode="General">
                  <c:v>2453</c:v>
                </c:pt>
                <c:pt idx="100">
                  <c:v>2179.0347581216583</c:v>
                </c:pt>
                <c:pt idx="101" formatCode="General">
                  <c:v>2238</c:v>
                </c:pt>
                <c:pt idx="102" formatCode="General">
                  <c:v>1973</c:v>
                </c:pt>
              </c:numCache>
            </c:numRef>
          </c:xVal>
          <c:yVal>
            <c:numRef>
              <c:f>Data!$B$3:$B$105</c:f>
              <c:numCache>
                <c:formatCode>0</c:formatCode>
                <c:ptCount val="103"/>
                <c:pt idx="0">
                  <c:v>3501</c:v>
                </c:pt>
                <c:pt idx="1">
                  <c:v>6415</c:v>
                </c:pt>
                <c:pt idx="2">
                  <c:v>3265</c:v>
                </c:pt>
                <c:pt idx="3">
                  <c:v>5575</c:v>
                </c:pt>
                <c:pt idx="4">
                  <c:v>3415</c:v>
                </c:pt>
                <c:pt idx="5">
                  <c:v>2965</c:v>
                </c:pt>
                <c:pt idx="6">
                  <c:v>4215</c:v>
                </c:pt>
                <c:pt idx="7">
                  <c:v>2915.0250000000001</c:v>
                </c:pt>
                <c:pt idx="8">
                  <c:v>325.02499999999998</c:v>
                </c:pt>
                <c:pt idx="9">
                  <c:v>2515</c:v>
                </c:pt>
                <c:pt idx="10">
                  <c:v>3162</c:v>
                </c:pt>
                <c:pt idx="11">
                  <c:v>2915</c:v>
                </c:pt>
                <c:pt idx="12">
                  <c:v>3981</c:v>
                </c:pt>
                <c:pt idx="13">
                  <c:v>3765.0250000000001</c:v>
                </c:pt>
                <c:pt idx="14">
                  <c:v>4115</c:v>
                </c:pt>
                <c:pt idx="15">
                  <c:v>2115</c:v>
                </c:pt>
                <c:pt idx="16">
                  <c:v>3365</c:v>
                </c:pt>
                <c:pt idx="17">
                  <c:v>2865</c:v>
                </c:pt>
                <c:pt idx="18">
                  <c:v>2835</c:v>
                </c:pt>
                <c:pt idx="19">
                  <c:v>2615</c:v>
                </c:pt>
                <c:pt idx="20">
                  <c:v>2965</c:v>
                </c:pt>
                <c:pt idx="21">
                  <c:v>4280</c:v>
                </c:pt>
                <c:pt idx="22">
                  <c:v>5187</c:v>
                </c:pt>
                <c:pt idx="23">
                  <c:v>4375</c:v>
                </c:pt>
                <c:pt idx="24">
                  <c:v>5183</c:v>
                </c:pt>
                <c:pt idx="25">
                  <c:v>4088</c:v>
                </c:pt>
                <c:pt idx="26">
                  <c:v>4328.6499999999996</c:v>
                </c:pt>
                <c:pt idx="27">
                  <c:v>3565</c:v>
                </c:pt>
                <c:pt idx="28">
                  <c:v>4451</c:v>
                </c:pt>
                <c:pt idx="29">
                  <c:v>3995</c:v>
                </c:pt>
                <c:pt idx="30">
                  <c:v>3955</c:v>
                </c:pt>
                <c:pt idx="31">
                  <c:v>3865</c:v>
                </c:pt>
                <c:pt idx="32">
                  <c:v>4217</c:v>
                </c:pt>
                <c:pt idx="33">
                  <c:v>4145</c:v>
                </c:pt>
                <c:pt idx="34">
                  <c:v>3465</c:v>
                </c:pt>
                <c:pt idx="35">
                  <c:v>2515</c:v>
                </c:pt>
                <c:pt idx="36">
                  <c:v>2215</c:v>
                </c:pt>
                <c:pt idx="37">
                  <c:v>3165</c:v>
                </c:pt>
                <c:pt idx="38">
                  <c:v>5655</c:v>
                </c:pt>
                <c:pt idx="39">
                  <c:v>3865</c:v>
                </c:pt>
                <c:pt idx="40">
                  <c:v>4820</c:v>
                </c:pt>
                <c:pt idx="41">
                  <c:v>3815</c:v>
                </c:pt>
                <c:pt idx="42">
                  <c:v>3565</c:v>
                </c:pt>
                <c:pt idx="43">
                  <c:v>4271</c:v>
                </c:pt>
                <c:pt idx="44">
                  <c:v>5335</c:v>
                </c:pt>
                <c:pt idx="45">
                  <c:v>3615</c:v>
                </c:pt>
                <c:pt idx="46">
                  <c:v>3992</c:v>
                </c:pt>
                <c:pt idx="47">
                  <c:v>3865</c:v>
                </c:pt>
                <c:pt idx="48">
                  <c:v>6058</c:v>
                </c:pt>
                <c:pt idx="49">
                  <c:v>3365</c:v>
                </c:pt>
                <c:pt idx="50">
                  <c:v>2415</c:v>
                </c:pt>
                <c:pt idx="51">
                  <c:v>5435</c:v>
                </c:pt>
                <c:pt idx="52">
                  <c:v>4535</c:v>
                </c:pt>
                <c:pt idx="53">
                  <c:v>4575</c:v>
                </c:pt>
                <c:pt idx="54">
                  <c:v>5238</c:v>
                </c:pt>
                <c:pt idx="55">
                  <c:v>5055</c:v>
                </c:pt>
                <c:pt idx="56">
                  <c:v>5210</c:v>
                </c:pt>
                <c:pt idx="57">
                  <c:v>5019</c:v>
                </c:pt>
                <c:pt idx="58">
                  <c:v>4786</c:v>
                </c:pt>
                <c:pt idx="59">
                  <c:v>5326</c:v>
                </c:pt>
                <c:pt idx="60">
                  <c:v>5217</c:v>
                </c:pt>
                <c:pt idx="61">
                  <c:v>5179</c:v>
                </c:pt>
                <c:pt idx="62">
                  <c:v>4756.0249999999996</c:v>
                </c:pt>
                <c:pt idx="63">
                  <c:v>5249.65</c:v>
                </c:pt>
                <c:pt idx="64">
                  <c:v>4315.0249999999996</c:v>
                </c:pt>
                <c:pt idx="65">
                  <c:v>2965</c:v>
                </c:pt>
                <c:pt idx="66">
                  <c:v>3169.6959999999999</c:v>
                </c:pt>
                <c:pt idx="67">
                  <c:v>4115.0249999999996</c:v>
                </c:pt>
                <c:pt idx="68">
                  <c:v>3005.6959999999999</c:v>
                </c:pt>
                <c:pt idx="69">
                  <c:v>1265.0250000000001</c:v>
                </c:pt>
                <c:pt idx="70">
                  <c:v>5276</c:v>
                </c:pt>
                <c:pt idx="71">
                  <c:v>4925</c:v>
                </c:pt>
                <c:pt idx="72">
                  <c:v>4884</c:v>
                </c:pt>
                <c:pt idx="73">
                  <c:v>3815</c:v>
                </c:pt>
                <c:pt idx="74">
                  <c:v>4374</c:v>
                </c:pt>
                <c:pt idx="75">
                  <c:v>4161</c:v>
                </c:pt>
                <c:pt idx="76">
                  <c:v>5490</c:v>
                </c:pt>
                <c:pt idx="77">
                  <c:v>4633</c:v>
                </c:pt>
                <c:pt idx="78">
                  <c:v>4618</c:v>
                </c:pt>
                <c:pt idx="79">
                  <c:v>4856</c:v>
                </c:pt>
                <c:pt idx="80">
                  <c:v>5098</c:v>
                </c:pt>
                <c:pt idx="81">
                  <c:v>4695</c:v>
                </c:pt>
                <c:pt idx="82">
                  <c:v>3658</c:v>
                </c:pt>
                <c:pt idx="83">
                  <c:v>3515</c:v>
                </c:pt>
                <c:pt idx="84">
                  <c:v>3515</c:v>
                </c:pt>
                <c:pt idx="85">
                  <c:v>4815</c:v>
                </c:pt>
                <c:pt idx="86">
                  <c:v>7295</c:v>
                </c:pt>
                <c:pt idx="87">
                  <c:v>4735</c:v>
                </c:pt>
                <c:pt idx="88">
                  <c:v>2236.6959999999999</c:v>
                </c:pt>
                <c:pt idx="89">
                  <c:v>3314.6959999999999</c:v>
                </c:pt>
                <c:pt idx="90">
                  <c:v>4498</c:v>
                </c:pt>
                <c:pt idx="91">
                  <c:v>3365</c:v>
                </c:pt>
                <c:pt idx="92">
                  <c:v>3955</c:v>
                </c:pt>
                <c:pt idx="93">
                  <c:v>4349</c:v>
                </c:pt>
                <c:pt idx="94">
                  <c:v>3915</c:v>
                </c:pt>
                <c:pt idx="95">
                  <c:v>4133</c:v>
                </c:pt>
                <c:pt idx="96">
                  <c:v>4397</c:v>
                </c:pt>
                <c:pt idx="97" formatCode="General">
                  <c:v>5706</c:v>
                </c:pt>
                <c:pt idx="98" formatCode="General">
                  <c:v>4809</c:v>
                </c:pt>
                <c:pt idx="99" formatCode="General">
                  <c:v>4257</c:v>
                </c:pt>
                <c:pt idx="100" formatCode="General">
                  <c:v>4127</c:v>
                </c:pt>
                <c:pt idx="101" formatCode="General">
                  <c:v>4503</c:v>
                </c:pt>
                <c:pt idx="102" formatCode="General">
                  <c:v>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1-4FD7-A354-D374084D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27423"/>
        <c:axId val="502327839"/>
      </c:scatterChart>
      <c:scatterChart>
        <c:scatterStyle val="lineMarker"/>
        <c:varyColors val="0"/>
        <c:ser>
          <c:idx val="0"/>
          <c:order val="0"/>
          <c:tx>
            <c:v>muob vs GOR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692428033888985"/>
                  <c:y val="-0.10240563621908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Data!$D$3:$D$105</c:f>
              <c:numCache>
                <c:formatCode>0</c:formatCode>
                <c:ptCount val="103"/>
                <c:pt idx="0">
                  <c:v>1667.7686823505683</c:v>
                </c:pt>
                <c:pt idx="1">
                  <c:v>3188.8071</c:v>
                </c:pt>
                <c:pt idx="2">
                  <c:v>1133.4462691607539</c:v>
                </c:pt>
                <c:pt idx="3">
                  <c:v>8422.6288999999997</c:v>
                </c:pt>
                <c:pt idx="4">
                  <c:v>1371</c:v>
                </c:pt>
                <c:pt idx="5">
                  <c:v>979</c:v>
                </c:pt>
                <c:pt idx="6">
                  <c:v>1748.1534999999999</c:v>
                </c:pt>
                <c:pt idx="7">
                  <c:v>977</c:v>
                </c:pt>
                <c:pt idx="8">
                  <c:v>224</c:v>
                </c:pt>
                <c:pt idx="9">
                  <c:v>895</c:v>
                </c:pt>
                <c:pt idx="10">
                  <c:v>1179</c:v>
                </c:pt>
                <c:pt idx="11">
                  <c:v>1064</c:v>
                </c:pt>
                <c:pt idx="12">
                  <c:v>1827</c:v>
                </c:pt>
                <c:pt idx="13">
                  <c:v>1633</c:v>
                </c:pt>
                <c:pt idx="14">
                  <c:v>1921.8963562753036</c:v>
                </c:pt>
                <c:pt idx="15">
                  <c:v>564</c:v>
                </c:pt>
                <c:pt idx="16">
                  <c:v>1226</c:v>
                </c:pt>
                <c:pt idx="17">
                  <c:v>848</c:v>
                </c:pt>
                <c:pt idx="18">
                  <c:v>840</c:v>
                </c:pt>
                <c:pt idx="19">
                  <c:v>743</c:v>
                </c:pt>
                <c:pt idx="20">
                  <c:v>975</c:v>
                </c:pt>
                <c:pt idx="21">
                  <c:v>2124</c:v>
                </c:pt>
                <c:pt idx="22">
                  <c:v>4971.75</c:v>
                </c:pt>
                <c:pt idx="23">
                  <c:v>2645</c:v>
                </c:pt>
                <c:pt idx="24">
                  <c:v>4389.2539999999999</c:v>
                </c:pt>
                <c:pt idx="25">
                  <c:v>2393</c:v>
                </c:pt>
                <c:pt idx="26">
                  <c:v>2261</c:v>
                </c:pt>
                <c:pt idx="27">
                  <c:v>1598</c:v>
                </c:pt>
                <c:pt idx="28">
                  <c:v>2689</c:v>
                </c:pt>
                <c:pt idx="29">
                  <c:v>2072</c:v>
                </c:pt>
                <c:pt idx="30">
                  <c:v>1776</c:v>
                </c:pt>
                <c:pt idx="31">
                  <c:v>1786</c:v>
                </c:pt>
                <c:pt idx="32">
                  <c:v>2247</c:v>
                </c:pt>
                <c:pt idx="33">
                  <c:v>2196</c:v>
                </c:pt>
                <c:pt idx="34">
                  <c:v>1455</c:v>
                </c:pt>
                <c:pt idx="35">
                  <c:v>761</c:v>
                </c:pt>
                <c:pt idx="36">
                  <c:v>694</c:v>
                </c:pt>
                <c:pt idx="37">
                  <c:v>1193</c:v>
                </c:pt>
                <c:pt idx="38">
                  <c:v>2539</c:v>
                </c:pt>
                <c:pt idx="39">
                  <c:v>1311</c:v>
                </c:pt>
                <c:pt idx="40">
                  <c:v>7104</c:v>
                </c:pt>
                <c:pt idx="41">
                  <c:v>1583</c:v>
                </c:pt>
                <c:pt idx="42">
                  <c:v>1562</c:v>
                </c:pt>
                <c:pt idx="43">
                  <c:v>1992</c:v>
                </c:pt>
                <c:pt idx="44">
                  <c:v>9489.9</c:v>
                </c:pt>
                <c:pt idx="45">
                  <c:v>1537</c:v>
                </c:pt>
                <c:pt idx="46">
                  <c:v>1902.8279498619736</c:v>
                </c:pt>
                <c:pt idx="47">
                  <c:v>1611</c:v>
                </c:pt>
                <c:pt idx="48">
                  <c:v>7030.6531000000004</c:v>
                </c:pt>
                <c:pt idx="49">
                  <c:v>1106</c:v>
                </c:pt>
                <c:pt idx="50">
                  <c:v>716</c:v>
                </c:pt>
                <c:pt idx="51">
                  <c:v>8467.7186000000002</c:v>
                </c:pt>
                <c:pt idx="52">
                  <c:v>2583</c:v>
                </c:pt>
                <c:pt idx="53">
                  <c:v>2592.8721580424876</c:v>
                </c:pt>
                <c:pt idx="54">
                  <c:v>4009.4260000000004</c:v>
                </c:pt>
                <c:pt idx="55">
                  <c:v>3940.8596000000002</c:v>
                </c:pt>
                <c:pt idx="56">
                  <c:v>12038.6284</c:v>
                </c:pt>
                <c:pt idx="57">
                  <c:v>4248.6336000000001</c:v>
                </c:pt>
                <c:pt idx="58">
                  <c:v>4371.3931999999995</c:v>
                </c:pt>
                <c:pt idx="59">
                  <c:v>6617.7096000000001</c:v>
                </c:pt>
                <c:pt idx="60">
                  <c:v>5073.28</c:v>
                </c:pt>
                <c:pt idx="61">
                  <c:v>11050.2042</c:v>
                </c:pt>
                <c:pt idx="62">
                  <c:v>2643.5792999999999</c:v>
                </c:pt>
                <c:pt idx="63">
                  <c:v>1964</c:v>
                </c:pt>
                <c:pt idx="64">
                  <c:v>1928</c:v>
                </c:pt>
                <c:pt idx="65">
                  <c:v>1022</c:v>
                </c:pt>
                <c:pt idx="66">
                  <c:v>1190</c:v>
                </c:pt>
                <c:pt idx="67">
                  <c:v>1858</c:v>
                </c:pt>
                <c:pt idx="68">
                  <c:v>1235</c:v>
                </c:pt>
                <c:pt idx="69">
                  <c:v>338</c:v>
                </c:pt>
                <c:pt idx="70">
                  <c:v>8958.5512999999992</c:v>
                </c:pt>
                <c:pt idx="71">
                  <c:v>4210.3598999999995</c:v>
                </c:pt>
                <c:pt idx="72">
                  <c:v>5154.8473999999997</c:v>
                </c:pt>
                <c:pt idx="73">
                  <c:v>1784</c:v>
                </c:pt>
                <c:pt idx="74">
                  <c:v>2615</c:v>
                </c:pt>
                <c:pt idx="75">
                  <c:v>2206</c:v>
                </c:pt>
                <c:pt idx="76">
                  <c:v>6348.9564</c:v>
                </c:pt>
                <c:pt idx="77">
                  <c:v>2870</c:v>
                </c:pt>
                <c:pt idx="78">
                  <c:v>3786</c:v>
                </c:pt>
                <c:pt idx="79">
                  <c:v>3878</c:v>
                </c:pt>
                <c:pt idx="80">
                  <c:v>9499.6735000000008</c:v>
                </c:pt>
                <c:pt idx="81">
                  <c:v>14937.022400000002</c:v>
                </c:pt>
                <c:pt idx="82">
                  <c:v>1925</c:v>
                </c:pt>
                <c:pt idx="83">
                  <c:v>1573</c:v>
                </c:pt>
                <c:pt idx="84">
                  <c:v>1303</c:v>
                </c:pt>
                <c:pt idx="85">
                  <c:v>3198</c:v>
                </c:pt>
                <c:pt idx="86">
                  <c:v>15090.0604</c:v>
                </c:pt>
                <c:pt idx="87">
                  <c:v>3019.0898226608274</c:v>
                </c:pt>
                <c:pt idx="88">
                  <c:v>897</c:v>
                </c:pt>
                <c:pt idx="89">
                  <c:v>1230</c:v>
                </c:pt>
                <c:pt idx="90">
                  <c:v>2143</c:v>
                </c:pt>
                <c:pt idx="91">
                  <c:v>1335</c:v>
                </c:pt>
                <c:pt idx="92">
                  <c:v>1882</c:v>
                </c:pt>
                <c:pt idx="93">
                  <c:v>2038</c:v>
                </c:pt>
                <c:pt idx="94">
                  <c:v>1759</c:v>
                </c:pt>
                <c:pt idx="95">
                  <c:v>2163</c:v>
                </c:pt>
                <c:pt idx="96">
                  <c:v>2369</c:v>
                </c:pt>
                <c:pt idx="97">
                  <c:v>10964.788499999999</c:v>
                </c:pt>
                <c:pt idx="98">
                  <c:v>5720.1431999999995</c:v>
                </c:pt>
                <c:pt idx="99" formatCode="General">
                  <c:v>2453</c:v>
                </c:pt>
                <c:pt idx="100">
                  <c:v>2179.0347581216583</c:v>
                </c:pt>
                <c:pt idx="101" formatCode="General">
                  <c:v>2238</c:v>
                </c:pt>
                <c:pt idx="102" formatCode="General">
                  <c:v>1973</c:v>
                </c:pt>
              </c:numCache>
            </c:numRef>
          </c:xVal>
          <c:yVal>
            <c:numRef>
              <c:f>Data!$I$3:$I$105</c:f>
              <c:numCache>
                <c:formatCode>0.0000</c:formatCode>
                <c:ptCount val="103"/>
                <c:pt idx="0" formatCode="0.00000">
                  <c:v>0.1800575556996</c:v>
                </c:pt>
                <c:pt idx="1">
                  <c:v>0</c:v>
                </c:pt>
                <c:pt idx="2" formatCode="0.00000">
                  <c:v>0.30599999999999999</c:v>
                </c:pt>
                <c:pt idx="3">
                  <c:v>0</c:v>
                </c:pt>
                <c:pt idx="4" formatCode="0.00000">
                  <c:v>0.254</c:v>
                </c:pt>
                <c:pt idx="5" formatCode="0.00000">
                  <c:v>0.38600000000000001</c:v>
                </c:pt>
                <c:pt idx="6" formatCode="0.00000">
                  <c:v>0</c:v>
                </c:pt>
                <c:pt idx="7" formatCode="0.00000">
                  <c:v>0.44900000000000001</c:v>
                </c:pt>
                <c:pt idx="8" formatCode="0.00000">
                  <c:v>1.1719999999999999</c:v>
                </c:pt>
                <c:pt idx="9" formatCode="0.00000">
                  <c:v>0.26800000000000002</c:v>
                </c:pt>
                <c:pt idx="10" formatCode="0.00000">
                  <c:v>0.29599999999999999</c:v>
                </c:pt>
                <c:pt idx="11" formatCode="0.00000">
                  <c:v>0.309</c:v>
                </c:pt>
                <c:pt idx="12" formatCode="0.00000">
                  <c:v>0.184</c:v>
                </c:pt>
                <c:pt idx="13" formatCode="0.00000">
                  <c:v>0.20899999999999999</c:v>
                </c:pt>
                <c:pt idx="14" formatCode="0.00000">
                  <c:v>0.13337967864028299</c:v>
                </c:pt>
                <c:pt idx="15" formatCode="0.00000">
                  <c:v>0.59299999999999997</c:v>
                </c:pt>
                <c:pt idx="16" formatCode="0.00000">
                  <c:v>0.25700000000000001</c:v>
                </c:pt>
                <c:pt idx="17" formatCode="0.00000">
                  <c:v>0.45600000000000002</c:v>
                </c:pt>
                <c:pt idx="18" formatCode="0.00000">
                  <c:v>0.38700000000000001</c:v>
                </c:pt>
                <c:pt idx="19" formatCode="0.00000">
                  <c:v>0.38100000000000001</c:v>
                </c:pt>
                <c:pt idx="20" formatCode="0.00000">
                  <c:v>0.36799999999999999</c:v>
                </c:pt>
                <c:pt idx="21" formatCode="0.00000">
                  <c:v>0.16700000000000001</c:v>
                </c:pt>
                <c:pt idx="22" formatCode="0.00000">
                  <c:v>0</c:v>
                </c:pt>
                <c:pt idx="23" formatCode="0.00000">
                  <c:v>0.17699999999999999</c:v>
                </c:pt>
                <c:pt idx="24" formatCode="0.00000">
                  <c:v>0</c:v>
                </c:pt>
                <c:pt idx="25" formatCode="0.00000">
                  <c:v>0.14699999999999999</c:v>
                </c:pt>
                <c:pt idx="26" formatCode="0.00000">
                  <c:v>0.16600000000000001</c:v>
                </c:pt>
                <c:pt idx="27" formatCode="0.00000">
                  <c:v>0.25900000000000001</c:v>
                </c:pt>
                <c:pt idx="28" formatCode="0.00000">
                  <c:v>0.186</c:v>
                </c:pt>
                <c:pt idx="29" formatCode="0.00000">
                  <c:v>0.151</c:v>
                </c:pt>
                <c:pt idx="30" formatCode="0.00000">
                  <c:v>0.21299999999999999</c:v>
                </c:pt>
                <c:pt idx="31" formatCode="0.00000">
                  <c:v>0.20799999999999999</c:v>
                </c:pt>
                <c:pt idx="32" formatCode="0.00000">
                  <c:v>0.21099999999999999</c:v>
                </c:pt>
                <c:pt idx="33" formatCode="0.00000">
                  <c:v>0.185</c:v>
                </c:pt>
                <c:pt idx="34" formatCode="0.00000">
                  <c:v>0.434</c:v>
                </c:pt>
                <c:pt idx="35" formatCode="0.00000">
                  <c:v>0.41199999999999998</c:v>
                </c:pt>
                <c:pt idx="36" formatCode="0.00000">
                  <c:v>0.45300000000000001</c:v>
                </c:pt>
                <c:pt idx="37" formatCode="0.00000">
                  <c:v>0.23499999999999999</c:v>
                </c:pt>
                <c:pt idx="38" formatCode="0.00000">
                  <c:v>0.249</c:v>
                </c:pt>
                <c:pt idx="39" formatCode="0.00000">
                  <c:v>0.36599999999999999</c:v>
                </c:pt>
                <c:pt idx="40" formatCode="0.00000">
                  <c:v>5.0999999999999997E-2</c:v>
                </c:pt>
                <c:pt idx="41" formatCode="0.00000">
                  <c:v>0.254</c:v>
                </c:pt>
                <c:pt idx="42" formatCode="0.00000">
                  <c:v>0.29299999999999998</c:v>
                </c:pt>
                <c:pt idx="43" formatCode="0.00000">
                  <c:v>0.504</c:v>
                </c:pt>
                <c:pt idx="44" formatCode="0.00000">
                  <c:v>0</c:v>
                </c:pt>
                <c:pt idx="45" formatCode="0.00000">
                  <c:v>0.23799999999999999</c:v>
                </c:pt>
                <c:pt idx="46" formatCode="0.00000">
                  <c:v>0.188</c:v>
                </c:pt>
                <c:pt idx="47" formatCode="0.00000">
                  <c:v>0.21</c:v>
                </c:pt>
                <c:pt idx="48" formatCode="0.00000">
                  <c:v>0</c:v>
                </c:pt>
                <c:pt idx="49" formatCode="0.00000">
                  <c:v>0.45</c:v>
                </c:pt>
                <c:pt idx="50" formatCode="0.00000">
                  <c:v>0.56000000000000005</c:v>
                </c:pt>
                <c:pt idx="51" formatCode="0.00000">
                  <c:v>0</c:v>
                </c:pt>
                <c:pt idx="52" formatCode="0.00000">
                  <c:v>0.125</c:v>
                </c:pt>
                <c:pt idx="53" formatCode="0.00000">
                  <c:v>0.127</c:v>
                </c:pt>
                <c:pt idx="54" formatCode="0.00000">
                  <c:v>0</c:v>
                </c:pt>
                <c:pt idx="55" formatCode="0.00000">
                  <c:v>0</c:v>
                </c:pt>
                <c:pt idx="56" formatCode="0.00000">
                  <c:v>0</c:v>
                </c:pt>
                <c:pt idx="57" formatCode="0.00000">
                  <c:v>0</c:v>
                </c:pt>
                <c:pt idx="58" formatCode="0.00000">
                  <c:v>0</c:v>
                </c:pt>
                <c:pt idx="59" formatCode="0.00000">
                  <c:v>0</c:v>
                </c:pt>
                <c:pt idx="60" formatCode="0.00000">
                  <c:v>0</c:v>
                </c:pt>
                <c:pt idx="61" formatCode="0.00000">
                  <c:v>0</c:v>
                </c:pt>
                <c:pt idx="62" formatCode="0.00000">
                  <c:v>0</c:v>
                </c:pt>
                <c:pt idx="63" formatCode="0.00000">
                  <c:v>0.223</c:v>
                </c:pt>
                <c:pt idx="64" formatCode="0.00000">
                  <c:v>0.33200000000000002</c:v>
                </c:pt>
                <c:pt idx="65" formatCode="0.00000">
                  <c:v>0.33800000000000002</c:v>
                </c:pt>
                <c:pt idx="66" formatCode="0.00000">
                  <c:v>0.28499999999999998</c:v>
                </c:pt>
                <c:pt idx="67" formatCode="0.00000">
                  <c:v>0.215</c:v>
                </c:pt>
                <c:pt idx="68" formatCode="0.00000">
                  <c:v>0.29399999999999998</c:v>
                </c:pt>
                <c:pt idx="69" formatCode="0.00000">
                  <c:v>0.56599999999999995</c:v>
                </c:pt>
                <c:pt idx="70" formatCode="0.00000">
                  <c:v>0</c:v>
                </c:pt>
                <c:pt idx="71" formatCode="0.00000">
                  <c:v>0</c:v>
                </c:pt>
                <c:pt idx="72" formatCode="0.00000">
                  <c:v>0</c:v>
                </c:pt>
                <c:pt idx="73" formatCode="0.00000">
                  <c:v>0.20899999999999999</c:v>
                </c:pt>
                <c:pt idx="74" formatCode="0.00000">
                  <c:v>0.14699999999999999</c:v>
                </c:pt>
                <c:pt idx="75" formatCode="0.00000">
                  <c:v>0.17599999999999999</c:v>
                </c:pt>
                <c:pt idx="76" formatCode="0.00000">
                  <c:v>0</c:v>
                </c:pt>
                <c:pt idx="77" formatCode="0.00000">
                  <c:v>0.123</c:v>
                </c:pt>
                <c:pt idx="78" formatCode="0.00000">
                  <c:v>9.7000000000000003E-2</c:v>
                </c:pt>
                <c:pt idx="79" formatCode="0.00000">
                  <c:v>0.11</c:v>
                </c:pt>
                <c:pt idx="80" formatCode="0.00000">
                  <c:v>0</c:v>
                </c:pt>
                <c:pt idx="81" formatCode="0.00000">
                  <c:v>0</c:v>
                </c:pt>
                <c:pt idx="82" formatCode="0.00000">
                  <c:v>0.17435896980184501</c:v>
                </c:pt>
                <c:pt idx="83" formatCode="0.00000">
                  <c:v>0.2</c:v>
                </c:pt>
                <c:pt idx="84" formatCode="0.00000">
                  <c:v>0.28499999999999998</c:v>
                </c:pt>
                <c:pt idx="85" formatCode="0.00000">
                  <c:v>0.13600000000000001</c:v>
                </c:pt>
                <c:pt idx="86" formatCode="0.00000">
                  <c:v>0</c:v>
                </c:pt>
                <c:pt idx="87" formatCode="0.00000">
                  <c:v>0.13800000000000001</c:v>
                </c:pt>
                <c:pt idx="88" formatCode="0.00000">
                  <c:v>0.39649000000000001</c:v>
                </c:pt>
                <c:pt idx="89" formatCode="0.00000">
                  <c:v>0.2782</c:v>
                </c:pt>
                <c:pt idx="90" formatCode="0.00000">
                  <c:v>0.188</c:v>
                </c:pt>
                <c:pt idx="91" formatCode="0.00000">
                  <c:v>0.39200000000000002</c:v>
                </c:pt>
                <c:pt idx="92" formatCode="0.00000">
                  <c:v>0.17299999999999999</c:v>
                </c:pt>
                <c:pt idx="93" formatCode="0.00000">
                  <c:v>0.188</c:v>
                </c:pt>
                <c:pt idx="94" formatCode="0.00000">
                  <c:v>0.36199999999999999</c:v>
                </c:pt>
                <c:pt idx="95" formatCode="0.00000">
                  <c:v>0.17399999999999999</c:v>
                </c:pt>
                <c:pt idx="96" formatCode="0.00000">
                  <c:v>0.155</c:v>
                </c:pt>
                <c:pt idx="97" formatCode="0.00000">
                  <c:v>0</c:v>
                </c:pt>
                <c:pt idx="98" formatCode="0.00000">
                  <c:v>0</c:v>
                </c:pt>
                <c:pt idx="99" formatCode="0.00000">
                  <c:v>0.1697175980790222</c:v>
                </c:pt>
                <c:pt idx="100" formatCode="0.00000">
                  <c:v>0.21029315067669996</c:v>
                </c:pt>
                <c:pt idx="101" formatCode="General">
                  <c:v>0.17400000000000002</c:v>
                </c:pt>
                <c:pt idx="102" formatCode="General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1-4FD7-A354-D374084DD610}"/>
            </c:ext>
          </c:extLst>
        </c:ser>
        <c:ser>
          <c:idx val="1"/>
          <c:order val="1"/>
          <c:tx>
            <c:v>co_sat vs GOR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904668777807918"/>
                  <c:y val="4.9947775413780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Data!$D$3:$D$105</c:f>
              <c:numCache>
                <c:formatCode>0</c:formatCode>
                <c:ptCount val="103"/>
                <c:pt idx="0">
                  <c:v>1667.7686823505683</c:v>
                </c:pt>
                <c:pt idx="1">
                  <c:v>3188.8071</c:v>
                </c:pt>
                <c:pt idx="2">
                  <c:v>1133.4462691607539</c:v>
                </c:pt>
                <c:pt idx="3">
                  <c:v>8422.6288999999997</c:v>
                </c:pt>
                <c:pt idx="4">
                  <c:v>1371</c:v>
                </c:pt>
                <c:pt idx="5">
                  <c:v>979</c:v>
                </c:pt>
                <c:pt idx="6">
                  <c:v>1748.1534999999999</c:v>
                </c:pt>
                <c:pt idx="7">
                  <c:v>977</c:v>
                </c:pt>
                <c:pt idx="8">
                  <c:v>224</c:v>
                </c:pt>
                <c:pt idx="9">
                  <c:v>895</c:v>
                </c:pt>
                <c:pt idx="10">
                  <c:v>1179</c:v>
                </c:pt>
                <c:pt idx="11">
                  <c:v>1064</c:v>
                </c:pt>
                <c:pt idx="12">
                  <c:v>1827</c:v>
                </c:pt>
                <c:pt idx="13">
                  <c:v>1633</c:v>
                </c:pt>
                <c:pt idx="14">
                  <c:v>1921.8963562753036</c:v>
                </c:pt>
                <c:pt idx="15">
                  <c:v>564</c:v>
                </c:pt>
                <c:pt idx="16">
                  <c:v>1226</c:v>
                </c:pt>
                <c:pt idx="17">
                  <c:v>848</c:v>
                </c:pt>
                <c:pt idx="18">
                  <c:v>840</c:v>
                </c:pt>
                <c:pt idx="19">
                  <c:v>743</c:v>
                </c:pt>
                <c:pt idx="20">
                  <c:v>975</c:v>
                </c:pt>
                <c:pt idx="21">
                  <c:v>2124</c:v>
                </c:pt>
                <c:pt idx="22">
                  <c:v>4971.75</c:v>
                </c:pt>
                <c:pt idx="23">
                  <c:v>2645</c:v>
                </c:pt>
                <c:pt idx="24">
                  <c:v>4389.2539999999999</c:v>
                </c:pt>
                <c:pt idx="25">
                  <c:v>2393</c:v>
                </c:pt>
                <c:pt idx="26">
                  <c:v>2261</c:v>
                </c:pt>
                <c:pt idx="27">
                  <c:v>1598</c:v>
                </c:pt>
                <c:pt idx="28">
                  <c:v>2689</c:v>
                </c:pt>
                <c:pt idx="29">
                  <c:v>2072</c:v>
                </c:pt>
                <c:pt idx="30">
                  <c:v>1776</c:v>
                </c:pt>
                <c:pt idx="31">
                  <c:v>1786</c:v>
                </c:pt>
                <c:pt idx="32">
                  <c:v>2247</c:v>
                </c:pt>
                <c:pt idx="33">
                  <c:v>2196</c:v>
                </c:pt>
                <c:pt idx="34">
                  <c:v>1455</c:v>
                </c:pt>
                <c:pt idx="35">
                  <c:v>761</c:v>
                </c:pt>
                <c:pt idx="36">
                  <c:v>694</c:v>
                </c:pt>
                <c:pt idx="37">
                  <c:v>1193</c:v>
                </c:pt>
                <c:pt idx="38">
                  <c:v>2539</c:v>
                </c:pt>
                <c:pt idx="39">
                  <c:v>1311</c:v>
                </c:pt>
                <c:pt idx="40">
                  <c:v>7104</c:v>
                </c:pt>
                <c:pt idx="41">
                  <c:v>1583</c:v>
                </c:pt>
                <c:pt idx="42">
                  <c:v>1562</c:v>
                </c:pt>
                <c:pt idx="43">
                  <c:v>1992</c:v>
                </c:pt>
                <c:pt idx="44">
                  <c:v>9489.9</c:v>
                </c:pt>
                <c:pt idx="45">
                  <c:v>1537</c:v>
                </c:pt>
                <c:pt idx="46">
                  <c:v>1902.8279498619736</c:v>
                </c:pt>
                <c:pt idx="47">
                  <c:v>1611</c:v>
                </c:pt>
                <c:pt idx="48">
                  <c:v>7030.6531000000004</c:v>
                </c:pt>
                <c:pt idx="49">
                  <c:v>1106</c:v>
                </c:pt>
                <c:pt idx="50">
                  <c:v>716</c:v>
                </c:pt>
                <c:pt idx="51">
                  <c:v>8467.7186000000002</c:v>
                </c:pt>
                <c:pt idx="52">
                  <c:v>2583</c:v>
                </c:pt>
                <c:pt idx="53">
                  <c:v>2592.8721580424876</c:v>
                </c:pt>
                <c:pt idx="54">
                  <c:v>4009.4260000000004</c:v>
                </c:pt>
                <c:pt idx="55">
                  <c:v>3940.8596000000002</c:v>
                </c:pt>
                <c:pt idx="56">
                  <c:v>12038.6284</c:v>
                </c:pt>
                <c:pt idx="57">
                  <c:v>4248.6336000000001</c:v>
                </c:pt>
                <c:pt idx="58">
                  <c:v>4371.3931999999995</c:v>
                </c:pt>
                <c:pt idx="59">
                  <c:v>6617.7096000000001</c:v>
                </c:pt>
                <c:pt idx="60">
                  <c:v>5073.28</c:v>
                </c:pt>
                <c:pt idx="61">
                  <c:v>11050.2042</c:v>
                </c:pt>
                <c:pt idx="62">
                  <c:v>2643.5792999999999</c:v>
                </c:pt>
                <c:pt idx="63">
                  <c:v>1964</c:v>
                </c:pt>
                <c:pt idx="64">
                  <c:v>1928</c:v>
                </c:pt>
                <c:pt idx="65">
                  <c:v>1022</c:v>
                </c:pt>
                <c:pt idx="66">
                  <c:v>1190</c:v>
                </c:pt>
                <c:pt idx="67">
                  <c:v>1858</c:v>
                </c:pt>
                <c:pt idx="68">
                  <c:v>1235</c:v>
                </c:pt>
                <c:pt idx="69">
                  <c:v>338</c:v>
                </c:pt>
                <c:pt idx="70">
                  <c:v>8958.5512999999992</c:v>
                </c:pt>
                <c:pt idx="71">
                  <c:v>4210.3598999999995</c:v>
                </c:pt>
                <c:pt idx="72">
                  <c:v>5154.8473999999997</c:v>
                </c:pt>
                <c:pt idx="73">
                  <c:v>1784</c:v>
                </c:pt>
                <c:pt idx="74">
                  <c:v>2615</c:v>
                </c:pt>
                <c:pt idx="75">
                  <c:v>2206</c:v>
                </c:pt>
                <c:pt idx="76">
                  <c:v>6348.9564</c:v>
                </c:pt>
                <c:pt idx="77">
                  <c:v>2870</c:v>
                </c:pt>
                <c:pt idx="78">
                  <c:v>3786</c:v>
                </c:pt>
                <c:pt idx="79">
                  <c:v>3878</c:v>
                </c:pt>
                <c:pt idx="80">
                  <c:v>9499.6735000000008</c:v>
                </c:pt>
                <c:pt idx="81">
                  <c:v>14937.022400000002</c:v>
                </c:pt>
                <c:pt idx="82">
                  <c:v>1925</c:v>
                </c:pt>
                <c:pt idx="83">
                  <c:v>1573</c:v>
                </c:pt>
                <c:pt idx="84">
                  <c:v>1303</c:v>
                </c:pt>
                <c:pt idx="85">
                  <c:v>3198</c:v>
                </c:pt>
                <c:pt idx="86">
                  <c:v>15090.0604</c:v>
                </c:pt>
                <c:pt idx="87">
                  <c:v>3019.0898226608274</c:v>
                </c:pt>
                <c:pt idx="88">
                  <c:v>897</c:v>
                </c:pt>
                <c:pt idx="89">
                  <c:v>1230</c:v>
                </c:pt>
                <c:pt idx="90">
                  <c:v>2143</c:v>
                </c:pt>
                <c:pt idx="91">
                  <c:v>1335</c:v>
                </c:pt>
                <c:pt idx="92">
                  <c:v>1882</c:v>
                </c:pt>
                <c:pt idx="93">
                  <c:v>2038</c:v>
                </c:pt>
                <c:pt idx="94">
                  <c:v>1759</c:v>
                </c:pt>
                <c:pt idx="95">
                  <c:v>2163</c:v>
                </c:pt>
                <c:pt idx="96">
                  <c:v>2369</c:v>
                </c:pt>
                <c:pt idx="97">
                  <c:v>10964.788499999999</c:v>
                </c:pt>
                <c:pt idx="98">
                  <c:v>5720.1431999999995</c:v>
                </c:pt>
                <c:pt idx="99" formatCode="General">
                  <c:v>2453</c:v>
                </c:pt>
                <c:pt idx="100">
                  <c:v>2179.0347581216583</c:v>
                </c:pt>
                <c:pt idx="101" formatCode="General">
                  <c:v>2238</c:v>
                </c:pt>
                <c:pt idx="102" formatCode="General">
                  <c:v>1973</c:v>
                </c:pt>
              </c:numCache>
            </c:numRef>
          </c:xVal>
          <c:yVal>
            <c:numRef>
              <c:f>Data!$P$3:$P$105</c:f>
              <c:numCache>
                <c:formatCode>0.00E+00</c:formatCode>
                <c:ptCount val="103"/>
                <c:pt idx="0">
                  <c:v>25.861872746664798</c:v>
                </c:pt>
                <c:pt idx="1">
                  <c:v>29.828500000000002</c:v>
                </c:pt>
                <c:pt idx="2">
                  <c:v>17.811199999999999</c:v>
                </c:pt>
                <c:pt idx="3">
                  <c:v>61.831550802139141</c:v>
                </c:pt>
                <c:pt idx="4">
                  <c:v>20.641000000000002</c:v>
                </c:pt>
                <c:pt idx="5">
                  <c:v>18.4603</c:v>
                </c:pt>
                <c:pt idx="6">
                  <c:v>22.1206</c:v>
                </c:pt>
                <c:pt idx="7">
                  <c:v>15.4185158706069</c:v>
                </c:pt>
                <c:pt idx="8">
                  <c:v>10.3558</c:v>
                </c:pt>
                <c:pt idx="9">
                  <c:v>17.227399999999999</c:v>
                </c:pt>
                <c:pt idx="10">
                  <c:v>17.947059986285069</c:v>
                </c:pt>
                <c:pt idx="11">
                  <c:v>17.852200000000003</c:v>
                </c:pt>
                <c:pt idx="12">
                  <c:v>30.246998091170202</c:v>
                </c:pt>
                <c:pt idx="13">
                  <c:v>28.6722</c:v>
                </c:pt>
                <c:pt idx="14">
                  <c:v>26.29</c:v>
                </c:pt>
                <c:pt idx="15">
                  <c:v>12.2088</c:v>
                </c:pt>
                <c:pt idx="16">
                  <c:v>18.875599999999999</c:v>
                </c:pt>
                <c:pt idx="17">
                  <c:v>13.5686</c:v>
                </c:pt>
                <c:pt idx="18">
                  <c:v>14.694800000000001</c:v>
                </c:pt>
                <c:pt idx="19">
                  <c:v>13.7521</c:v>
                </c:pt>
                <c:pt idx="20">
                  <c:v>16.968699999999998</c:v>
                </c:pt>
                <c:pt idx="21">
                  <c:v>37.546883008720918</c:v>
                </c:pt>
                <c:pt idx="22">
                  <c:v>45.710145927484639</c:v>
                </c:pt>
                <c:pt idx="23">
                  <c:v>33.244699999999995</c:v>
                </c:pt>
                <c:pt idx="24">
                  <c:v>44.658484555745012</c:v>
                </c:pt>
                <c:pt idx="25">
                  <c:v>32.993586346309897</c:v>
                </c:pt>
                <c:pt idx="26">
                  <c:v>29.787800000000001</c:v>
                </c:pt>
                <c:pt idx="27">
                  <c:v>21.097100000000001</c:v>
                </c:pt>
                <c:pt idx="28">
                  <c:v>38.010199999999998</c:v>
                </c:pt>
                <c:pt idx="29">
                  <c:v>29.7226</c:v>
                </c:pt>
                <c:pt idx="30">
                  <c:v>22.328200000000002</c:v>
                </c:pt>
                <c:pt idx="31">
                  <c:v>24.075399999999998</c:v>
                </c:pt>
                <c:pt idx="32">
                  <c:v>31.637200000000004</c:v>
                </c:pt>
                <c:pt idx="33">
                  <c:v>30.255000000000003</c:v>
                </c:pt>
                <c:pt idx="34">
                  <c:v>20.632899999999999</c:v>
                </c:pt>
                <c:pt idx="35">
                  <c:v>13.774100000000001</c:v>
                </c:pt>
                <c:pt idx="36">
                  <c:v>14.6343</c:v>
                </c:pt>
                <c:pt idx="37">
                  <c:v>20.536100000000001</c:v>
                </c:pt>
                <c:pt idx="38">
                  <c:v>27.0824</c:v>
                </c:pt>
                <c:pt idx="39">
                  <c:v>20.366100000000003</c:v>
                </c:pt>
                <c:pt idx="40">
                  <c:v>75.153502924252678</c:v>
                </c:pt>
                <c:pt idx="41">
                  <c:v>21.942399999999999</c:v>
                </c:pt>
                <c:pt idx="42">
                  <c:v>23.057500000000001</c:v>
                </c:pt>
                <c:pt idx="43">
                  <c:v>22.232000608155797</c:v>
                </c:pt>
                <c:pt idx="44">
                  <c:v>66.363559345965626</c:v>
                </c:pt>
                <c:pt idx="45">
                  <c:v>20.970200000000002</c:v>
                </c:pt>
                <c:pt idx="46">
                  <c:v>28.958600000000001</c:v>
                </c:pt>
                <c:pt idx="47">
                  <c:v>24.1219</c:v>
                </c:pt>
                <c:pt idx="48">
                  <c:v>38.767352612879179</c:v>
                </c:pt>
                <c:pt idx="49">
                  <c:v>16.000600000000002</c:v>
                </c:pt>
                <c:pt idx="50">
                  <c:v>14.000999999999999</c:v>
                </c:pt>
                <c:pt idx="51">
                  <c:v>61.927960315292786</c:v>
                </c:pt>
                <c:pt idx="52">
                  <c:v>39.792000000000002</c:v>
                </c:pt>
                <c:pt idx="53">
                  <c:v>37.7515</c:v>
                </c:pt>
                <c:pt idx="54">
                  <c:v>47.141591724124225</c:v>
                </c:pt>
                <c:pt idx="55">
                  <c:v>44.855980263368579</c:v>
                </c:pt>
                <c:pt idx="56">
                  <c:v>76.181920712299814</c:v>
                </c:pt>
                <c:pt idx="57">
                  <c:v>54.289961100979873</c:v>
                </c:pt>
                <c:pt idx="58">
                  <c:v>60.875900129307915</c:v>
                </c:pt>
                <c:pt idx="59">
                  <c:v>57.69659259866566</c:v>
                </c:pt>
                <c:pt idx="60">
                  <c:v>58.237185326586591</c:v>
                </c:pt>
                <c:pt idx="61">
                  <c:v>75.223557651672522</c:v>
                </c:pt>
                <c:pt idx="62">
                  <c:v>37.600299999999997</c:v>
                </c:pt>
                <c:pt idx="63">
                  <c:v>24.625700000000002</c:v>
                </c:pt>
                <c:pt idx="64">
                  <c:v>30.369199999999999</c:v>
                </c:pt>
                <c:pt idx="65">
                  <c:v>17.276700000000002</c:v>
                </c:pt>
                <c:pt idx="66">
                  <c:v>20.018016214593398</c:v>
                </c:pt>
                <c:pt idx="67">
                  <c:v>24.649699999999999</c:v>
                </c:pt>
                <c:pt idx="68">
                  <c:v>19.306598903568972</c:v>
                </c:pt>
                <c:pt idx="69">
                  <c:v>13.618399999999999</c:v>
                </c:pt>
                <c:pt idx="70">
                  <c:v>58.542578969883252</c:v>
                </c:pt>
                <c:pt idx="71">
                  <c:v>49.084457480247508</c:v>
                </c:pt>
                <c:pt idx="72">
                  <c:v>55.507535049465318</c:v>
                </c:pt>
                <c:pt idx="73">
                  <c:v>28.805299999999999</c:v>
                </c:pt>
                <c:pt idx="74">
                  <c:v>35.503</c:v>
                </c:pt>
                <c:pt idx="75">
                  <c:v>32.677395172111211</c:v>
                </c:pt>
                <c:pt idx="76">
                  <c:v>52.520973167628995</c:v>
                </c:pt>
                <c:pt idx="77">
                  <c:v>39.453414659042238</c:v>
                </c:pt>
                <c:pt idx="78">
                  <c:v>70.318049317459582</c:v>
                </c:pt>
                <c:pt idx="79">
                  <c:v>51.2864</c:v>
                </c:pt>
                <c:pt idx="80">
                  <c:v>65.297767629066357</c:v>
                </c:pt>
                <c:pt idx="81">
                  <c:v>95.971359558316166</c:v>
                </c:pt>
                <c:pt idx="82">
                  <c:v>27.06406778805</c:v>
                </c:pt>
                <c:pt idx="83">
                  <c:v>27.552</c:v>
                </c:pt>
                <c:pt idx="84">
                  <c:v>24.730800000000002</c:v>
                </c:pt>
                <c:pt idx="85">
                  <c:v>41.775112387656399</c:v>
                </c:pt>
                <c:pt idx="86">
                  <c:v>45.773174304247888</c:v>
                </c:pt>
                <c:pt idx="87">
                  <c:v>44.029273699827719</c:v>
                </c:pt>
                <c:pt idx="88">
                  <c:v>18.600000000000001</c:v>
                </c:pt>
                <c:pt idx="89">
                  <c:v>23.399999999999995</c:v>
                </c:pt>
                <c:pt idx="90">
                  <c:v>25.0258</c:v>
                </c:pt>
                <c:pt idx="91">
                  <c:v>20.558</c:v>
                </c:pt>
                <c:pt idx="92">
                  <c:v>27.320860476648598</c:v>
                </c:pt>
                <c:pt idx="93">
                  <c:v>24.738317170880354</c:v>
                </c:pt>
                <c:pt idx="94">
                  <c:v>25.837527208457164</c:v>
                </c:pt>
                <c:pt idx="95">
                  <c:v>30.348992576962502</c:v>
                </c:pt>
                <c:pt idx="96">
                  <c:v>32.977396396851702</c:v>
                </c:pt>
                <c:pt idx="97">
                  <c:v>59.073348772862545</c:v>
                </c:pt>
                <c:pt idx="98">
                  <c:v>62.389860005910776</c:v>
                </c:pt>
                <c:pt idx="99">
                  <c:v>34.219600381535102</c:v>
                </c:pt>
                <c:pt idx="100">
                  <c:v>29.3018</c:v>
                </c:pt>
                <c:pt idx="101">
                  <c:v>34.412219858609198</c:v>
                </c:pt>
                <c:pt idx="102">
                  <c:v>23.988000000000003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1-4FD7-A354-D374084DD610}"/>
            </c:ext>
          </c:extLst>
        </c:ser>
        <c:ser>
          <c:idx val="3"/>
          <c:order val="3"/>
          <c:tx>
            <c:v>Bob vs GOR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494059647122"/>
                  <c:y val="8.0467655159777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Data!$D$3:$D$105</c:f>
              <c:numCache>
                <c:formatCode>0</c:formatCode>
                <c:ptCount val="103"/>
                <c:pt idx="0">
                  <c:v>1667.7686823505683</c:v>
                </c:pt>
                <c:pt idx="1">
                  <c:v>3188.8071</c:v>
                </c:pt>
                <c:pt idx="2">
                  <c:v>1133.4462691607539</c:v>
                </c:pt>
                <c:pt idx="3">
                  <c:v>8422.6288999999997</c:v>
                </c:pt>
                <c:pt idx="4">
                  <c:v>1371</c:v>
                </c:pt>
                <c:pt idx="5">
                  <c:v>979</c:v>
                </c:pt>
                <c:pt idx="6">
                  <c:v>1748.1534999999999</c:v>
                </c:pt>
                <c:pt idx="7">
                  <c:v>977</c:v>
                </c:pt>
                <c:pt idx="8">
                  <c:v>224</c:v>
                </c:pt>
                <c:pt idx="9">
                  <c:v>895</c:v>
                </c:pt>
                <c:pt idx="10">
                  <c:v>1179</c:v>
                </c:pt>
                <c:pt idx="11">
                  <c:v>1064</c:v>
                </c:pt>
                <c:pt idx="12">
                  <c:v>1827</c:v>
                </c:pt>
                <c:pt idx="13">
                  <c:v>1633</c:v>
                </c:pt>
                <c:pt idx="14">
                  <c:v>1921.8963562753036</c:v>
                </c:pt>
                <c:pt idx="15">
                  <c:v>564</c:v>
                </c:pt>
                <c:pt idx="16">
                  <c:v>1226</c:v>
                </c:pt>
                <c:pt idx="17">
                  <c:v>848</c:v>
                </c:pt>
                <c:pt idx="18">
                  <c:v>840</c:v>
                </c:pt>
                <c:pt idx="19">
                  <c:v>743</c:v>
                </c:pt>
                <c:pt idx="20">
                  <c:v>975</c:v>
                </c:pt>
                <c:pt idx="21">
                  <c:v>2124</c:v>
                </c:pt>
                <c:pt idx="22">
                  <c:v>4971.75</c:v>
                </c:pt>
                <c:pt idx="23">
                  <c:v>2645</c:v>
                </c:pt>
                <c:pt idx="24">
                  <c:v>4389.2539999999999</c:v>
                </c:pt>
                <c:pt idx="25">
                  <c:v>2393</c:v>
                </c:pt>
                <c:pt idx="26">
                  <c:v>2261</c:v>
                </c:pt>
                <c:pt idx="27">
                  <c:v>1598</c:v>
                </c:pt>
                <c:pt idx="28">
                  <c:v>2689</c:v>
                </c:pt>
                <c:pt idx="29">
                  <c:v>2072</c:v>
                </c:pt>
                <c:pt idx="30">
                  <c:v>1776</c:v>
                </c:pt>
                <c:pt idx="31">
                  <c:v>1786</c:v>
                </c:pt>
                <c:pt idx="32">
                  <c:v>2247</c:v>
                </c:pt>
                <c:pt idx="33">
                  <c:v>2196</c:v>
                </c:pt>
                <c:pt idx="34">
                  <c:v>1455</c:v>
                </c:pt>
                <c:pt idx="35">
                  <c:v>761</c:v>
                </c:pt>
                <c:pt idx="36">
                  <c:v>694</c:v>
                </c:pt>
                <c:pt idx="37">
                  <c:v>1193</c:v>
                </c:pt>
                <c:pt idx="38">
                  <c:v>2539</c:v>
                </c:pt>
                <c:pt idx="39">
                  <c:v>1311</c:v>
                </c:pt>
                <c:pt idx="40">
                  <c:v>7104</c:v>
                </c:pt>
                <c:pt idx="41">
                  <c:v>1583</c:v>
                </c:pt>
                <c:pt idx="42">
                  <c:v>1562</c:v>
                </c:pt>
                <c:pt idx="43">
                  <c:v>1992</c:v>
                </c:pt>
                <c:pt idx="44">
                  <c:v>9489.9</c:v>
                </c:pt>
                <c:pt idx="45">
                  <c:v>1537</c:v>
                </c:pt>
                <c:pt idx="46">
                  <c:v>1902.8279498619736</c:v>
                </c:pt>
                <c:pt idx="47">
                  <c:v>1611</c:v>
                </c:pt>
                <c:pt idx="48">
                  <c:v>7030.6531000000004</c:v>
                </c:pt>
                <c:pt idx="49">
                  <c:v>1106</c:v>
                </c:pt>
                <c:pt idx="50">
                  <c:v>716</c:v>
                </c:pt>
                <c:pt idx="51">
                  <c:v>8467.7186000000002</c:v>
                </c:pt>
                <c:pt idx="52">
                  <c:v>2583</c:v>
                </c:pt>
                <c:pt idx="53">
                  <c:v>2592.8721580424876</c:v>
                </c:pt>
                <c:pt idx="54">
                  <c:v>4009.4260000000004</c:v>
                </c:pt>
                <c:pt idx="55">
                  <c:v>3940.8596000000002</c:v>
                </c:pt>
                <c:pt idx="56">
                  <c:v>12038.6284</c:v>
                </c:pt>
                <c:pt idx="57">
                  <c:v>4248.6336000000001</c:v>
                </c:pt>
                <c:pt idx="58">
                  <c:v>4371.3931999999995</c:v>
                </c:pt>
                <c:pt idx="59">
                  <c:v>6617.7096000000001</c:v>
                </c:pt>
                <c:pt idx="60">
                  <c:v>5073.28</c:v>
                </c:pt>
                <c:pt idx="61">
                  <c:v>11050.2042</c:v>
                </c:pt>
                <c:pt idx="62">
                  <c:v>2643.5792999999999</c:v>
                </c:pt>
                <c:pt idx="63">
                  <c:v>1964</c:v>
                </c:pt>
                <c:pt idx="64">
                  <c:v>1928</c:v>
                </c:pt>
                <c:pt idx="65">
                  <c:v>1022</c:v>
                </c:pt>
                <c:pt idx="66">
                  <c:v>1190</c:v>
                </c:pt>
                <c:pt idx="67">
                  <c:v>1858</c:v>
                </c:pt>
                <c:pt idx="68">
                  <c:v>1235</c:v>
                </c:pt>
                <c:pt idx="69">
                  <c:v>338</c:v>
                </c:pt>
                <c:pt idx="70">
                  <c:v>8958.5512999999992</c:v>
                </c:pt>
                <c:pt idx="71">
                  <c:v>4210.3598999999995</c:v>
                </c:pt>
                <c:pt idx="72">
                  <c:v>5154.8473999999997</c:v>
                </c:pt>
                <c:pt idx="73">
                  <c:v>1784</c:v>
                </c:pt>
                <c:pt idx="74">
                  <c:v>2615</c:v>
                </c:pt>
                <c:pt idx="75">
                  <c:v>2206</c:v>
                </c:pt>
                <c:pt idx="76">
                  <c:v>6348.9564</c:v>
                </c:pt>
                <c:pt idx="77">
                  <c:v>2870</c:v>
                </c:pt>
                <c:pt idx="78">
                  <c:v>3786</c:v>
                </c:pt>
                <c:pt idx="79">
                  <c:v>3878</c:v>
                </c:pt>
                <c:pt idx="80">
                  <c:v>9499.6735000000008</c:v>
                </c:pt>
                <c:pt idx="81">
                  <c:v>14937.022400000002</c:v>
                </c:pt>
                <c:pt idx="82">
                  <c:v>1925</c:v>
                </c:pt>
                <c:pt idx="83">
                  <c:v>1573</c:v>
                </c:pt>
                <c:pt idx="84">
                  <c:v>1303</c:v>
                </c:pt>
                <c:pt idx="85">
                  <c:v>3198</c:v>
                </c:pt>
                <c:pt idx="86">
                  <c:v>15090.0604</c:v>
                </c:pt>
                <c:pt idx="87">
                  <c:v>3019.0898226608274</c:v>
                </c:pt>
                <c:pt idx="88">
                  <c:v>897</c:v>
                </c:pt>
                <c:pt idx="89">
                  <c:v>1230</c:v>
                </c:pt>
                <c:pt idx="90">
                  <c:v>2143</c:v>
                </c:pt>
                <c:pt idx="91">
                  <c:v>1335</c:v>
                </c:pt>
                <c:pt idx="92">
                  <c:v>1882</c:v>
                </c:pt>
                <c:pt idx="93">
                  <c:v>2038</c:v>
                </c:pt>
                <c:pt idx="94">
                  <c:v>1759</c:v>
                </c:pt>
                <c:pt idx="95">
                  <c:v>2163</c:v>
                </c:pt>
                <c:pt idx="96">
                  <c:v>2369</c:v>
                </c:pt>
                <c:pt idx="97">
                  <c:v>10964.788499999999</c:v>
                </c:pt>
                <c:pt idx="98">
                  <c:v>5720.1431999999995</c:v>
                </c:pt>
                <c:pt idx="99" formatCode="General">
                  <c:v>2453</c:v>
                </c:pt>
                <c:pt idx="100">
                  <c:v>2179.0347581216583</c:v>
                </c:pt>
                <c:pt idx="101" formatCode="General">
                  <c:v>2238</c:v>
                </c:pt>
                <c:pt idx="102" formatCode="General">
                  <c:v>1973</c:v>
                </c:pt>
              </c:numCache>
            </c:numRef>
          </c:xVal>
          <c:yVal>
            <c:numRef>
              <c:f>Data!$G$3:$G$105</c:f>
              <c:numCache>
                <c:formatCode>0.0000</c:formatCode>
                <c:ptCount val="103"/>
                <c:pt idx="0">
                  <c:v>1.9055786070768399</c:v>
                </c:pt>
                <c:pt idx="1">
                  <c:v>0</c:v>
                </c:pt>
                <c:pt idx="2">
                  <c:v>1.5995999999999999</c:v>
                </c:pt>
                <c:pt idx="3">
                  <c:v>0</c:v>
                </c:pt>
                <c:pt idx="4">
                  <c:v>1.7246999999999999</c:v>
                </c:pt>
                <c:pt idx="5">
                  <c:v>1.5277000000000001</c:v>
                </c:pt>
                <c:pt idx="6">
                  <c:v>1.3649</c:v>
                </c:pt>
                <c:pt idx="7">
                  <c:v>1.4986911732675505</c:v>
                </c:pt>
                <c:pt idx="8">
                  <c:v>1.1680999999999999</c:v>
                </c:pt>
                <c:pt idx="9">
                  <c:v>1.4924999999999999</c:v>
                </c:pt>
                <c:pt idx="10">
                  <c:v>1.6050995510203501</c:v>
                </c:pt>
                <c:pt idx="11">
                  <c:v>1.5653999999999999</c:v>
                </c:pt>
                <c:pt idx="12">
                  <c:v>1.88574002017762</c:v>
                </c:pt>
                <c:pt idx="13">
                  <c:v>1.905</c:v>
                </c:pt>
                <c:pt idx="14">
                  <c:v>2.032</c:v>
                </c:pt>
                <c:pt idx="15">
                  <c:v>1.3082</c:v>
                </c:pt>
                <c:pt idx="16">
                  <c:v>1.6618999999999999</c:v>
                </c:pt>
                <c:pt idx="17">
                  <c:v>1.4198</c:v>
                </c:pt>
                <c:pt idx="18">
                  <c:v>1.4476</c:v>
                </c:pt>
                <c:pt idx="19">
                  <c:v>1.3936999999999999</c:v>
                </c:pt>
                <c:pt idx="20">
                  <c:v>1.5153000000000001</c:v>
                </c:pt>
                <c:pt idx="21">
                  <c:v>2.1372361680955811</c:v>
                </c:pt>
                <c:pt idx="22">
                  <c:v>0</c:v>
                </c:pt>
                <c:pt idx="23">
                  <c:v>2.3553999999999999</c:v>
                </c:pt>
                <c:pt idx="24">
                  <c:v>0</c:v>
                </c:pt>
                <c:pt idx="25">
                  <c:v>2.2130739781586799</c:v>
                </c:pt>
                <c:pt idx="26">
                  <c:v>2.1920000000000002</c:v>
                </c:pt>
                <c:pt idx="27">
                  <c:v>1.8241000000000001</c:v>
                </c:pt>
                <c:pt idx="28">
                  <c:v>2.4154</c:v>
                </c:pt>
                <c:pt idx="29">
                  <c:v>2.1619999999999999</c:v>
                </c:pt>
                <c:pt idx="30">
                  <c:v>1.901</c:v>
                </c:pt>
                <c:pt idx="31">
                  <c:v>1.9545999999999999</c:v>
                </c:pt>
                <c:pt idx="32">
                  <c:v>2.1732999999999998</c:v>
                </c:pt>
                <c:pt idx="33">
                  <c:v>2.1798999999999999</c:v>
                </c:pt>
                <c:pt idx="34">
                  <c:v>1.7339</c:v>
                </c:pt>
                <c:pt idx="35">
                  <c:v>1.4036</c:v>
                </c:pt>
                <c:pt idx="36">
                  <c:v>1.3705000000000001</c:v>
                </c:pt>
                <c:pt idx="37">
                  <c:v>1.6789000000000001</c:v>
                </c:pt>
                <c:pt idx="38">
                  <c:v>2.2337833825723759</c:v>
                </c:pt>
                <c:pt idx="39">
                  <c:v>1.7010000000000001</c:v>
                </c:pt>
                <c:pt idx="40">
                  <c:v>5.1120000000000001</c:v>
                </c:pt>
                <c:pt idx="41">
                  <c:v>1.8231999999999999</c:v>
                </c:pt>
                <c:pt idx="42">
                  <c:v>1.8395999999999999</c:v>
                </c:pt>
                <c:pt idx="43">
                  <c:v>1.9789000000000001</c:v>
                </c:pt>
                <c:pt idx="44">
                  <c:v>0</c:v>
                </c:pt>
                <c:pt idx="45">
                  <c:v>1.7962</c:v>
                </c:pt>
                <c:pt idx="46">
                  <c:v>2.0244</c:v>
                </c:pt>
                <c:pt idx="47">
                  <c:v>1.8481000000000001</c:v>
                </c:pt>
                <c:pt idx="48">
                  <c:v>0</c:v>
                </c:pt>
                <c:pt idx="49">
                  <c:v>1.5330965401161434</c:v>
                </c:pt>
                <c:pt idx="50">
                  <c:v>1.3903466158085649</c:v>
                </c:pt>
                <c:pt idx="51">
                  <c:v>0</c:v>
                </c:pt>
                <c:pt idx="52">
                  <c:v>2.4142999999999999</c:v>
                </c:pt>
                <c:pt idx="53">
                  <c:v>2.4289999999999998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1.9510000000000001</c:v>
                </c:pt>
                <c:pt idx="64">
                  <c:v>1.99082731299834</c:v>
                </c:pt>
                <c:pt idx="65">
                  <c:v>1.5425604341844183</c:v>
                </c:pt>
                <c:pt idx="66">
                  <c:v>1.639</c:v>
                </c:pt>
                <c:pt idx="67">
                  <c:v>2.0020581987014658</c:v>
                </c:pt>
                <c:pt idx="68">
                  <c:v>1.657</c:v>
                </c:pt>
                <c:pt idx="69">
                  <c:v>1.2838000000000001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1.9897</c:v>
                </c:pt>
                <c:pt idx="74">
                  <c:v>2.4460000000000002</c:v>
                </c:pt>
                <c:pt idx="75">
                  <c:v>2.14764883740115</c:v>
                </c:pt>
                <c:pt idx="76">
                  <c:v>0</c:v>
                </c:pt>
                <c:pt idx="77">
                  <c:v>2.4930187474406478</c:v>
                </c:pt>
                <c:pt idx="78">
                  <c:v>3.1960000000000002</c:v>
                </c:pt>
                <c:pt idx="79">
                  <c:v>3.048</c:v>
                </c:pt>
                <c:pt idx="80">
                  <c:v>0</c:v>
                </c:pt>
                <c:pt idx="81">
                  <c:v>0</c:v>
                </c:pt>
                <c:pt idx="82">
                  <c:v>2.0635741274033896</c:v>
                </c:pt>
                <c:pt idx="83">
                  <c:v>1.8840719058200459</c:v>
                </c:pt>
                <c:pt idx="84">
                  <c:v>1.7521</c:v>
                </c:pt>
                <c:pt idx="85">
                  <c:v>2.7440000000000002</c:v>
                </c:pt>
                <c:pt idx="86">
                  <c:v>0</c:v>
                </c:pt>
                <c:pt idx="87">
                  <c:v>2.6800771815122393</c:v>
                </c:pt>
                <c:pt idx="88">
                  <c:v>0</c:v>
                </c:pt>
                <c:pt idx="89">
                  <c:v>0</c:v>
                </c:pt>
                <c:pt idx="90">
                  <c:v>2.0310990912762636</c:v>
                </c:pt>
                <c:pt idx="91">
                  <c:v>1.6715649852853085</c:v>
                </c:pt>
                <c:pt idx="92">
                  <c:v>1.9730000000000001</c:v>
                </c:pt>
                <c:pt idx="93">
                  <c:v>2.0019999999999998</c:v>
                </c:pt>
                <c:pt idx="94">
                  <c:v>1.8997852987184269</c:v>
                </c:pt>
                <c:pt idx="95">
                  <c:v>2.1421000000000001</c:v>
                </c:pt>
                <c:pt idx="96">
                  <c:v>2.2797000000000001</c:v>
                </c:pt>
                <c:pt idx="97">
                  <c:v>0</c:v>
                </c:pt>
                <c:pt idx="98">
                  <c:v>0</c:v>
                </c:pt>
                <c:pt idx="99">
                  <c:v>2.3198206028112054</c:v>
                </c:pt>
                <c:pt idx="100">
                  <c:v>2.14110065649654</c:v>
                </c:pt>
                <c:pt idx="101" formatCode="General">
                  <c:v>2.1539999999999999</c:v>
                </c:pt>
                <c:pt idx="102">
                  <c:v>2.0062134571101491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1-4FD7-A354-D374084D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607"/>
        <c:axId val="508023023"/>
      </c:scatterChart>
      <c:valAx>
        <c:axId val="5023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27839"/>
        <c:crosses val="autoZero"/>
        <c:crossBetween val="midCat"/>
      </c:valAx>
      <c:valAx>
        <c:axId val="5023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27423"/>
        <c:crosses val="autoZero"/>
        <c:crossBetween val="midCat"/>
      </c:valAx>
      <c:valAx>
        <c:axId val="508023023"/>
        <c:scaling>
          <c:logBase val="10"/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607"/>
        <c:crosses val="max"/>
        <c:crossBetween val="midCat"/>
      </c:valAx>
      <c:valAx>
        <c:axId val="508022607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0802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Relative Error in Projected Boi vs Rsb (Bubble Size is </a:t>
            </a:r>
            <a:r>
              <a:rPr lang="en-US" i="1" baseline="0"/>
              <a:t>Pi</a:t>
            </a:r>
            <a:r>
              <a:rPr lang="en-US" baseline="0"/>
              <a:t> - </a:t>
            </a:r>
            <a:r>
              <a:rPr lang="en-US" i="1" baseline="0"/>
              <a:t>Pb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Error in Boi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xVal>
            <c:numRef>
              <c:f>Data!$X$3:$X$156</c:f>
              <c:numCache>
                <c:formatCode>0.00</c:formatCode>
                <c:ptCount val="154"/>
                <c:pt idx="0">
                  <c:v>1667.7686823505683</c:v>
                </c:pt>
                <c:pt idx="1">
                  <c:v>3188.8071</c:v>
                </c:pt>
                <c:pt idx="2">
                  <c:v>1133.4462691607539</c:v>
                </c:pt>
                <c:pt idx="3">
                  <c:v>8422.6288999999997</c:v>
                </c:pt>
                <c:pt idx="4">
                  <c:v>1371</c:v>
                </c:pt>
                <c:pt idx="5">
                  <c:v>979</c:v>
                </c:pt>
                <c:pt idx="6">
                  <c:v>1748.1534999999999</c:v>
                </c:pt>
                <c:pt idx="7">
                  <c:v>977</c:v>
                </c:pt>
                <c:pt idx="8">
                  <c:v>224</c:v>
                </c:pt>
                <c:pt idx="9">
                  <c:v>895</c:v>
                </c:pt>
                <c:pt idx="10">
                  <c:v>1179</c:v>
                </c:pt>
                <c:pt idx="11">
                  <c:v>1064</c:v>
                </c:pt>
                <c:pt idx="12">
                  <c:v>1827</c:v>
                </c:pt>
                <c:pt idx="13">
                  <c:v>1633</c:v>
                </c:pt>
                <c:pt idx="14">
                  <c:v>1921.8963562753036</c:v>
                </c:pt>
                <c:pt idx="15">
                  <c:v>564</c:v>
                </c:pt>
                <c:pt idx="16">
                  <c:v>1226</c:v>
                </c:pt>
                <c:pt idx="17">
                  <c:v>848</c:v>
                </c:pt>
                <c:pt idx="18">
                  <c:v>840</c:v>
                </c:pt>
                <c:pt idx="19">
                  <c:v>743</c:v>
                </c:pt>
                <c:pt idx="20">
                  <c:v>975</c:v>
                </c:pt>
                <c:pt idx="21">
                  <c:v>2124</c:v>
                </c:pt>
                <c:pt idx="22">
                  <c:v>4971.75</c:v>
                </c:pt>
                <c:pt idx="23">
                  <c:v>2645</c:v>
                </c:pt>
                <c:pt idx="24">
                  <c:v>4389.2539999999999</c:v>
                </c:pt>
                <c:pt idx="25">
                  <c:v>2393</c:v>
                </c:pt>
                <c:pt idx="26">
                  <c:v>2261</c:v>
                </c:pt>
                <c:pt idx="27">
                  <c:v>1598</c:v>
                </c:pt>
                <c:pt idx="28">
                  <c:v>2689</c:v>
                </c:pt>
                <c:pt idx="29">
                  <c:v>2072</c:v>
                </c:pt>
                <c:pt idx="30">
                  <c:v>1776</c:v>
                </c:pt>
                <c:pt idx="31">
                  <c:v>1786</c:v>
                </c:pt>
                <c:pt idx="32">
                  <c:v>2247</c:v>
                </c:pt>
                <c:pt idx="33">
                  <c:v>2196</c:v>
                </c:pt>
                <c:pt idx="34">
                  <c:v>1455</c:v>
                </c:pt>
                <c:pt idx="35">
                  <c:v>761</c:v>
                </c:pt>
                <c:pt idx="36">
                  <c:v>694</c:v>
                </c:pt>
                <c:pt idx="37">
                  <c:v>1193</c:v>
                </c:pt>
                <c:pt idx="38">
                  <c:v>2539</c:v>
                </c:pt>
                <c:pt idx="39">
                  <c:v>1311</c:v>
                </c:pt>
                <c:pt idx="40">
                  <c:v>7104</c:v>
                </c:pt>
                <c:pt idx="41">
                  <c:v>1583</c:v>
                </c:pt>
                <c:pt idx="42">
                  <c:v>1562</c:v>
                </c:pt>
                <c:pt idx="43">
                  <c:v>1992</c:v>
                </c:pt>
                <c:pt idx="44">
                  <c:v>9489.9</c:v>
                </c:pt>
                <c:pt idx="45">
                  <c:v>1537</c:v>
                </c:pt>
                <c:pt idx="46">
                  <c:v>1902.8279498619736</c:v>
                </c:pt>
                <c:pt idx="47">
                  <c:v>1611</c:v>
                </c:pt>
                <c:pt idx="48">
                  <c:v>7030.6531000000004</c:v>
                </c:pt>
                <c:pt idx="49">
                  <c:v>1106</c:v>
                </c:pt>
                <c:pt idx="50">
                  <c:v>716</c:v>
                </c:pt>
                <c:pt idx="51">
                  <c:v>8467.7186000000002</c:v>
                </c:pt>
                <c:pt idx="52">
                  <c:v>2583</c:v>
                </c:pt>
                <c:pt idx="53">
                  <c:v>2592.8721580424876</c:v>
                </c:pt>
                <c:pt idx="54">
                  <c:v>4009.4260000000004</c:v>
                </c:pt>
                <c:pt idx="55">
                  <c:v>3940.8596000000002</c:v>
                </c:pt>
                <c:pt idx="56">
                  <c:v>12038.6284</c:v>
                </c:pt>
                <c:pt idx="57">
                  <c:v>4248.6336000000001</c:v>
                </c:pt>
                <c:pt idx="58">
                  <c:v>4371.3931999999995</c:v>
                </c:pt>
                <c:pt idx="59">
                  <c:v>6617.7096000000001</c:v>
                </c:pt>
                <c:pt idx="60">
                  <c:v>5073.28</c:v>
                </c:pt>
                <c:pt idx="61">
                  <c:v>11050.2042</c:v>
                </c:pt>
                <c:pt idx="62">
                  <c:v>2643.5792999999999</c:v>
                </c:pt>
                <c:pt idx="63">
                  <c:v>1964</c:v>
                </c:pt>
                <c:pt idx="64">
                  <c:v>1928</c:v>
                </c:pt>
                <c:pt idx="65">
                  <c:v>1022</c:v>
                </c:pt>
                <c:pt idx="66">
                  <c:v>1190</c:v>
                </c:pt>
                <c:pt idx="67">
                  <c:v>1858</c:v>
                </c:pt>
                <c:pt idx="68">
                  <c:v>1235</c:v>
                </c:pt>
                <c:pt idx="69">
                  <c:v>338</c:v>
                </c:pt>
                <c:pt idx="70">
                  <c:v>8958.5512999999992</c:v>
                </c:pt>
                <c:pt idx="71">
                  <c:v>4210.3598999999995</c:v>
                </c:pt>
                <c:pt idx="72">
                  <c:v>5154.8473999999997</c:v>
                </c:pt>
                <c:pt idx="73">
                  <c:v>1784</c:v>
                </c:pt>
                <c:pt idx="74">
                  <c:v>2615</c:v>
                </c:pt>
                <c:pt idx="75">
                  <c:v>2206</c:v>
                </c:pt>
                <c:pt idx="76">
                  <c:v>6348.9564</c:v>
                </c:pt>
                <c:pt idx="77">
                  <c:v>2870</c:v>
                </c:pt>
                <c:pt idx="78">
                  <c:v>3786</c:v>
                </c:pt>
                <c:pt idx="79">
                  <c:v>3878</c:v>
                </c:pt>
                <c:pt idx="80">
                  <c:v>9499.6735000000008</c:v>
                </c:pt>
                <c:pt idx="81">
                  <c:v>14937.022400000002</c:v>
                </c:pt>
                <c:pt idx="82">
                  <c:v>1925</c:v>
                </c:pt>
                <c:pt idx="83">
                  <c:v>1573</c:v>
                </c:pt>
                <c:pt idx="84">
                  <c:v>1303</c:v>
                </c:pt>
                <c:pt idx="85">
                  <c:v>3198</c:v>
                </c:pt>
                <c:pt idx="86">
                  <c:v>15090.0604</c:v>
                </c:pt>
                <c:pt idx="87">
                  <c:v>3019.0898226608274</c:v>
                </c:pt>
                <c:pt idx="88">
                  <c:v>897</c:v>
                </c:pt>
                <c:pt idx="89">
                  <c:v>1230</c:v>
                </c:pt>
                <c:pt idx="90">
                  <c:v>2143</c:v>
                </c:pt>
                <c:pt idx="91">
                  <c:v>1335</c:v>
                </c:pt>
                <c:pt idx="92">
                  <c:v>1882</c:v>
                </c:pt>
                <c:pt idx="93">
                  <c:v>2038</c:v>
                </c:pt>
                <c:pt idx="94">
                  <c:v>1759</c:v>
                </c:pt>
                <c:pt idx="95">
                  <c:v>2163</c:v>
                </c:pt>
                <c:pt idx="96">
                  <c:v>2369</c:v>
                </c:pt>
                <c:pt idx="97">
                  <c:v>10964.788499999999</c:v>
                </c:pt>
                <c:pt idx="98">
                  <c:v>5720.1431999999995</c:v>
                </c:pt>
                <c:pt idx="99">
                  <c:v>2453</c:v>
                </c:pt>
                <c:pt idx="100">
                  <c:v>2179.0347581216583</c:v>
                </c:pt>
                <c:pt idx="101">
                  <c:v>2238</c:v>
                </c:pt>
                <c:pt idx="102">
                  <c:v>1973</c:v>
                </c:pt>
                <c:pt idx="103">
                  <c:v>1315</c:v>
                </c:pt>
                <c:pt idx="104">
                  <c:v>1883.8370124237647</c:v>
                </c:pt>
                <c:pt idx="105">
                  <c:v>1077</c:v>
                </c:pt>
                <c:pt idx="106">
                  <c:v>828</c:v>
                </c:pt>
                <c:pt idx="107">
                  <c:v>824</c:v>
                </c:pt>
                <c:pt idx="108">
                  <c:v>878</c:v>
                </c:pt>
                <c:pt idx="109">
                  <c:v>461</c:v>
                </c:pt>
                <c:pt idx="110">
                  <c:v>441</c:v>
                </c:pt>
                <c:pt idx="111">
                  <c:v>1428</c:v>
                </c:pt>
                <c:pt idx="112">
                  <c:v>1124</c:v>
                </c:pt>
                <c:pt idx="113">
                  <c:v>1178</c:v>
                </c:pt>
                <c:pt idx="114">
                  <c:v>440</c:v>
                </c:pt>
                <c:pt idx="115">
                  <c:v>1477</c:v>
                </c:pt>
                <c:pt idx="116">
                  <c:v>933</c:v>
                </c:pt>
                <c:pt idx="117">
                  <c:v>1482</c:v>
                </c:pt>
                <c:pt idx="118">
                  <c:v>1010</c:v>
                </c:pt>
                <c:pt idx="119">
                  <c:v>872</c:v>
                </c:pt>
                <c:pt idx="120">
                  <c:v>779</c:v>
                </c:pt>
                <c:pt idx="121">
                  <c:v>1147</c:v>
                </c:pt>
                <c:pt idx="122">
                  <c:v>734</c:v>
                </c:pt>
                <c:pt idx="123">
                  <c:v>1908</c:v>
                </c:pt>
                <c:pt idx="124">
                  <c:v>1446</c:v>
                </c:pt>
                <c:pt idx="125">
                  <c:v>1062</c:v>
                </c:pt>
                <c:pt idx="126">
                  <c:v>1028</c:v>
                </c:pt>
                <c:pt idx="127">
                  <c:v>875.9778633928637</c:v>
                </c:pt>
                <c:pt idx="128">
                  <c:v>878.71586985293175</c:v>
                </c:pt>
                <c:pt idx="129">
                  <c:v>893.50580230451294</c:v>
                </c:pt>
                <c:pt idx="130">
                  <c:v>819.2574068129552</c:v>
                </c:pt>
                <c:pt idx="131">
                  <c:v>1014.8050338327058</c:v>
                </c:pt>
                <c:pt idx="132">
                  <c:v>1316.8520531613119</c:v>
                </c:pt>
                <c:pt idx="133">
                  <c:v>1309.5712971320097</c:v>
                </c:pt>
                <c:pt idx="134">
                  <c:v>1255.9824334889472</c:v>
                </c:pt>
                <c:pt idx="135">
                  <c:v>1662.9066039752083</c:v>
                </c:pt>
                <c:pt idx="136">
                  <c:v>926.67416705051619</c:v>
                </c:pt>
                <c:pt idx="137">
                  <c:v>1669.824655779699</c:v>
                </c:pt>
                <c:pt idx="138">
                  <c:v>1078.8275574104816</c:v>
                </c:pt>
                <c:pt idx="139">
                  <c:v>656</c:v>
                </c:pt>
                <c:pt idx="140">
                  <c:v>1454</c:v>
                </c:pt>
                <c:pt idx="141">
                  <c:v>2205.9741313164527</c:v>
                </c:pt>
                <c:pt idx="142">
                  <c:v>2185.1652241112824</c:v>
                </c:pt>
                <c:pt idx="143">
                  <c:v>1317.9111629386198</c:v>
                </c:pt>
                <c:pt idx="144">
                  <c:v>1300.3197900526727</c:v>
                </c:pt>
                <c:pt idx="145">
                  <c:v>1220.3824306769673</c:v>
                </c:pt>
                <c:pt idx="146">
                  <c:v>2716.0284119008852</c:v>
                </c:pt>
                <c:pt idx="147">
                  <c:v>997</c:v>
                </c:pt>
                <c:pt idx="148">
                  <c:v>847.10507033279407</c:v>
                </c:pt>
                <c:pt idx="149">
                  <c:v>1471.8214907124384</c:v>
                </c:pt>
                <c:pt idx="150">
                  <c:v>1195.9951434878585</c:v>
                </c:pt>
                <c:pt idx="151">
                  <c:v>1302.9698972755696</c:v>
                </c:pt>
                <c:pt idx="152">
                  <c:v>1290.7743124026983</c:v>
                </c:pt>
                <c:pt idx="153">
                  <c:v>1830</c:v>
                </c:pt>
              </c:numCache>
            </c:numRef>
          </c:xVal>
          <c:yVal>
            <c:numRef>
              <c:f>Data!$W$3:$W$156</c:f>
              <c:numCache>
                <c:formatCode>0.00%</c:formatCode>
                <c:ptCount val="154"/>
                <c:pt idx="0">
                  <c:v>0.11504918394772763</c:v>
                </c:pt>
                <c:pt idx="1">
                  <c:v>0</c:v>
                </c:pt>
                <c:pt idx="2">
                  <c:v>4.2272664501155237E-2</c:v>
                </c:pt>
                <c:pt idx="3">
                  <c:v>0.19389783271958919</c:v>
                </c:pt>
                <c:pt idx="4">
                  <c:v>4.4197321043609475E-2</c:v>
                </c:pt>
                <c:pt idx="5">
                  <c:v>4.7091853882274624E-2</c:v>
                </c:pt>
                <c:pt idx="6">
                  <c:v>2.8354491031434038E-3</c:v>
                </c:pt>
                <c:pt idx="7">
                  <c:v>1.601358322590268E-2</c:v>
                </c:pt>
                <c:pt idx="8">
                  <c:v>1.0015346610083664E-2</c:v>
                </c:pt>
                <c:pt idx="9">
                  <c:v>2.9915314057290778E-2</c:v>
                </c:pt>
                <c:pt idx="10">
                  <c:v>2.7190190594013678E-2</c:v>
                </c:pt>
                <c:pt idx="11">
                  <c:v>5.6368595102487554E-2</c:v>
                </c:pt>
                <c:pt idx="12">
                  <c:v>1.7182202874965691E-2</c:v>
                </c:pt>
                <c:pt idx="13">
                  <c:v>0.1059500323995442</c:v>
                </c:pt>
                <c:pt idx="14">
                  <c:v>5.2841519741792027E-2</c:v>
                </c:pt>
                <c:pt idx="15">
                  <c:v>4.5951248272682876E-2</c:v>
                </c:pt>
                <c:pt idx="16">
                  <c:v>5.7725023603801565E-2</c:v>
                </c:pt>
                <c:pt idx="17">
                  <c:v>3.6586858569803364E-2</c:v>
                </c:pt>
                <c:pt idx="18">
                  <c:v>4.5738592295988589E-2</c:v>
                </c:pt>
                <c:pt idx="19">
                  <c:v>5.3002017300983681E-2</c:v>
                </c:pt>
                <c:pt idx="20">
                  <c:v>8.6907687575825898E-2</c:v>
                </c:pt>
                <c:pt idx="21">
                  <c:v>0.13035865963978882</c:v>
                </c:pt>
                <c:pt idx="22">
                  <c:v>4.1531916487515377E-2</c:v>
                </c:pt>
                <c:pt idx="23">
                  <c:v>0.19988950939922664</c:v>
                </c:pt>
                <c:pt idx="24">
                  <c:v>2.3478306927020343E-2</c:v>
                </c:pt>
                <c:pt idx="25">
                  <c:v>6.6602012791875428E-2</c:v>
                </c:pt>
                <c:pt idx="26">
                  <c:v>7.9638554729205474E-2</c:v>
                </c:pt>
                <c:pt idx="27">
                  <c:v>2.4299123559291775E-2</c:v>
                </c:pt>
                <c:pt idx="28">
                  <c:v>9.0995834221020158E-2</c:v>
                </c:pt>
                <c:pt idx="29">
                  <c:v>8.9620463549963184E-2</c:v>
                </c:pt>
                <c:pt idx="30">
                  <c:v>5.1262522999124356E-3</c:v>
                </c:pt>
                <c:pt idx="31">
                  <c:v>2.1646809440839548E-2</c:v>
                </c:pt>
                <c:pt idx="32">
                  <c:v>7.6367495818115319E-2</c:v>
                </c:pt>
                <c:pt idx="33">
                  <c:v>4.9500734685218685E-2</c:v>
                </c:pt>
                <c:pt idx="34">
                  <c:v>2.8472846035572902E-2</c:v>
                </c:pt>
                <c:pt idx="35">
                  <c:v>3.7753703290632358E-2</c:v>
                </c:pt>
                <c:pt idx="36">
                  <c:v>5.2720933392949962E-2</c:v>
                </c:pt>
                <c:pt idx="37">
                  <c:v>7.5202914628357737E-2</c:v>
                </c:pt>
                <c:pt idx="38">
                  <c:v>2.3021725366695705E-2</c:v>
                </c:pt>
                <c:pt idx="39">
                  <c:v>6.5951051743849076E-2</c:v>
                </c:pt>
                <c:pt idx="40">
                  <c:v>0</c:v>
                </c:pt>
                <c:pt idx="41">
                  <c:v>3.0252315118203414E-2</c:v>
                </c:pt>
                <c:pt idx="42">
                  <c:v>8.2832924138936406E-2</c:v>
                </c:pt>
                <c:pt idx="43">
                  <c:v>0</c:v>
                </c:pt>
                <c:pt idx="44">
                  <c:v>0.14893217157747804</c:v>
                </c:pt>
                <c:pt idx="45">
                  <c:v>3.6032645912995646E-2</c:v>
                </c:pt>
                <c:pt idx="46">
                  <c:v>8.6283561130442957E-2</c:v>
                </c:pt>
                <c:pt idx="47">
                  <c:v>3.1222487288949271E-2</c:v>
                </c:pt>
                <c:pt idx="48">
                  <c:v>6.3489327138471024E-2</c:v>
                </c:pt>
                <c:pt idx="49">
                  <c:v>2.5198050172787437E-2</c:v>
                </c:pt>
                <c:pt idx="50">
                  <c:v>3.3044110121527491E-2</c:v>
                </c:pt>
                <c:pt idx="51">
                  <c:v>0.20522069354473585</c:v>
                </c:pt>
                <c:pt idx="52">
                  <c:v>0.11541701109435223</c:v>
                </c:pt>
                <c:pt idx="53">
                  <c:v>0.10281914125627886</c:v>
                </c:pt>
                <c:pt idx="54">
                  <c:v>0.10106090769126136</c:v>
                </c:pt>
                <c:pt idx="55">
                  <c:v>0.10820350550161389</c:v>
                </c:pt>
                <c:pt idx="56">
                  <c:v>0.2595799933274201</c:v>
                </c:pt>
                <c:pt idx="57">
                  <c:v>0.14465168586306648</c:v>
                </c:pt>
                <c:pt idx="58">
                  <c:v>0.19557805717989651</c:v>
                </c:pt>
                <c:pt idx="59">
                  <c:v>0.18713356052768643</c:v>
                </c:pt>
                <c:pt idx="60">
                  <c:v>0.17132844540314787</c:v>
                </c:pt>
                <c:pt idx="61">
                  <c:v>0.28721912428480079</c:v>
                </c:pt>
                <c:pt idx="62">
                  <c:v>0</c:v>
                </c:pt>
                <c:pt idx="63">
                  <c:v>8.4598786144122039E-3</c:v>
                </c:pt>
                <c:pt idx="64">
                  <c:v>5.6010977488787785E-2</c:v>
                </c:pt>
                <c:pt idx="65">
                  <c:v>2.2006631455838466E-2</c:v>
                </c:pt>
                <c:pt idx="66">
                  <c:v>8.3302994338825265E-2</c:v>
                </c:pt>
                <c:pt idx="67">
                  <c:v>3.6821805611405217E-2</c:v>
                </c:pt>
                <c:pt idx="68">
                  <c:v>8.5051574941962776E-2</c:v>
                </c:pt>
                <c:pt idx="69">
                  <c:v>2.5543071914463138E-2</c:v>
                </c:pt>
                <c:pt idx="70">
                  <c:v>0.22884856275612517</c:v>
                </c:pt>
                <c:pt idx="71">
                  <c:v>0.16587088160703942</c:v>
                </c:pt>
                <c:pt idx="72">
                  <c:v>0.20248027641554484</c:v>
                </c:pt>
                <c:pt idx="73">
                  <c:v>6.410518878468309E-2</c:v>
                </c:pt>
                <c:pt idx="74">
                  <c:v>6.9898559521655454E-2</c:v>
                </c:pt>
                <c:pt idx="75">
                  <c:v>6.9488625553846078E-2</c:v>
                </c:pt>
                <c:pt idx="76">
                  <c:v>8.6615802124408017E-2</c:v>
                </c:pt>
                <c:pt idx="77">
                  <c:v>8.5557684731628794E-2</c:v>
                </c:pt>
                <c:pt idx="78">
                  <c:v>0.1754790494729721</c:v>
                </c:pt>
                <c:pt idx="79">
                  <c:v>0.10481720165379498</c:v>
                </c:pt>
                <c:pt idx="80">
                  <c:v>0.12910631817133264</c:v>
                </c:pt>
                <c:pt idx="81">
                  <c:v>0.27577684636526956</c:v>
                </c:pt>
                <c:pt idx="82">
                  <c:v>0.11877590823705929</c:v>
                </c:pt>
                <c:pt idx="83">
                  <c:v>0.15934808595781588</c:v>
                </c:pt>
                <c:pt idx="84">
                  <c:v>0.12717430049410053</c:v>
                </c:pt>
                <c:pt idx="85">
                  <c:v>0.12877749096425845</c:v>
                </c:pt>
                <c:pt idx="86">
                  <c:v>5.9449823129819661E-2</c:v>
                </c:pt>
                <c:pt idx="87">
                  <c:v>0.11924908718099067</c:v>
                </c:pt>
                <c:pt idx="88">
                  <c:v>0</c:v>
                </c:pt>
                <c:pt idx="89">
                  <c:v>0</c:v>
                </c:pt>
                <c:pt idx="90">
                  <c:v>2.9511651973285341E-2</c:v>
                </c:pt>
                <c:pt idx="91">
                  <c:v>5.1267579916281829E-2</c:v>
                </c:pt>
                <c:pt idx="92">
                  <c:v>5.7305541221004716E-2</c:v>
                </c:pt>
                <c:pt idx="93">
                  <c:v>4.0067623630822197E-2</c:v>
                </c:pt>
                <c:pt idx="94">
                  <c:v>5.2494861938492274E-2</c:v>
                </c:pt>
                <c:pt idx="95">
                  <c:v>6.41616765495336E-2</c:v>
                </c:pt>
                <c:pt idx="96">
                  <c:v>7.3867903234521901E-2</c:v>
                </c:pt>
                <c:pt idx="97">
                  <c:v>0.16225609369388902</c:v>
                </c:pt>
                <c:pt idx="98">
                  <c:v>0.15713478107674883</c:v>
                </c:pt>
                <c:pt idx="99">
                  <c:v>9.9939873236171081E-2</c:v>
                </c:pt>
                <c:pt idx="100">
                  <c:v>9.2141398928927656E-2</c:v>
                </c:pt>
                <c:pt idx="101">
                  <c:v>9.2956171111631132E-4</c:v>
                </c:pt>
                <c:pt idx="102">
                  <c:v>1.4403162605558307E-3</c:v>
                </c:pt>
                <c:pt idx="103">
                  <c:v>2.6385741082224801E-2</c:v>
                </c:pt>
                <c:pt idx="104">
                  <c:v>4.0095297195865166E-2</c:v>
                </c:pt>
                <c:pt idx="105">
                  <c:v>1.4682854744485208E-2</c:v>
                </c:pt>
                <c:pt idx="106">
                  <c:v>1.0054851146725491E-2</c:v>
                </c:pt>
                <c:pt idx="107">
                  <c:v>1.0930291172585307E-2</c:v>
                </c:pt>
                <c:pt idx="108">
                  <c:v>1.3173559801435829E-2</c:v>
                </c:pt>
                <c:pt idx="109">
                  <c:v>2.552264708319903E-2</c:v>
                </c:pt>
                <c:pt idx="110">
                  <c:v>2.0564310293929418E-2</c:v>
                </c:pt>
                <c:pt idx="111">
                  <c:v>2.4894907525144592E-2</c:v>
                </c:pt>
                <c:pt idx="112">
                  <c:v>2.2924941086735061E-2</c:v>
                </c:pt>
                <c:pt idx="113">
                  <c:v>2.6273056213389316E-2</c:v>
                </c:pt>
                <c:pt idx="114">
                  <c:v>3.011592991157748E-2</c:v>
                </c:pt>
                <c:pt idx="115">
                  <c:v>2.7606407114182645E-2</c:v>
                </c:pt>
                <c:pt idx="116">
                  <c:v>2.0255774217651245E-2</c:v>
                </c:pt>
                <c:pt idx="117">
                  <c:v>3.2480356633638047E-2</c:v>
                </c:pt>
                <c:pt idx="118">
                  <c:v>1.7178339274292635E-2</c:v>
                </c:pt>
                <c:pt idx="119">
                  <c:v>1.7937617306246437E-2</c:v>
                </c:pt>
                <c:pt idx="120">
                  <c:v>1.9432290125503168E-2</c:v>
                </c:pt>
                <c:pt idx="121">
                  <c:v>3.6372430245744325E-2</c:v>
                </c:pt>
                <c:pt idx="122">
                  <c:v>2.1290031301379585E-2</c:v>
                </c:pt>
                <c:pt idx="123">
                  <c:v>3.9770752004639282E-2</c:v>
                </c:pt>
                <c:pt idx="124">
                  <c:v>3.8228687983889079E-2</c:v>
                </c:pt>
                <c:pt idx="125">
                  <c:v>3.5889466849352458E-2</c:v>
                </c:pt>
                <c:pt idx="126">
                  <c:v>3.7401798026223718E-2</c:v>
                </c:pt>
                <c:pt idx="127">
                  <c:v>2.7881649712207877E-2</c:v>
                </c:pt>
                <c:pt idx="128">
                  <c:v>2.6394710010948182E-2</c:v>
                </c:pt>
                <c:pt idx="129">
                  <c:v>9.0109547883799844E-3</c:v>
                </c:pt>
                <c:pt idx="130">
                  <c:v>1.0216336363080629E-2</c:v>
                </c:pt>
                <c:pt idx="131">
                  <c:v>2.2642015918371543E-2</c:v>
                </c:pt>
                <c:pt idx="132">
                  <c:v>2.0873572688397266E-2</c:v>
                </c:pt>
                <c:pt idx="133">
                  <c:v>2.6125096057236841E-2</c:v>
                </c:pt>
                <c:pt idx="134">
                  <c:v>2.632559837663016E-2</c:v>
                </c:pt>
                <c:pt idx="135">
                  <c:v>3.6613860837118879E-2</c:v>
                </c:pt>
                <c:pt idx="136">
                  <c:v>8.681549558781353E-3</c:v>
                </c:pt>
                <c:pt idx="137">
                  <c:v>3.4373450108439785E-2</c:v>
                </c:pt>
                <c:pt idx="138">
                  <c:v>2.9480701149251772E-2</c:v>
                </c:pt>
                <c:pt idx="139">
                  <c:v>1.8687310953664788E-2</c:v>
                </c:pt>
                <c:pt idx="140">
                  <c:v>0.22869993517826118</c:v>
                </c:pt>
                <c:pt idx="141">
                  <c:v>0.2092060670402674</c:v>
                </c:pt>
                <c:pt idx="142">
                  <c:v>0.22660673890448507</c:v>
                </c:pt>
                <c:pt idx="143">
                  <c:v>0.14324410312194949</c:v>
                </c:pt>
                <c:pt idx="144">
                  <c:v>0.17362364562070859</c:v>
                </c:pt>
                <c:pt idx="145">
                  <c:v>0.17230301712506929</c:v>
                </c:pt>
                <c:pt idx="146">
                  <c:v>0.16057776174647639</c:v>
                </c:pt>
                <c:pt idx="147">
                  <c:v>0.12927558268561878</c:v>
                </c:pt>
                <c:pt idx="148">
                  <c:v>0.10348177580380084</c:v>
                </c:pt>
                <c:pt idx="149">
                  <c:v>7.3420215204318184E-2</c:v>
                </c:pt>
                <c:pt idx="150">
                  <c:v>0.11207657510243879</c:v>
                </c:pt>
                <c:pt idx="151">
                  <c:v>0.11600270688298624</c:v>
                </c:pt>
                <c:pt idx="152">
                  <c:v>0.1011121881240582</c:v>
                </c:pt>
                <c:pt idx="153">
                  <c:v>0.12146509590978775</c:v>
                </c:pt>
              </c:numCache>
            </c:numRef>
          </c:yVal>
          <c:bubbleSize>
            <c:numRef>
              <c:f>Data!$Y$3:$Y$156</c:f>
              <c:numCache>
                <c:formatCode>0</c:formatCode>
                <c:ptCount val="154"/>
                <c:pt idx="0">
                  <c:v>4726</c:v>
                </c:pt>
                <c:pt idx="1">
                  <c:v>-976</c:v>
                </c:pt>
                <c:pt idx="2">
                  <c:v>2425</c:v>
                </c:pt>
                <c:pt idx="3">
                  <c:v>3486</c:v>
                </c:pt>
                <c:pt idx="4">
                  <c:v>2190</c:v>
                </c:pt>
                <c:pt idx="5">
                  <c:v>2613</c:v>
                </c:pt>
                <c:pt idx="6">
                  <c:v>-128</c:v>
                </c:pt>
                <c:pt idx="7">
                  <c:v>1047</c:v>
                </c:pt>
                <c:pt idx="8">
                  <c:v>972.00000000000011</c:v>
                </c:pt>
                <c:pt idx="9">
                  <c:v>1763</c:v>
                </c:pt>
                <c:pt idx="10">
                  <c:v>1536</c:v>
                </c:pt>
                <c:pt idx="11">
                  <c:v>3250</c:v>
                </c:pt>
                <c:pt idx="12">
                  <c:v>573</c:v>
                </c:pt>
                <c:pt idx="13">
                  <c:v>3905.9999999999995</c:v>
                </c:pt>
                <c:pt idx="14">
                  <c:v>2065</c:v>
                </c:pt>
                <c:pt idx="15">
                  <c:v>3853</c:v>
                </c:pt>
                <c:pt idx="16">
                  <c:v>3150</c:v>
                </c:pt>
                <c:pt idx="17">
                  <c:v>2747</c:v>
                </c:pt>
                <c:pt idx="18">
                  <c:v>3186</c:v>
                </c:pt>
                <c:pt idx="19">
                  <c:v>3960</c:v>
                </c:pt>
                <c:pt idx="20">
                  <c:v>5358</c:v>
                </c:pt>
                <c:pt idx="21">
                  <c:v>3720</c:v>
                </c:pt>
                <c:pt idx="22">
                  <c:v>928</c:v>
                </c:pt>
                <c:pt idx="23">
                  <c:v>6708</c:v>
                </c:pt>
                <c:pt idx="24">
                  <c:v>532</c:v>
                </c:pt>
                <c:pt idx="25">
                  <c:v>2089</c:v>
                </c:pt>
                <c:pt idx="26">
                  <c:v>2786</c:v>
                </c:pt>
                <c:pt idx="27">
                  <c:v>1166</c:v>
                </c:pt>
                <c:pt idx="28">
                  <c:v>2510</c:v>
                </c:pt>
                <c:pt idx="29">
                  <c:v>3159</c:v>
                </c:pt>
                <c:pt idx="30">
                  <c:v>-229</c:v>
                </c:pt>
                <c:pt idx="31">
                  <c:v>909</c:v>
                </c:pt>
                <c:pt idx="32">
                  <c:v>2511</c:v>
                </c:pt>
                <c:pt idx="33">
                  <c:v>1678</c:v>
                </c:pt>
                <c:pt idx="34">
                  <c:v>1400</c:v>
                </c:pt>
                <c:pt idx="35">
                  <c:v>2794</c:v>
                </c:pt>
                <c:pt idx="36">
                  <c:v>3701</c:v>
                </c:pt>
                <c:pt idx="37">
                  <c:v>3807</c:v>
                </c:pt>
                <c:pt idx="38">
                  <c:v>860</c:v>
                </c:pt>
                <c:pt idx="39">
                  <c:v>3350</c:v>
                </c:pt>
                <c:pt idx="40">
                  <c:v>2776</c:v>
                </c:pt>
                <c:pt idx="41">
                  <c:v>1400</c:v>
                </c:pt>
                <c:pt idx="42">
                  <c:v>3750</c:v>
                </c:pt>
                <c:pt idx="43">
                  <c:v>-56</c:v>
                </c:pt>
                <c:pt idx="44">
                  <c:v>2430</c:v>
                </c:pt>
                <c:pt idx="45">
                  <c:v>1750</c:v>
                </c:pt>
                <c:pt idx="46">
                  <c:v>3116</c:v>
                </c:pt>
                <c:pt idx="47">
                  <c:v>1315</c:v>
                </c:pt>
                <c:pt idx="48">
                  <c:v>1692</c:v>
                </c:pt>
                <c:pt idx="49">
                  <c:v>1595</c:v>
                </c:pt>
                <c:pt idx="50">
                  <c:v>2400</c:v>
                </c:pt>
                <c:pt idx="51">
                  <c:v>3709</c:v>
                </c:pt>
                <c:pt idx="52">
                  <c:v>3082</c:v>
                </c:pt>
                <c:pt idx="53">
                  <c:v>2874</c:v>
                </c:pt>
                <c:pt idx="54">
                  <c:v>2260</c:v>
                </c:pt>
                <c:pt idx="55">
                  <c:v>2553</c:v>
                </c:pt>
                <c:pt idx="56">
                  <c:v>3945</c:v>
                </c:pt>
                <c:pt idx="57">
                  <c:v>2878</c:v>
                </c:pt>
                <c:pt idx="58">
                  <c:v>3575</c:v>
                </c:pt>
                <c:pt idx="59">
                  <c:v>3591</c:v>
                </c:pt>
                <c:pt idx="60">
                  <c:v>3227</c:v>
                </c:pt>
                <c:pt idx="61">
                  <c:v>4501</c:v>
                </c:pt>
                <c:pt idx="62">
                  <c:v>0</c:v>
                </c:pt>
                <c:pt idx="63">
                  <c:v>345</c:v>
                </c:pt>
                <c:pt idx="64">
                  <c:v>1898</c:v>
                </c:pt>
                <c:pt idx="65">
                  <c:v>1288</c:v>
                </c:pt>
                <c:pt idx="66">
                  <c:v>4345</c:v>
                </c:pt>
                <c:pt idx="67">
                  <c:v>1522</c:v>
                </c:pt>
                <c:pt idx="68">
                  <c:v>4604</c:v>
                </c:pt>
                <c:pt idx="69">
                  <c:v>1900</c:v>
                </c:pt>
                <c:pt idx="70">
                  <c:v>4439</c:v>
                </c:pt>
                <c:pt idx="71">
                  <c:v>3695</c:v>
                </c:pt>
                <c:pt idx="72">
                  <c:v>4076</c:v>
                </c:pt>
                <c:pt idx="73">
                  <c:v>2300</c:v>
                </c:pt>
                <c:pt idx="74">
                  <c:v>2041</c:v>
                </c:pt>
                <c:pt idx="75">
                  <c:v>2204</c:v>
                </c:pt>
                <c:pt idx="76">
                  <c:v>1725</c:v>
                </c:pt>
                <c:pt idx="77">
                  <c:v>2267</c:v>
                </c:pt>
                <c:pt idx="78">
                  <c:v>2744</c:v>
                </c:pt>
                <c:pt idx="79">
                  <c:v>2159</c:v>
                </c:pt>
                <c:pt idx="80">
                  <c:v>2117</c:v>
                </c:pt>
                <c:pt idx="81">
                  <c:v>3362</c:v>
                </c:pt>
                <c:pt idx="82">
                  <c:v>4672</c:v>
                </c:pt>
                <c:pt idx="83">
                  <c:v>6300</c:v>
                </c:pt>
                <c:pt idx="84">
                  <c:v>5500</c:v>
                </c:pt>
                <c:pt idx="85">
                  <c:v>3300</c:v>
                </c:pt>
                <c:pt idx="86">
                  <c:v>1339</c:v>
                </c:pt>
                <c:pt idx="87">
                  <c:v>2884</c:v>
                </c:pt>
                <c:pt idx="88">
                  <c:v>2778</c:v>
                </c:pt>
                <c:pt idx="89">
                  <c:v>2300</c:v>
                </c:pt>
                <c:pt idx="90">
                  <c:v>1197</c:v>
                </c:pt>
                <c:pt idx="91">
                  <c:v>2560</c:v>
                </c:pt>
                <c:pt idx="92">
                  <c:v>2160</c:v>
                </c:pt>
                <c:pt idx="93">
                  <c:v>1653</c:v>
                </c:pt>
                <c:pt idx="94">
                  <c:v>2087</c:v>
                </c:pt>
                <c:pt idx="95">
                  <c:v>2185</c:v>
                </c:pt>
                <c:pt idx="96">
                  <c:v>2327</c:v>
                </c:pt>
                <c:pt idx="97">
                  <c:v>2997</c:v>
                </c:pt>
                <c:pt idx="98">
                  <c:v>2740</c:v>
                </c:pt>
                <c:pt idx="99">
                  <c:v>3077</c:v>
                </c:pt>
                <c:pt idx="100">
                  <c:v>3299</c:v>
                </c:pt>
                <c:pt idx="101">
                  <c:v>-27</c:v>
                </c:pt>
                <c:pt idx="102">
                  <c:v>-60</c:v>
                </c:pt>
                <c:pt idx="103">
                  <c:v>1970</c:v>
                </c:pt>
                <c:pt idx="104">
                  <c:v>2430.0039999999999</c:v>
                </c:pt>
                <c:pt idx="105">
                  <c:v>1213.6959999999999</c:v>
                </c:pt>
                <c:pt idx="106">
                  <c:v>859</c:v>
                </c:pt>
                <c:pt idx="107">
                  <c:v>987</c:v>
                </c:pt>
                <c:pt idx="108">
                  <c:v>1073</c:v>
                </c:pt>
                <c:pt idx="109">
                  <c:v>3100</c:v>
                </c:pt>
                <c:pt idx="110">
                  <c:v>2350</c:v>
                </c:pt>
                <c:pt idx="111">
                  <c:v>1943</c:v>
                </c:pt>
                <c:pt idx="112">
                  <c:v>1878</c:v>
                </c:pt>
                <c:pt idx="113">
                  <c:v>2058</c:v>
                </c:pt>
                <c:pt idx="114">
                  <c:v>3900</c:v>
                </c:pt>
                <c:pt idx="115">
                  <c:v>2094</c:v>
                </c:pt>
                <c:pt idx="116">
                  <c:v>1977</c:v>
                </c:pt>
                <c:pt idx="117">
                  <c:v>2413</c:v>
                </c:pt>
                <c:pt idx="118">
                  <c:v>1444</c:v>
                </c:pt>
                <c:pt idx="119">
                  <c:v>1450</c:v>
                </c:pt>
                <c:pt idx="120">
                  <c:v>1723</c:v>
                </c:pt>
                <c:pt idx="121">
                  <c:v>3578</c:v>
                </c:pt>
                <c:pt idx="122">
                  <c:v>2413</c:v>
                </c:pt>
                <c:pt idx="123">
                  <c:v>3073.3</c:v>
                </c:pt>
                <c:pt idx="124">
                  <c:v>3078</c:v>
                </c:pt>
                <c:pt idx="125">
                  <c:v>2540</c:v>
                </c:pt>
                <c:pt idx="126">
                  <c:v>3763</c:v>
                </c:pt>
                <c:pt idx="127">
                  <c:v>2250</c:v>
                </c:pt>
                <c:pt idx="128">
                  <c:v>2180</c:v>
                </c:pt>
                <c:pt idx="129">
                  <c:v>595</c:v>
                </c:pt>
                <c:pt idx="130">
                  <c:v>950</c:v>
                </c:pt>
                <c:pt idx="131">
                  <c:v>1892</c:v>
                </c:pt>
                <c:pt idx="132">
                  <c:v>1429</c:v>
                </c:pt>
                <c:pt idx="133">
                  <c:v>1997</c:v>
                </c:pt>
                <c:pt idx="134">
                  <c:v>2050</c:v>
                </c:pt>
                <c:pt idx="135">
                  <c:v>2656</c:v>
                </c:pt>
                <c:pt idx="136">
                  <c:v>580</c:v>
                </c:pt>
                <c:pt idx="137">
                  <c:v>2207</c:v>
                </c:pt>
                <c:pt idx="138">
                  <c:v>2407.7800000000002</c:v>
                </c:pt>
                <c:pt idx="139">
                  <c:v>1750</c:v>
                </c:pt>
                <c:pt idx="140">
                  <c:v>4912</c:v>
                </c:pt>
                <c:pt idx="141">
                  <c:v>4478</c:v>
                </c:pt>
                <c:pt idx="142">
                  <c:v>4563</c:v>
                </c:pt>
                <c:pt idx="143">
                  <c:v>5034</c:v>
                </c:pt>
                <c:pt idx="144">
                  <c:v>5206</c:v>
                </c:pt>
                <c:pt idx="145">
                  <c:v>5277</c:v>
                </c:pt>
                <c:pt idx="146">
                  <c:v>2902</c:v>
                </c:pt>
                <c:pt idx="147">
                  <c:v>5144</c:v>
                </c:pt>
                <c:pt idx="148">
                  <c:v>5288</c:v>
                </c:pt>
                <c:pt idx="149">
                  <c:v>2190</c:v>
                </c:pt>
                <c:pt idx="150">
                  <c:v>4461</c:v>
                </c:pt>
                <c:pt idx="151">
                  <c:v>3691</c:v>
                </c:pt>
                <c:pt idx="152">
                  <c:v>3572</c:v>
                </c:pt>
                <c:pt idx="153">
                  <c:v>3206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C0A-45AF-8C2E-5E07B1A5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92833583"/>
        <c:axId val="2021787247"/>
      </c:bubbleChart>
      <c:valAx>
        <c:axId val="928335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87247"/>
        <c:crosses val="autoZero"/>
        <c:crossBetween val="midCat"/>
      </c:valAx>
      <c:valAx>
        <c:axId val="2021787247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Relative Error in Projected Boi vs DP (Bubble Size is </a:t>
            </a:r>
            <a:r>
              <a:rPr lang="en-US" i="1" baseline="0"/>
              <a:t>Rs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xVal>
            <c:numRef>
              <c:f>Data!$Y$3:$Y$156</c:f>
              <c:numCache>
                <c:formatCode>0</c:formatCode>
                <c:ptCount val="154"/>
                <c:pt idx="0">
                  <c:v>4726</c:v>
                </c:pt>
                <c:pt idx="1">
                  <c:v>-976</c:v>
                </c:pt>
                <c:pt idx="2">
                  <c:v>2425</c:v>
                </c:pt>
                <c:pt idx="3">
                  <c:v>3486</c:v>
                </c:pt>
                <c:pt idx="4">
                  <c:v>2190</c:v>
                </c:pt>
                <c:pt idx="5">
                  <c:v>2613</c:v>
                </c:pt>
                <c:pt idx="6">
                  <c:v>-128</c:v>
                </c:pt>
                <c:pt idx="7">
                  <c:v>1047</c:v>
                </c:pt>
                <c:pt idx="8">
                  <c:v>972.00000000000011</c:v>
                </c:pt>
                <c:pt idx="9">
                  <c:v>1763</c:v>
                </c:pt>
                <c:pt idx="10">
                  <c:v>1536</c:v>
                </c:pt>
                <c:pt idx="11">
                  <c:v>3250</c:v>
                </c:pt>
                <c:pt idx="12">
                  <c:v>573</c:v>
                </c:pt>
                <c:pt idx="13">
                  <c:v>3905.9999999999995</c:v>
                </c:pt>
                <c:pt idx="14">
                  <c:v>2065</c:v>
                </c:pt>
                <c:pt idx="15">
                  <c:v>3853</c:v>
                </c:pt>
                <c:pt idx="16">
                  <c:v>3150</c:v>
                </c:pt>
                <c:pt idx="17">
                  <c:v>2747</c:v>
                </c:pt>
                <c:pt idx="18">
                  <c:v>3186</c:v>
                </c:pt>
                <c:pt idx="19">
                  <c:v>3960</c:v>
                </c:pt>
                <c:pt idx="20">
                  <c:v>5358</c:v>
                </c:pt>
                <c:pt idx="21">
                  <c:v>3720</c:v>
                </c:pt>
                <c:pt idx="22">
                  <c:v>928</c:v>
                </c:pt>
                <c:pt idx="23">
                  <c:v>6708</c:v>
                </c:pt>
                <c:pt idx="24">
                  <c:v>532</c:v>
                </c:pt>
                <c:pt idx="25">
                  <c:v>2089</c:v>
                </c:pt>
                <c:pt idx="26">
                  <c:v>2786</c:v>
                </c:pt>
                <c:pt idx="27">
                  <c:v>1166</c:v>
                </c:pt>
                <c:pt idx="28">
                  <c:v>2510</c:v>
                </c:pt>
                <c:pt idx="29">
                  <c:v>3159</c:v>
                </c:pt>
                <c:pt idx="30">
                  <c:v>-229</c:v>
                </c:pt>
                <c:pt idx="31">
                  <c:v>909</c:v>
                </c:pt>
                <c:pt idx="32">
                  <c:v>2511</c:v>
                </c:pt>
                <c:pt idx="33">
                  <c:v>1678</c:v>
                </c:pt>
                <c:pt idx="34">
                  <c:v>1400</c:v>
                </c:pt>
                <c:pt idx="35">
                  <c:v>2794</c:v>
                </c:pt>
                <c:pt idx="36">
                  <c:v>3701</c:v>
                </c:pt>
                <c:pt idx="37">
                  <c:v>3807</c:v>
                </c:pt>
                <c:pt idx="38">
                  <c:v>860</c:v>
                </c:pt>
                <c:pt idx="39">
                  <c:v>3350</c:v>
                </c:pt>
                <c:pt idx="40">
                  <c:v>2776</c:v>
                </c:pt>
                <c:pt idx="41">
                  <c:v>1400</c:v>
                </c:pt>
                <c:pt idx="42">
                  <c:v>3750</c:v>
                </c:pt>
                <c:pt idx="43">
                  <c:v>-56</c:v>
                </c:pt>
                <c:pt idx="44">
                  <c:v>2430</c:v>
                </c:pt>
                <c:pt idx="45">
                  <c:v>1750</c:v>
                </c:pt>
                <c:pt idx="46">
                  <c:v>3116</c:v>
                </c:pt>
                <c:pt idx="47">
                  <c:v>1315</c:v>
                </c:pt>
                <c:pt idx="48">
                  <c:v>1692</c:v>
                </c:pt>
                <c:pt idx="49">
                  <c:v>1595</c:v>
                </c:pt>
                <c:pt idx="50">
                  <c:v>2400</c:v>
                </c:pt>
                <c:pt idx="51">
                  <c:v>3709</c:v>
                </c:pt>
                <c:pt idx="52">
                  <c:v>3082</c:v>
                </c:pt>
                <c:pt idx="53">
                  <c:v>2874</c:v>
                </c:pt>
                <c:pt idx="54">
                  <c:v>2260</c:v>
                </c:pt>
                <c:pt idx="55">
                  <c:v>2553</c:v>
                </c:pt>
                <c:pt idx="56">
                  <c:v>3945</c:v>
                </c:pt>
                <c:pt idx="57">
                  <c:v>2878</c:v>
                </c:pt>
                <c:pt idx="58">
                  <c:v>3575</c:v>
                </c:pt>
                <c:pt idx="59">
                  <c:v>3591</c:v>
                </c:pt>
                <c:pt idx="60">
                  <c:v>3227</c:v>
                </c:pt>
                <c:pt idx="61">
                  <c:v>4501</c:v>
                </c:pt>
                <c:pt idx="62">
                  <c:v>0</c:v>
                </c:pt>
                <c:pt idx="63">
                  <c:v>345</c:v>
                </c:pt>
                <c:pt idx="64">
                  <c:v>1898</c:v>
                </c:pt>
                <c:pt idx="65">
                  <c:v>1288</c:v>
                </c:pt>
                <c:pt idx="66">
                  <c:v>4345</c:v>
                </c:pt>
                <c:pt idx="67">
                  <c:v>1522</c:v>
                </c:pt>
                <c:pt idx="68">
                  <c:v>4604</c:v>
                </c:pt>
                <c:pt idx="69">
                  <c:v>1900</c:v>
                </c:pt>
                <c:pt idx="70">
                  <c:v>4439</c:v>
                </c:pt>
                <c:pt idx="71">
                  <c:v>3695</c:v>
                </c:pt>
                <c:pt idx="72">
                  <c:v>4076</c:v>
                </c:pt>
                <c:pt idx="73">
                  <c:v>2300</c:v>
                </c:pt>
                <c:pt idx="74">
                  <c:v>2041</c:v>
                </c:pt>
                <c:pt idx="75">
                  <c:v>2204</c:v>
                </c:pt>
                <c:pt idx="76">
                  <c:v>1725</c:v>
                </c:pt>
                <c:pt idx="77">
                  <c:v>2267</c:v>
                </c:pt>
                <c:pt idx="78">
                  <c:v>2744</c:v>
                </c:pt>
                <c:pt idx="79">
                  <c:v>2159</c:v>
                </c:pt>
                <c:pt idx="80">
                  <c:v>2117</c:v>
                </c:pt>
                <c:pt idx="81">
                  <c:v>3362</c:v>
                </c:pt>
                <c:pt idx="82">
                  <c:v>4672</c:v>
                </c:pt>
                <c:pt idx="83">
                  <c:v>6300</c:v>
                </c:pt>
                <c:pt idx="84">
                  <c:v>5500</c:v>
                </c:pt>
                <c:pt idx="85">
                  <c:v>3300</c:v>
                </c:pt>
                <c:pt idx="86">
                  <c:v>1339</c:v>
                </c:pt>
                <c:pt idx="87">
                  <c:v>2884</c:v>
                </c:pt>
                <c:pt idx="88">
                  <c:v>2778</c:v>
                </c:pt>
                <c:pt idx="89">
                  <c:v>2300</c:v>
                </c:pt>
                <c:pt idx="90">
                  <c:v>1197</c:v>
                </c:pt>
                <c:pt idx="91">
                  <c:v>2560</c:v>
                </c:pt>
                <c:pt idx="92">
                  <c:v>2160</c:v>
                </c:pt>
                <c:pt idx="93">
                  <c:v>1653</c:v>
                </c:pt>
                <c:pt idx="94">
                  <c:v>2087</c:v>
                </c:pt>
                <c:pt idx="95">
                  <c:v>2185</c:v>
                </c:pt>
                <c:pt idx="96">
                  <c:v>2327</c:v>
                </c:pt>
                <c:pt idx="97">
                  <c:v>2997</c:v>
                </c:pt>
                <c:pt idx="98">
                  <c:v>2740</c:v>
                </c:pt>
                <c:pt idx="99">
                  <c:v>3077</c:v>
                </c:pt>
                <c:pt idx="100">
                  <c:v>3299</c:v>
                </c:pt>
                <c:pt idx="101">
                  <c:v>-27</c:v>
                </c:pt>
                <c:pt idx="102">
                  <c:v>-60</c:v>
                </c:pt>
                <c:pt idx="103">
                  <c:v>1970</c:v>
                </c:pt>
                <c:pt idx="104">
                  <c:v>2430.0039999999999</c:v>
                </c:pt>
                <c:pt idx="105">
                  <c:v>1213.6959999999999</c:v>
                </c:pt>
                <c:pt idx="106">
                  <c:v>859</c:v>
                </c:pt>
                <c:pt idx="107">
                  <c:v>987</c:v>
                </c:pt>
                <c:pt idx="108">
                  <c:v>1073</c:v>
                </c:pt>
                <c:pt idx="109">
                  <c:v>3100</c:v>
                </c:pt>
                <c:pt idx="110">
                  <c:v>2350</c:v>
                </c:pt>
                <c:pt idx="111">
                  <c:v>1943</c:v>
                </c:pt>
                <c:pt idx="112">
                  <c:v>1878</c:v>
                </c:pt>
                <c:pt idx="113">
                  <c:v>2058</c:v>
                </c:pt>
                <c:pt idx="114">
                  <c:v>3900</c:v>
                </c:pt>
                <c:pt idx="115">
                  <c:v>2094</c:v>
                </c:pt>
                <c:pt idx="116">
                  <c:v>1977</c:v>
                </c:pt>
                <c:pt idx="117">
                  <c:v>2413</c:v>
                </c:pt>
                <c:pt idx="118">
                  <c:v>1444</c:v>
                </c:pt>
                <c:pt idx="119">
                  <c:v>1450</c:v>
                </c:pt>
                <c:pt idx="120">
                  <c:v>1723</c:v>
                </c:pt>
                <c:pt idx="121">
                  <c:v>3578</c:v>
                </c:pt>
                <c:pt idx="122">
                  <c:v>2413</c:v>
                </c:pt>
                <c:pt idx="123">
                  <c:v>3073.3</c:v>
                </c:pt>
                <c:pt idx="124">
                  <c:v>3078</c:v>
                </c:pt>
                <c:pt idx="125">
                  <c:v>2540</c:v>
                </c:pt>
                <c:pt idx="126">
                  <c:v>3763</c:v>
                </c:pt>
                <c:pt idx="127">
                  <c:v>2250</c:v>
                </c:pt>
                <c:pt idx="128">
                  <c:v>2180</c:v>
                </c:pt>
                <c:pt idx="129">
                  <c:v>595</c:v>
                </c:pt>
                <c:pt idx="130">
                  <c:v>950</c:v>
                </c:pt>
                <c:pt idx="131">
                  <c:v>1892</c:v>
                </c:pt>
                <c:pt idx="132">
                  <c:v>1429</c:v>
                </c:pt>
                <c:pt idx="133">
                  <c:v>1997</c:v>
                </c:pt>
                <c:pt idx="134">
                  <c:v>2050</c:v>
                </c:pt>
                <c:pt idx="135">
                  <c:v>2656</c:v>
                </c:pt>
                <c:pt idx="136">
                  <c:v>580</c:v>
                </c:pt>
                <c:pt idx="137">
                  <c:v>2207</c:v>
                </c:pt>
                <c:pt idx="138">
                  <c:v>2407.7800000000002</c:v>
                </c:pt>
                <c:pt idx="139">
                  <c:v>1750</c:v>
                </c:pt>
                <c:pt idx="140">
                  <c:v>4912</c:v>
                </c:pt>
                <c:pt idx="141">
                  <c:v>4478</c:v>
                </c:pt>
                <c:pt idx="142">
                  <c:v>4563</c:v>
                </c:pt>
                <c:pt idx="143">
                  <c:v>5034</c:v>
                </c:pt>
                <c:pt idx="144">
                  <c:v>5206</c:v>
                </c:pt>
                <c:pt idx="145">
                  <c:v>5277</c:v>
                </c:pt>
                <c:pt idx="146">
                  <c:v>2902</c:v>
                </c:pt>
                <c:pt idx="147">
                  <c:v>5144</c:v>
                </c:pt>
                <c:pt idx="148">
                  <c:v>5288</c:v>
                </c:pt>
                <c:pt idx="149">
                  <c:v>2190</c:v>
                </c:pt>
                <c:pt idx="150">
                  <c:v>4461</c:v>
                </c:pt>
                <c:pt idx="151">
                  <c:v>3691</c:v>
                </c:pt>
                <c:pt idx="152">
                  <c:v>3572</c:v>
                </c:pt>
                <c:pt idx="153">
                  <c:v>3206</c:v>
                </c:pt>
              </c:numCache>
            </c:numRef>
          </c:xVal>
          <c:yVal>
            <c:numRef>
              <c:f>Data!$W$3:$W$156</c:f>
              <c:numCache>
                <c:formatCode>0.00%</c:formatCode>
                <c:ptCount val="154"/>
                <c:pt idx="0">
                  <c:v>0.11504918394772763</c:v>
                </c:pt>
                <c:pt idx="1">
                  <c:v>0</c:v>
                </c:pt>
                <c:pt idx="2">
                  <c:v>4.2272664501155237E-2</c:v>
                </c:pt>
                <c:pt idx="3">
                  <c:v>0.19389783271958919</c:v>
                </c:pt>
                <c:pt idx="4">
                  <c:v>4.4197321043609475E-2</c:v>
                </c:pt>
                <c:pt idx="5">
                  <c:v>4.7091853882274624E-2</c:v>
                </c:pt>
                <c:pt idx="6">
                  <c:v>2.8354491031434038E-3</c:v>
                </c:pt>
                <c:pt idx="7">
                  <c:v>1.601358322590268E-2</c:v>
                </c:pt>
                <c:pt idx="8">
                  <c:v>1.0015346610083664E-2</c:v>
                </c:pt>
                <c:pt idx="9">
                  <c:v>2.9915314057290778E-2</c:v>
                </c:pt>
                <c:pt idx="10">
                  <c:v>2.7190190594013678E-2</c:v>
                </c:pt>
                <c:pt idx="11">
                  <c:v>5.6368595102487554E-2</c:v>
                </c:pt>
                <c:pt idx="12">
                  <c:v>1.7182202874965691E-2</c:v>
                </c:pt>
                <c:pt idx="13">
                  <c:v>0.1059500323995442</c:v>
                </c:pt>
                <c:pt idx="14">
                  <c:v>5.2841519741792027E-2</c:v>
                </c:pt>
                <c:pt idx="15">
                  <c:v>4.5951248272682876E-2</c:v>
                </c:pt>
                <c:pt idx="16">
                  <c:v>5.7725023603801565E-2</c:v>
                </c:pt>
                <c:pt idx="17">
                  <c:v>3.6586858569803364E-2</c:v>
                </c:pt>
                <c:pt idx="18">
                  <c:v>4.5738592295988589E-2</c:v>
                </c:pt>
                <c:pt idx="19">
                  <c:v>5.3002017300983681E-2</c:v>
                </c:pt>
                <c:pt idx="20">
                  <c:v>8.6907687575825898E-2</c:v>
                </c:pt>
                <c:pt idx="21">
                  <c:v>0.13035865963978882</c:v>
                </c:pt>
                <c:pt idx="22">
                  <c:v>4.1531916487515377E-2</c:v>
                </c:pt>
                <c:pt idx="23">
                  <c:v>0.19988950939922664</c:v>
                </c:pt>
                <c:pt idx="24">
                  <c:v>2.3478306927020343E-2</c:v>
                </c:pt>
                <c:pt idx="25">
                  <c:v>6.6602012791875428E-2</c:v>
                </c:pt>
                <c:pt idx="26">
                  <c:v>7.9638554729205474E-2</c:v>
                </c:pt>
                <c:pt idx="27">
                  <c:v>2.4299123559291775E-2</c:v>
                </c:pt>
                <c:pt idx="28">
                  <c:v>9.0995834221020158E-2</c:v>
                </c:pt>
                <c:pt idx="29">
                  <c:v>8.9620463549963184E-2</c:v>
                </c:pt>
                <c:pt idx="30">
                  <c:v>5.1262522999124356E-3</c:v>
                </c:pt>
                <c:pt idx="31">
                  <c:v>2.1646809440839548E-2</c:v>
                </c:pt>
                <c:pt idx="32">
                  <c:v>7.6367495818115319E-2</c:v>
                </c:pt>
                <c:pt idx="33">
                  <c:v>4.9500734685218685E-2</c:v>
                </c:pt>
                <c:pt idx="34">
                  <c:v>2.8472846035572902E-2</c:v>
                </c:pt>
                <c:pt idx="35">
                  <c:v>3.7753703290632358E-2</c:v>
                </c:pt>
                <c:pt idx="36">
                  <c:v>5.2720933392949962E-2</c:v>
                </c:pt>
                <c:pt idx="37">
                  <c:v>7.5202914628357737E-2</c:v>
                </c:pt>
                <c:pt idx="38">
                  <c:v>2.3021725366695705E-2</c:v>
                </c:pt>
                <c:pt idx="39">
                  <c:v>6.5951051743849076E-2</c:v>
                </c:pt>
                <c:pt idx="40">
                  <c:v>0</c:v>
                </c:pt>
                <c:pt idx="41">
                  <c:v>3.0252315118203414E-2</c:v>
                </c:pt>
                <c:pt idx="42">
                  <c:v>8.2832924138936406E-2</c:v>
                </c:pt>
                <c:pt idx="43">
                  <c:v>0</c:v>
                </c:pt>
                <c:pt idx="44">
                  <c:v>0.14893217157747804</c:v>
                </c:pt>
                <c:pt idx="45">
                  <c:v>3.6032645912995646E-2</c:v>
                </c:pt>
                <c:pt idx="46">
                  <c:v>8.6283561130442957E-2</c:v>
                </c:pt>
                <c:pt idx="47">
                  <c:v>3.1222487288949271E-2</c:v>
                </c:pt>
                <c:pt idx="48">
                  <c:v>6.3489327138471024E-2</c:v>
                </c:pt>
                <c:pt idx="49">
                  <c:v>2.5198050172787437E-2</c:v>
                </c:pt>
                <c:pt idx="50">
                  <c:v>3.3044110121527491E-2</c:v>
                </c:pt>
                <c:pt idx="51">
                  <c:v>0.20522069354473585</c:v>
                </c:pt>
                <c:pt idx="52">
                  <c:v>0.11541701109435223</c:v>
                </c:pt>
                <c:pt idx="53">
                  <c:v>0.10281914125627886</c:v>
                </c:pt>
                <c:pt idx="54">
                  <c:v>0.10106090769126136</c:v>
                </c:pt>
                <c:pt idx="55">
                  <c:v>0.10820350550161389</c:v>
                </c:pt>
                <c:pt idx="56">
                  <c:v>0.2595799933274201</c:v>
                </c:pt>
                <c:pt idx="57">
                  <c:v>0.14465168586306648</c:v>
                </c:pt>
                <c:pt idx="58">
                  <c:v>0.19557805717989651</c:v>
                </c:pt>
                <c:pt idx="59">
                  <c:v>0.18713356052768643</c:v>
                </c:pt>
                <c:pt idx="60">
                  <c:v>0.17132844540314787</c:v>
                </c:pt>
                <c:pt idx="61">
                  <c:v>0.28721912428480079</c:v>
                </c:pt>
                <c:pt idx="62">
                  <c:v>0</c:v>
                </c:pt>
                <c:pt idx="63">
                  <c:v>8.4598786144122039E-3</c:v>
                </c:pt>
                <c:pt idx="64">
                  <c:v>5.6010977488787785E-2</c:v>
                </c:pt>
                <c:pt idx="65">
                  <c:v>2.2006631455838466E-2</c:v>
                </c:pt>
                <c:pt idx="66">
                  <c:v>8.3302994338825265E-2</c:v>
                </c:pt>
                <c:pt idx="67">
                  <c:v>3.6821805611405217E-2</c:v>
                </c:pt>
                <c:pt idx="68">
                  <c:v>8.5051574941962776E-2</c:v>
                </c:pt>
                <c:pt idx="69">
                  <c:v>2.5543071914463138E-2</c:v>
                </c:pt>
                <c:pt idx="70">
                  <c:v>0.22884856275612517</c:v>
                </c:pt>
                <c:pt idx="71">
                  <c:v>0.16587088160703942</c:v>
                </c:pt>
                <c:pt idx="72">
                  <c:v>0.20248027641554484</c:v>
                </c:pt>
                <c:pt idx="73">
                  <c:v>6.410518878468309E-2</c:v>
                </c:pt>
                <c:pt idx="74">
                  <c:v>6.9898559521655454E-2</c:v>
                </c:pt>
                <c:pt idx="75">
                  <c:v>6.9488625553846078E-2</c:v>
                </c:pt>
                <c:pt idx="76">
                  <c:v>8.6615802124408017E-2</c:v>
                </c:pt>
                <c:pt idx="77">
                  <c:v>8.5557684731628794E-2</c:v>
                </c:pt>
                <c:pt idx="78">
                  <c:v>0.1754790494729721</c:v>
                </c:pt>
                <c:pt idx="79">
                  <c:v>0.10481720165379498</c:v>
                </c:pt>
                <c:pt idx="80">
                  <c:v>0.12910631817133264</c:v>
                </c:pt>
                <c:pt idx="81">
                  <c:v>0.27577684636526956</c:v>
                </c:pt>
                <c:pt idx="82">
                  <c:v>0.11877590823705929</c:v>
                </c:pt>
                <c:pt idx="83">
                  <c:v>0.15934808595781588</c:v>
                </c:pt>
                <c:pt idx="84">
                  <c:v>0.12717430049410053</c:v>
                </c:pt>
                <c:pt idx="85">
                  <c:v>0.12877749096425845</c:v>
                </c:pt>
                <c:pt idx="86">
                  <c:v>5.9449823129819661E-2</c:v>
                </c:pt>
                <c:pt idx="87">
                  <c:v>0.11924908718099067</c:v>
                </c:pt>
                <c:pt idx="88">
                  <c:v>0</c:v>
                </c:pt>
                <c:pt idx="89">
                  <c:v>0</c:v>
                </c:pt>
                <c:pt idx="90">
                  <c:v>2.9511651973285341E-2</c:v>
                </c:pt>
                <c:pt idx="91">
                  <c:v>5.1267579916281829E-2</c:v>
                </c:pt>
                <c:pt idx="92">
                  <c:v>5.7305541221004716E-2</c:v>
                </c:pt>
                <c:pt idx="93">
                  <c:v>4.0067623630822197E-2</c:v>
                </c:pt>
                <c:pt idx="94">
                  <c:v>5.2494861938492274E-2</c:v>
                </c:pt>
                <c:pt idx="95">
                  <c:v>6.41616765495336E-2</c:v>
                </c:pt>
                <c:pt idx="96">
                  <c:v>7.3867903234521901E-2</c:v>
                </c:pt>
                <c:pt idx="97">
                  <c:v>0.16225609369388902</c:v>
                </c:pt>
                <c:pt idx="98">
                  <c:v>0.15713478107674883</c:v>
                </c:pt>
                <c:pt idx="99">
                  <c:v>9.9939873236171081E-2</c:v>
                </c:pt>
                <c:pt idx="100">
                  <c:v>9.2141398928927656E-2</c:v>
                </c:pt>
                <c:pt idx="101">
                  <c:v>9.2956171111631132E-4</c:v>
                </c:pt>
                <c:pt idx="102">
                  <c:v>1.4403162605558307E-3</c:v>
                </c:pt>
                <c:pt idx="103">
                  <c:v>2.6385741082224801E-2</c:v>
                </c:pt>
                <c:pt idx="104">
                  <c:v>4.0095297195865166E-2</c:v>
                </c:pt>
                <c:pt idx="105">
                  <c:v>1.4682854744485208E-2</c:v>
                </c:pt>
                <c:pt idx="106">
                  <c:v>1.0054851146725491E-2</c:v>
                </c:pt>
                <c:pt idx="107">
                  <c:v>1.0930291172585307E-2</c:v>
                </c:pt>
                <c:pt idx="108">
                  <c:v>1.3173559801435829E-2</c:v>
                </c:pt>
                <c:pt idx="109">
                  <c:v>2.552264708319903E-2</c:v>
                </c:pt>
                <c:pt idx="110">
                  <c:v>2.0564310293929418E-2</c:v>
                </c:pt>
                <c:pt idx="111">
                  <c:v>2.4894907525144592E-2</c:v>
                </c:pt>
                <c:pt idx="112">
                  <c:v>2.2924941086735061E-2</c:v>
                </c:pt>
                <c:pt idx="113">
                  <c:v>2.6273056213389316E-2</c:v>
                </c:pt>
                <c:pt idx="114">
                  <c:v>3.011592991157748E-2</c:v>
                </c:pt>
                <c:pt idx="115">
                  <c:v>2.7606407114182645E-2</c:v>
                </c:pt>
                <c:pt idx="116">
                  <c:v>2.0255774217651245E-2</c:v>
                </c:pt>
                <c:pt idx="117">
                  <c:v>3.2480356633638047E-2</c:v>
                </c:pt>
                <c:pt idx="118">
                  <c:v>1.7178339274292635E-2</c:v>
                </c:pt>
                <c:pt idx="119">
                  <c:v>1.7937617306246437E-2</c:v>
                </c:pt>
                <c:pt idx="120">
                  <c:v>1.9432290125503168E-2</c:v>
                </c:pt>
                <c:pt idx="121">
                  <c:v>3.6372430245744325E-2</c:v>
                </c:pt>
                <c:pt idx="122">
                  <c:v>2.1290031301379585E-2</c:v>
                </c:pt>
                <c:pt idx="123">
                  <c:v>3.9770752004639282E-2</c:v>
                </c:pt>
                <c:pt idx="124">
                  <c:v>3.8228687983889079E-2</c:v>
                </c:pt>
                <c:pt idx="125">
                  <c:v>3.5889466849352458E-2</c:v>
                </c:pt>
                <c:pt idx="126">
                  <c:v>3.7401798026223718E-2</c:v>
                </c:pt>
                <c:pt idx="127">
                  <c:v>2.7881649712207877E-2</c:v>
                </c:pt>
                <c:pt idx="128">
                  <c:v>2.6394710010948182E-2</c:v>
                </c:pt>
                <c:pt idx="129">
                  <c:v>9.0109547883799844E-3</c:v>
                </c:pt>
                <c:pt idx="130">
                  <c:v>1.0216336363080629E-2</c:v>
                </c:pt>
                <c:pt idx="131">
                  <c:v>2.2642015918371543E-2</c:v>
                </c:pt>
                <c:pt idx="132">
                  <c:v>2.0873572688397266E-2</c:v>
                </c:pt>
                <c:pt idx="133">
                  <c:v>2.6125096057236841E-2</c:v>
                </c:pt>
                <c:pt idx="134">
                  <c:v>2.632559837663016E-2</c:v>
                </c:pt>
                <c:pt idx="135">
                  <c:v>3.6613860837118879E-2</c:v>
                </c:pt>
                <c:pt idx="136">
                  <c:v>8.681549558781353E-3</c:v>
                </c:pt>
                <c:pt idx="137">
                  <c:v>3.4373450108439785E-2</c:v>
                </c:pt>
                <c:pt idx="138">
                  <c:v>2.9480701149251772E-2</c:v>
                </c:pt>
                <c:pt idx="139">
                  <c:v>1.8687310953664788E-2</c:v>
                </c:pt>
                <c:pt idx="140">
                  <c:v>0.22869993517826118</c:v>
                </c:pt>
                <c:pt idx="141">
                  <c:v>0.2092060670402674</c:v>
                </c:pt>
                <c:pt idx="142">
                  <c:v>0.22660673890448507</c:v>
                </c:pt>
                <c:pt idx="143">
                  <c:v>0.14324410312194949</c:v>
                </c:pt>
                <c:pt idx="144">
                  <c:v>0.17362364562070859</c:v>
                </c:pt>
                <c:pt idx="145">
                  <c:v>0.17230301712506929</c:v>
                </c:pt>
                <c:pt idx="146">
                  <c:v>0.16057776174647639</c:v>
                </c:pt>
                <c:pt idx="147">
                  <c:v>0.12927558268561878</c:v>
                </c:pt>
                <c:pt idx="148">
                  <c:v>0.10348177580380084</c:v>
                </c:pt>
                <c:pt idx="149">
                  <c:v>7.3420215204318184E-2</c:v>
                </c:pt>
                <c:pt idx="150">
                  <c:v>0.11207657510243879</c:v>
                </c:pt>
                <c:pt idx="151">
                  <c:v>0.11600270688298624</c:v>
                </c:pt>
                <c:pt idx="152">
                  <c:v>0.1011121881240582</c:v>
                </c:pt>
                <c:pt idx="153">
                  <c:v>0.12146509590978775</c:v>
                </c:pt>
              </c:numCache>
            </c:numRef>
          </c:yVal>
          <c:bubbleSize>
            <c:numRef>
              <c:f>Data!$X$3:$X$156</c:f>
              <c:numCache>
                <c:formatCode>0.00</c:formatCode>
                <c:ptCount val="154"/>
                <c:pt idx="0">
                  <c:v>1667.7686823505683</c:v>
                </c:pt>
                <c:pt idx="1">
                  <c:v>3188.8071</c:v>
                </c:pt>
                <c:pt idx="2">
                  <c:v>1133.4462691607539</c:v>
                </c:pt>
                <c:pt idx="3">
                  <c:v>8422.6288999999997</c:v>
                </c:pt>
                <c:pt idx="4">
                  <c:v>1371</c:v>
                </c:pt>
                <c:pt idx="5">
                  <c:v>979</c:v>
                </c:pt>
                <c:pt idx="6">
                  <c:v>1748.1534999999999</c:v>
                </c:pt>
                <c:pt idx="7">
                  <c:v>977</c:v>
                </c:pt>
                <c:pt idx="8">
                  <c:v>224</c:v>
                </c:pt>
                <c:pt idx="9">
                  <c:v>895</c:v>
                </c:pt>
                <c:pt idx="10">
                  <c:v>1179</c:v>
                </c:pt>
                <c:pt idx="11">
                  <c:v>1064</c:v>
                </c:pt>
                <c:pt idx="12">
                  <c:v>1827</c:v>
                </c:pt>
                <c:pt idx="13">
                  <c:v>1633</c:v>
                </c:pt>
                <c:pt idx="14">
                  <c:v>1921.8963562753036</c:v>
                </c:pt>
                <c:pt idx="15">
                  <c:v>564</c:v>
                </c:pt>
                <c:pt idx="16">
                  <c:v>1226</c:v>
                </c:pt>
                <c:pt idx="17">
                  <c:v>848</c:v>
                </c:pt>
                <c:pt idx="18">
                  <c:v>840</c:v>
                </c:pt>
                <c:pt idx="19">
                  <c:v>743</c:v>
                </c:pt>
                <c:pt idx="20">
                  <c:v>975</c:v>
                </c:pt>
                <c:pt idx="21">
                  <c:v>2124</c:v>
                </c:pt>
                <c:pt idx="22">
                  <c:v>4971.75</c:v>
                </c:pt>
                <c:pt idx="23">
                  <c:v>2645</c:v>
                </c:pt>
                <c:pt idx="24">
                  <c:v>4389.2539999999999</c:v>
                </c:pt>
                <c:pt idx="25">
                  <c:v>2393</c:v>
                </c:pt>
                <c:pt idx="26">
                  <c:v>2261</c:v>
                </c:pt>
                <c:pt idx="27">
                  <c:v>1598</c:v>
                </c:pt>
                <c:pt idx="28">
                  <c:v>2689</c:v>
                </c:pt>
                <c:pt idx="29">
                  <c:v>2072</c:v>
                </c:pt>
                <c:pt idx="30">
                  <c:v>1776</c:v>
                </c:pt>
                <c:pt idx="31">
                  <c:v>1786</c:v>
                </c:pt>
                <c:pt idx="32">
                  <c:v>2247</c:v>
                </c:pt>
                <c:pt idx="33">
                  <c:v>2196</c:v>
                </c:pt>
                <c:pt idx="34">
                  <c:v>1455</c:v>
                </c:pt>
                <c:pt idx="35">
                  <c:v>761</c:v>
                </c:pt>
                <c:pt idx="36">
                  <c:v>694</c:v>
                </c:pt>
                <c:pt idx="37">
                  <c:v>1193</c:v>
                </c:pt>
                <c:pt idx="38">
                  <c:v>2539</c:v>
                </c:pt>
                <c:pt idx="39">
                  <c:v>1311</c:v>
                </c:pt>
                <c:pt idx="40">
                  <c:v>7104</c:v>
                </c:pt>
                <c:pt idx="41">
                  <c:v>1583</c:v>
                </c:pt>
                <c:pt idx="42">
                  <c:v>1562</c:v>
                </c:pt>
                <c:pt idx="43">
                  <c:v>1992</c:v>
                </c:pt>
                <c:pt idx="44">
                  <c:v>9489.9</c:v>
                </c:pt>
                <c:pt idx="45">
                  <c:v>1537</c:v>
                </c:pt>
                <c:pt idx="46">
                  <c:v>1902.8279498619736</c:v>
                </c:pt>
                <c:pt idx="47">
                  <c:v>1611</c:v>
                </c:pt>
                <c:pt idx="48">
                  <c:v>7030.6531000000004</c:v>
                </c:pt>
                <c:pt idx="49">
                  <c:v>1106</c:v>
                </c:pt>
                <c:pt idx="50">
                  <c:v>716</c:v>
                </c:pt>
                <c:pt idx="51">
                  <c:v>8467.7186000000002</c:v>
                </c:pt>
                <c:pt idx="52">
                  <c:v>2583</c:v>
                </c:pt>
                <c:pt idx="53">
                  <c:v>2592.8721580424876</c:v>
                </c:pt>
                <c:pt idx="54">
                  <c:v>4009.4260000000004</c:v>
                </c:pt>
                <c:pt idx="55">
                  <c:v>3940.8596000000002</c:v>
                </c:pt>
                <c:pt idx="56">
                  <c:v>12038.6284</c:v>
                </c:pt>
                <c:pt idx="57">
                  <c:v>4248.6336000000001</c:v>
                </c:pt>
                <c:pt idx="58">
                  <c:v>4371.3931999999995</c:v>
                </c:pt>
                <c:pt idx="59">
                  <c:v>6617.7096000000001</c:v>
                </c:pt>
                <c:pt idx="60">
                  <c:v>5073.28</c:v>
                </c:pt>
                <c:pt idx="61">
                  <c:v>11050.2042</c:v>
                </c:pt>
                <c:pt idx="62">
                  <c:v>2643.5792999999999</c:v>
                </c:pt>
                <c:pt idx="63">
                  <c:v>1964</c:v>
                </c:pt>
                <c:pt idx="64">
                  <c:v>1928</c:v>
                </c:pt>
                <c:pt idx="65">
                  <c:v>1022</c:v>
                </c:pt>
                <c:pt idx="66">
                  <c:v>1190</c:v>
                </c:pt>
                <c:pt idx="67">
                  <c:v>1858</c:v>
                </c:pt>
                <c:pt idx="68">
                  <c:v>1235</c:v>
                </c:pt>
                <c:pt idx="69">
                  <c:v>338</c:v>
                </c:pt>
                <c:pt idx="70">
                  <c:v>8958.5512999999992</c:v>
                </c:pt>
                <c:pt idx="71">
                  <c:v>4210.3598999999995</c:v>
                </c:pt>
                <c:pt idx="72">
                  <c:v>5154.8473999999997</c:v>
                </c:pt>
                <c:pt idx="73">
                  <c:v>1784</c:v>
                </c:pt>
                <c:pt idx="74">
                  <c:v>2615</c:v>
                </c:pt>
                <c:pt idx="75">
                  <c:v>2206</c:v>
                </c:pt>
                <c:pt idx="76">
                  <c:v>6348.9564</c:v>
                </c:pt>
                <c:pt idx="77">
                  <c:v>2870</c:v>
                </c:pt>
                <c:pt idx="78">
                  <c:v>3786</c:v>
                </c:pt>
                <c:pt idx="79">
                  <c:v>3878</c:v>
                </c:pt>
                <c:pt idx="80">
                  <c:v>9499.6735000000008</c:v>
                </c:pt>
                <c:pt idx="81">
                  <c:v>14937.022400000002</c:v>
                </c:pt>
                <c:pt idx="82">
                  <c:v>1925</c:v>
                </c:pt>
                <c:pt idx="83">
                  <c:v>1573</c:v>
                </c:pt>
                <c:pt idx="84">
                  <c:v>1303</c:v>
                </c:pt>
                <c:pt idx="85">
                  <c:v>3198</c:v>
                </c:pt>
                <c:pt idx="86">
                  <c:v>15090.0604</c:v>
                </c:pt>
                <c:pt idx="87">
                  <c:v>3019.0898226608274</c:v>
                </c:pt>
                <c:pt idx="88">
                  <c:v>897</c:v>
                </c:pt>
                <c:pt idx="89">
                  <c:v>1230</c:v>
                </c:pt>
                <c:pt idx="90">
                  <c:v>2143</c:v>
                </c:pt>
                <c:pt idx="91">
                  <c:v>1335</c:v>
                </c:pt>
                <c:pt idx="92">
                  <c:v>1882</c:v>
                </c:pt>
                <c:pt idx="93">
                  <c:v>2038</c:v>
                </c:pt>
                <c:pt idx="94">
                  <c:v>1759</c:v>
                </c:pt>
                <c:pt idx="95">
                  <c:v>2163</c:v>
                </c:pt>
                <c:pt idx="96">
                  <c:v>2369</c:v>
                </c:pt>
                <c:pt idx="97">
                  <c:v>10964.788499999999</c:v>
                </c:pt>
                <c:pt idx="98">
                  <c:v>5720.1431999999995</c:v>
                </c:pt>
                <c:pt idx="99">
                  <c:v>2453</c:v>
                </c:pt>
                <c:pt idx="100">
                  <c:v>2179.0347581216583</c:v>
                </c:pt>
                <c:pt idx="101">
                  <c:v>2238</c:v>
                </c:pt>
                <c:pt idx="102">
                  <c:v>1973</c:v>
                </c:pt>
                <c:pt idx="103">
                  <c:v>1315</c:v>
                </c:pt>
                <c:pt idx="104">
                  <c:v>1883.8370124237647</c:v>
                </c:pt>
                <c:pt idx="105">
                  <c:v>1077</c:v>
                </c:pt>
                <c:pt idx="106">
                  <c:v>828</c:v>
                </c:pt>
                <c:pt idx="107">
                  <c:v>824</c:v>
                </c:pt>
                <c:pt idx="108">
                  <c:v>878</c:v>
                </c:pt>
                <c:pt idx="109">
                  <c:v>461</c:v>
                </c:pt>
                <c:pt idx="110">
                  <c:v>441</c:v>
                </c:pt>
                <c:pt idx="111">
                  <c:v>1428</c:v>
                </c:pt>
                <c:pt idx="112">
                  <c:v>1124</c:v>
                </c:pt>
                <c:pt idx="113">
                  <c:v>1178</c:v>
                </c:pt>
                <c:pt idx="114">
                  <c:v>440</c:v>
                </c:pt>
                <c:pt idx="115">
                  <c:v>1477</c:v>
                </c:pt>
                <c:pt idx="116">
                  <c:v>933</c:v>
                </c:pt>
                <c:pt idx="117">
                  <c:v>1482</c:v>
                </c:pt>
                <c:pt idx="118">
                  <c:v>1010</c:v>
                </c:pt>
                <c:pt idx="119">
                  <c:v>872</c:v>
                </c:pt>
                <c:pt idx="120">
                  <c:v>779</c:v>
                </c:pt>
                <c:pt idx="121">
                  <c:v>1147</c:v>
                </c:pt>
                <c:pt idx="122">
                  <c:v>734</c:v>
                </c:pt>
                <c:pt idx="123">
                  <c:v>1908</c:v>
                </c:pt>
                <c:pt idx="124">
                  <c:v>1446</c:v>
                </c:pt>
                <c:pt idx="125">
                  <c:v>1062</c:v>
                </c:pt>
                <c:pt idx="126">
                  <c:v>1028</c:v>
                </c:pt>
                <c:pt idx="127">
                  <c:v>875.9778633928637</c:v>
                </c:pt>
                <c:pt idx="128">
                  <c:v>878.71586985293175</c:v>
                </c:pt>
                <c:pt idx="129">
                  <c:v>893.50580230451294</c:v>
                </c:pt>
                <c:pt idx="130">
                  <c:v>819.2574068129552</c:v>
                </c:pt>
                <c:pt idx="131">
                  <c:v>1014.8050338327058</c:v>
                </c:pt>
                <c:pt idx="132">
                  <c:v>1316.8520531613119</c:v>
                </c:pt>
                <c:pt idx="133">
                  <c:v>1309.5712971320097</c:v>
                </c:pt>
                <c:pt idx="134">
                  <c:v>1255.9824334889472</c:v>
                </c:pt>
                <c:pt idx="135">
                  <c:v>1662.9066039752083</c:v>
                </c:pt>
                <c:pt idx="136">
                  <c:v>926.67416705051619</c:v>
                </c:pt>
                <c:pt idx="137">
                  <c:v>1669.824655779699</c:v>
                </c:pt>
                <c:pt idx="138">
                  <c:v>1078.8275574104816</c:v>
                </c:pt>
                <c:pt idx="139">
                  <c:v>656</c:v>
                </c:pt>
                <c:pt idx="140">
                  <c:v>1454</c:v>
                </c:pt>
                <c:pt idx="141">
                  <c:v>2205.9741313164527</c:v>
                </c:pt>
                <c:pt idx="142">
                  <c:v>2185.1652241112824</c:v>
                </c:pt>
                <c:pt idx="143">
                  <c:v>1317.9111629386198</c:v>
                </c:pt>
                <c:pt idx="144">
                  <c:v>1300.3197900526727</c:v>
                </c:pt>
                <c:pt idx="145">
                  <c:v>1220.3824306769673</c:v>
                </c:pt>
                <c:pt idx="146">
                  <c:v>2716.0284119008852</c:v>
                </c:pt>
                <c:pt idx="147">
                  <c:v>997</c:v>
                </c:pt>
                <c:pt idx="148">
                  <c:v>847.10507033279407</c:v>
                </c:pt>
                <c:pt idx="149">
                  <c:v>1471.8214907124384</c:v>
                </c:pt>
                <c:pt idx="150">
                  <c:v>1195.9951434878585</c:v>
                </c:pt>
                <c:pt idx="151">
                  <c:v>1302.9698972755696</c:v>
                </c:pt>
                <c:pt idx="152">
                  <c:v>1290.7743124026983</c:v>
                </c:pt>
                <c:pt idx="153">
                  <c:v>1830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B3B-4E8E-B694-BDE7045F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92833583"/>
        <c:axId val="2021787247"/>
      </c:bubbleChart>
      <c:valAx>
        <c:axId val="928335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87247"/>
        <c:crosses val="autoZero"/>
        <c:crossBetween val="midCat"/>
      </c:valAx>
      <c:valAx>
        <c:axId val="2021787247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1:01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10</c:v>
                </c:pt>
              </c:numCache>
            </c:numRef>
          </c:xVal>
          <c:yVal>
            <c:numRef>
              <c:f>Bob_Check!$O$5:$O$6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C5-43E2-B582-2D132849AD1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Bob_Check!$G$20:$G$150</c:f>
              <c:numCache>
                <c:formatCode>0.0000</c:formatCode>
                <c:ptCount val="131"/>
                <c:pt idx="0">
                  <c:v>1.1680999999999999</c:v>
                </c:pt>
                <c:pt idx="1">
                  <c:v>1.2887999999999999</c:v>
                </c:pt>
                <c:pt idx="2">
                  <c:v>1.2822</c:v>
                </c:pt>
                <c:pt idx="3">
                  <c:v>1.2956000000000001</c:v>
                </c:pt>
                <c:pt idx="4">
                  <c:v>1.2838000000000001</c:v>
                </c:pt>
                <c:pt idx="5">
                  <c:v>1.3082</c:v>
                </c:pt>
                <c:pt idx="6">
                  <c:v>1.3705000000000001</c:v>
                </c:pt>
                <c:pt idx="7">
                  <c:v>1.3936999999999999</c:v>
                </c:pt>
                <c:pt idx="8">
                  <c:v>1.3793</c:v>
                </c:pt>
                <c:pt idx="9">
                  <c:v>1.3903466158085649</c:v>
                </c:pt>
                <c:pt idx="10">
                  <c:v>1.4036</c:v>
                </c:pt>
                <c:pt idx="11">
                  <c:v>1.4</c:v>
                </c:pt>
                <c:pt idx="12">
                  <c:v>1.3649</c:v>
                </c:pt>
                <c:pt idx="13">
                  <c:v>1.4198</c:v>
                </c:pt>
                <c:pt idx="14">
                  <c:v>1.4186000000000001</c:v>
                </c:pt>
                <c:pt idx="15">
                  <c:v>1.4476</c:v>
                </c:pt>
                <c:pt idx="16">
                  <c:v>1.427</c:v>
                </c:pt>
                <c:pt idx="17">
                  <c:v>1.5153000000000001</c:v>
                </c:pt>
                <c:pt idx="18">
                  <c:v>1.45</c:v>
                </c:pt>
                <c:pt idx="19">
                  <c:v>1.4500573550223188</c:v>
                </c:pt>
                <c:pt idx="20">
                  <c:v>1.4550000000000001</c:v>
                </c:pt>
                <c:pt idx="21">
                  <c:v>1.4717</c:v>
                </c:pt>
                <c:pt idx="22">
                  <c:v>1.488</c:v>
                </c:pt>
                <c:pt idx="23">
                  <c:v>1.4924999999999999</c:v>
                </c:pt>
                <c:pt idx="24">
                  <c:v>1.5162559439861154</c:v>
                </c:pt>
                <c:pt idx="25">
                  <c:v>1.5277000000000001</c:v>
                </c:pt>
                <c:pt idx="26">
                  <c:v>1.5865404013686017</c:v>
                </c:pt>
                <c:pt idx="27">
                  <c:v>1.5273526321529347</c:v>
                </c:pt>
                <c:pt idx="28">
                  <c:v>1.4986911732675505</c:v>
                </c:pt>
                <c:pt idx="29">
                  <c:v>1.5015039137706185</c:v>
                </c:pt>
                <c:pt idx="30">
                  <c:v>1.5669999999999999</c:v>
                </c:pt>
                <c:pt idx="31">
                  <c:v>1.5229999999999999</c:v>
                </c:pt>
                <c:pt idx="32">
                  <c:v>1.5653999999999999</c:v>
                </c:pt>
                <c:pt idx="33">
                  <c:v>1.5156247720052562</c:v>
                </c:pt>
                <c:pt idx="34">
                  <c:v>1.5479636439197559</c:v>
                </c:pt>
                <c:pt idx="35">
                  <c:v>1.5425604341844183</c:v>
                </c:pt>
                <c:pt idx="36">
                  <c:v>1.5429999999999999</c:v>
                </c:pt>
                <c:pt idx="37">
                  <c:v>1.5860000000000001</c:v>
                </c:pt>
                <c:pt idx="38">
                  <c:v>1.639</c:v>
                </c:pt>
                <c:pt idx="39">
                  <c:v>1.5995999999999999</c:v>
                </c:pt>
                <c:pt idx="40">
                  <c:v>1.6846951018052452</c:v>
                </c:pt>
                <c:pt idx="41">
                  <c:v>1.60545129758015</c:v>
                </c:pt>
                <c:pt idx="42">
                  <c:v>1.657</c:v>
                </c:pt>
                <c:pt idx="43">
                  <c:v>1.6372</c:v>
                </c:pt>
                <c:pt idx="44">
                  <c:v>1.649</c:v>
                </c:pt>
                <c:pt idx="45">
                  <c:v>1.6050995510203501</c:v>
                </c:pt>
                <c:pt idx="46">
                  <c:v>1.5330965401161434</c:v>
                </c:pt>
                <c:pt idx="47">
                  <c:v>1.6789000000000001</c:v>
                </c:pt>
                <c:pt idx="48">
                  <c:v>1.6618999999999999</c:v>
                </c:pt>
                <c:pt idx="49">
                  <c:v>1.6715649852853085</c:v>
                </c:pt>
                <c:pt idx="50">
                  <c:v>1.6619999999999999</c:v>
                </c:pt>
                <c:pt idx="51">
                  <c:v>1.7486462426644702</c:v>
                </c:pt>
                <c:pt idx="52">
                  <c:v>1.7521</c:v>
                </c:pt>
                <c:pt idx="53">
                  <c:v>1.7010000000000001</c:v>
                </c:pt>
                <c:pt idx="54">
                  <c:v>1.6861166770295233</c:v>
                </c:pt>
                <c:pt idx="55">
                  <c:v>1.69395136437296</c:v>
                </c:pt>
                <c:pt idx="56">
                  <c:v>1.6970000000000001</c:v>
                </c:pt>
                <c:pt idx="57">
                  <c:v>1.712</c:v>
                </c:pt>
                <c:pt idx="58">
                  <c:v>1.7046470189183824</c:v>
                </c:pt>
                <c:pt idx="59">
                  <c:v>1.7246999999999999</c:v>
                </c:pt>
                <c:pt idx="60">
                  <c:v>1.8679349568299397</c:v>
                </c:pt>
                <c:pt idx="61">
                  <c:v>1.7769999999999999</c:v>
                </c:pt>
                <c:pt idx="62">
                  <c:v>1.7509999999999999</c:v>
                </c:pt>
                <c:pt idx="63">
                  <c:v>1.7339</c:v>
                </c:pt>
                <c:pt idx="64">
                  <c:v>1.8840719058200459</c:v>
                </c:pt>
                <c:pt idx="65">
                  <c:v>1.7769999999999999</c:v>
                </c:pt>
                <c:pt idx="66">
                  <c:v>1.9198054319023261</c:v>
                </c:pt>
                <c:pt idx="67">
                  <c:v>1.8582176927835234</c:v>
                </c:pt>
                <c:pt idx="68">
                  <c:v>1.9114061086963996</c:v>
                </c:pt>
                <c:pt idx="69">
                  <c:v>1.8395999999999999</c:v>
                </c:pt>
                <c:pt idx="70">
                  <c:v>1.7962</c:v>
                </c:pt>
                <c:pt idx="71">
                  <c:v>1.9055786070768399</c:v>
                </c:pt>
                <c:pt idx="72">
                  <c:v>1.905</c:v>
                </c:pt>
                <c:pt idx="73">
                  <c:v>1.8231999999999999</c:v>
                </c:pt>
                <c:pt idx="74">
                  <c:v>2.008</c:v>
                </c:pt>
                <c:pt idx="75">
                  <c:v>1.8241000000000001</c:v>
                </c:pt>
                <c:pt idx="76">
                  <c:v>1.8481000000000001</c:v>
                </c:pt>
                <c:pt idx="77">
                  <c:v>1.93272514077489</c:v>
                </c:pt>
                <c:pt idx="78">
                  <c:v>1.8997852987184269</c:v>
                </c:pt>
                <c:pt idx="79">
                  <c:v>1.9659859874729206</c:v>
                </c:pt>
                <c:pt idx="80">
                  <c:v>1.88574002017762</c:v>
                </c:pt>
                <c:pt idx="81">
                  <c:v>1.9542207314204327</c:v>
                </c:pt>
                <c:pt idx="82">
                  <c:v>1.98</c:v>
                </c:pt>
                <c:pt idx="83">
                  <c:v>1.9730000000000001</c:v>
                </c:pt>
                <c:pt idx="84">
                  <c:v>1.9897</c:v>
                </c:pt>
                <c:pt idx="85">
                  <c:v>2.0635741274033896</c:v>
                </c:pt>
                <c:pt idx="86">
                  <c:v>1.99739661192361</c:v>
                </c:pt>
                <c:pt idx="87">
                  <c:v>1.901</c:v>
                </c:pt>
                <c:pt idx="88">
                  <c:v>2.0244</c:v>
                </c:pt>
                <c:pt idx="89">
                  <c:v>1.99082731299834</c:v>
                </c:pt>
                <c:pt idx="90">
                  <c:v>1.9545999999999999</c:v>
                </c:pt>
                <c:pt idx="91">
                  <c:v>1.9510000000000001</c:v>
                </c:pt>
                <c:pt idx="92">
                  <c:v>2.0019999999999998</c:v>
                </c:pt>
                <c:pt idx="93">
                  <c:v>2.0020581987014658</c:v>
                </c:pt>
                <c:pt idx="94">
                  <c:v>2.032</c:v>
                </c:pt>
                <c:pt idx="95">
                  <c:v>2.1372361680955811</c:v>
                </c:pt>
                <c:pt idx="96">
                  <c:v>2.0310990912762636</c:v>
                </c:pt>
                <c:pt idx="97">
                  <c:v>2.14110065649654</c:v>
                </c:pt>
                <c:pt idx="98">
                  <c:v>2.0062134571101491</c:v>
                </c:pt>
                <c:pt idx="99">
                  <c:v>2.1619999999999999</c:v>
                </c:pt>
                <c:pt idx="100">
                  <c:v>2.1421000000000001</c:v>
                </c:pt>
                <c:pt idx="101">
                  <c:v>2.14764883740115</c:v>
                </c:pt>
                <c:pt idx="102">
                  <c:v>2.1732999999999998</c:v>
                </c:pt>
                <c:pt idx="103">
                  <c:v>2.2355892603576124</c:v>
                </c:pt>
                <c:pt idx="104">
                  <c:v>2.1920000000000002</c:v>
                </c:pt>
                <c:pt idx="105">
                  <c:v>2.3553999999999999</c:v>
                </c:pt>
                <c:pt idx="106">
                  <c:v>2.1798999999999999</c:v>
                </c:pt>
                <c:pt idx="107">
                  <c:v>2.2130739781586799</c:v>
                </c:pt>
                <c:pt idx="108">
                  <c:v>2.4543779368789083</c:v>
                </c:pt>
                <c:pt idx="109">
                  <c:v>2.2797000000000001</c:v>
                </c:pt>
                <c:pt idx="110">
                  <c:v>2.3198206028112054</c:v>
                </c:pt>
                <c:pt idx="111">
                  <c:v>2.2337833825723759</c:v>
                </c:pt>
                <c:pt idx="112">
                  <c:v>1.8594969644768309</c:v>
                </c:pt>
                <c:pt idx="113">
                  <c:v>2.4142999999999999</c:v>
                </c:pt>
                <c:pt idx="114">
                  <c:v>2.4289999999999998</c:v>
                </c:pt>
                <c:pt idx="115">
                  <c:v>2.4154</c:v>
                </c:pt>
                <c:pt idx="116">
                  <c:v>2.6244769978515015</c:v>
                </c:pt>
                <c:pt idx="117">
                  <c:v>2.4460000000000002</c:v>
                </c:pt>
                <c:pt idx="118">
                  <c:v>2.4930187474406478</c:v>
                </c:pt>
                <c:pt idx="119">
                  <c:v>2.6800771815122393</c:v>
                </c:pt>
                <c:pt idx="120" formatCode="General">
                  <c:v>2.1539999999999999</c:v>
                </c:pt>
                <c:pt idx="121">
                  <c:v>2.7440000000000002</c:v>
                </c:pt>
                <c:pt idx="122">
                  <c:v>2.8817680081356842</c:v>
                </c:pt>
                <c:pt idx="123">
                  <c:v>3.048</c:v>
                </c:pt>
                <c:pt idx="124">
                  <c:v>3.1960000000000002</c:v>
                </c:pt>
              </c:numCache>
            </c:numRef>
          </c:xVal>
          <c:yVal>
            <c:numRef>
              <c:f>Bob_Check!$O$20:$O$150</c:f>
              <c:numCache>
                <c:formatCode>0.00E+00</c:formatCode>
                <c:ptCount val="131"/>
                <c:pt idx="0">
                  <c:v>1.2185818368473211</c:v>
                </c:pt>
                <c:pt idx="1">
                  <c:v>1.2890840896730209</c:v>
                </c:pt>
                <c:pt idx="2">
                  <c:v>1.2826993873259771</c:v>
                </c:pt>
                <c:pt idx="3">
                  <c:v>1.2925190762780285</c:v>
                </c:pt>
                <c:pt idx="4">
                  <c:v>1.2263481070499616</c:v>
                </c:pt>
                <c:pt idx="5">
                  <c:v>1.3146162698501507</c:v>
                </c:pt>
                <c:pt idx="6">
                  <c:v>1.394003043706965</c:v>
                </c:pt>
                <c:pt idx="7">
                  <c:v>1.4084890911022772</c:v>
                </c:pt>
                <c:pt idx="8">
                  <c:v>1.394363800746717</c:v>
                </c:pt>
                <c:pt idx="9">
                  <c:v>1.3892973574967957</c:v>
                </c:pt>
                <c:pt idx="10">
                  <c:v>1.4139485586998988</c:v>
                </c:pt>
                <c:pt idx="11">
                  <c:v>1.4113291155631384</c:v>
                </c:pt>
                <c:pt idx="12">
                  <c:v>1.8367600220443385</c:v>
                </c:pt>
                <c:pt idx="13">
                  <c:v>1.4434207600686912</c:v>
                </c:pt>
                <c:pt idx="14">
                  <c:v>1.4335507868228139</c:v>
                </c:pt>
                <c:pt idx="15">
                  <c:v>1.4558581059413982</c:v>
                </c:pt>
                <c:pt idx="16">
                  <c:v>1.4537870916223017</c:v>
                </c:pt>
                <c:pt idx="17">
                  <c:v>1.5429464424983885</c:v>
                </c:pt>
                <c:pt idx="18">
                  <c:v>1.4606475090869873</c:v>
                </c:pt>
                <c:pt idx="19">
                  <c:v>1.4283603168569525</c:v>
                </c:pt>
                <c:pt idx="20">
                  <c:v>1.4785516753598136</c:v>
                </c:pt>
                <c:pt idx="21">
                  <c:v>1.4737255252274037</c:v>
                </c:pt>
                <c:pt idx="22">
                  <c:v>1.514036604310915</c:v>
                </c:pt>
                <c:pt idx="23">
                  <c:v>1.4926820799333427</c:v>
                </c:pt>
                <c:pt idx="24">
                  <c:v>1.5181464710107093</c:v>
                </c:pt>
                <c:pt idx="25">
                  <c:v>1.5289503320594229</c:v>
                </c:pt>
                <c:pt idx="26">
                  <c:v>1.5704871616470009</c:v>
                </c:pt>
                <c:pt idx="27">
                  <c:v>1.5202085286040028</c:v>
                </c:pt>
                <c:pt idx="28">
                  <c:v>1.5032035537582458</c:v>
                </c:pt>
                <c:pt idx="29">
                  <c:v>1.5123854762518678</c:v>
                </c:pt>
                <c:pt idx="30">
                  <c:v>1.5962754050273105</c:v>
                </c:pt>
                <c:pt idx="31">
                  <c:v>1.5457200560602182</c:v>
                </c:pt>
                <c:pt idx="32">
                  <c:v>1.5779274927593387</c:v>
                </c:pt>
                <c:pt idx="33">
                  <c:v>1.5209564307319041</c:v>
                </c:pt>
                <c:pt idx="34">
                  <c:v>1.5471485141716812</c:v>
                </c:pt>
                <c:pt idx="35">
                  <c:v>1.5412950146951629</c:v>
                </c:pt>
                <c:pt idx="36">
                  <c:v>1.5814881165389758</c:v>
                </c:pt>
                <c:pt idx="37">
                  <c:v>1.6086181897560343</c:v>
                </c:pt>
                <c:pt idx="38">
                  <c:v>1.6420684348319339</c:v>
                </c:pt>
                <c:pt idx="39">
                  <c:v>1.601872494580338</c:v>
                </c:pt>
                <c:pt idx="40">
                  <c:v>1.6706421511955971</c:v>
                </c:pt>
                <c:pt idx="41">
                  <c:v>1.6050867693016806</c:v>
                </c:pt>
                <c:pt idx="42">
                  <c:v>1.6715057752040008</c:v>
                </c:pt>
                <c:pt idx="43">
                  <c:v>1.6205954786291168</c:v>
                </c:pt>
                <c:pt idx="44">
                  <c:v>1.6341585409262247</c:v>
                </c:pt>
                <c:pt idx="45">
                  <c:v>1.6357434402870437</c:v>
                </c:pt>
                <c:pt idx="46">
                  <c:v>1.5558163411818711</c:v>
                </c:pt>
                <c:pt idx="47">
                  <c:v>1.6623315797484151</c:v>
                </c:pt>
                <c:pt idx="48">
                  <c:v>1.6799228361851353</c:v>
                </c:pt>
                <c:pt idx="49">
                  <c:v>1.7030178522344792</c:v>
                </c:pt>
                <c:pt idx="50">
                  <c:v>1.6430162626403433</c:v>
                </c:pt>
                <c:pt idx="51">
                  <c:v>1.7915302807592945</c:v>
                </c:pt>
                <c:pt idx="52">
                  <c:v>1.7463340667475593</c:v>
                </c:pt>
                <c:pt idx="53">
                  <c:v>1.7010525541402444</c:v>
                </c:pt>
                <c:pt idx="54">
                  <c:v>1.6825832468181432</c:v>
                </c:pt>
                <c:pt idx="55">
                  <c:v>1.7086062184096167</c:v>
                </c:pt>
                <c:pt idx="56">
                  <c:v>1.7257636451966465</c:v>
                </c:pt>
                <c:pt idx="57">
                  <c:v>1.7388878321479426</c:v>
                </c:pt>
                <c:pt idx="58">
                  <c:v>1.7106700494679883</c:v>
                </c:pt>
                <c:pt idx="59">
                  <c:v>1.7194821250756362</c:v>
                </c:pt>
                <c:pt idx="60">
                  <c:v>1.8481629950235523</c:v>
                </c:pt>
                <c:pt idx="61">
                  <c:v>1.8061588023566382</c:v>
                </c:pt>
                <c:pt idx="62">
                  <c:v>1.7740787916334944</c:v>
                </c:pt>
                <c:pt idx="63">
                  <c:v>1.7314668102599198</c:v>
                </c:pt>
                <c:pt idx="64">
                  <c:v>1.9000889857049381</c:v>
                </c:pt>
                <c:pt idx="65">
                  <c:v>1.8037868451941033</c:v>
                </c:pt>
                <c:pt idx="66">
                  <c:v>1.9098339153672772</c:v>
                </c:pt>
                <c:pt idx="67">
                  <c:v>1.8510809471721519</c:v>
                </c:pt>
                <c:pt idx="68">
                  <c:v>1.9187564470173299</c:v>
                </c:pt>
                <c:pt idx="69">
                  <c:v>1.8154483677996576</c:v>
                </c:pt>
                <c:pt idx="70">
                  <c:v>1.7757592630868146</c:v>
                </c:pt>
                <c:pt idx="71">
                  <c:v>1.932458582603195</c:v>
                </c:pt>
                <c:pt idx="72">
                  <c:v>1.8765515727623678</c:v>
                </c:pt>
                <c:pt idx="73">
                  <c:v>1.8060767688554253</c:v>
                </c:pt>
                <c:pt idx="74">
                  <c:v>2.0131136988705682</c:v>
                </c:pt>
                <c:pt idx="75">
                  <c:v>1.8069764566006088</c:v>
                </c:pt>
                <c:pt idx="76">
                  <c:v>1.8314315064980438</c:v>
                </c:pt>
                <c:pt idx="77">
                  <c:v>1.9533011510426268</c:v>
                </c:pt>
                <c:pt idx="78">
                  <c:v>1.9084215617881046</c:v>
                </c:pt>
                <c:pt idx="79">
                  <c:v>1.9791820291297058</c:v>
                </c:pt>
                <c:pt idx="80">
                  <c:v>1.907444265586222</c:v>
                </c:pt>
                <c:pt idx="81">
                  <c:v>1.972412112171928</c:v>
                </c:pt>
                <c:pt idx="82">
                  <c:v>2.0111037506679792</c:v>
                </c:pt>
                <c:pt idx="83">
                  <c:v>1.9881542371453997</c:v>
                </c:pt>
                <c:pt idx="84">
                  <c:v>1.9914480571849476</c:v>
                </c:pt>
                <c:pt idx="85">
                  <c:v>2.0443769874135516</c:v>
                </c:pt>
                <c:pt idx="86">
                  <c:v>2.0220024307915851</c:v>
                </c:pt>
                <c:pt idx="87">
                  <c:v>1.8755719662101069</c:v>
                </c:pt>
                <c:pt idx="88">
                  <c:v>2.0293407881867696</c:v>
                </c:pt>
                <c:pt idx="89">
                  <c:v>2.0073989535908674</c:v>
                </c:pt>
                <c:pt idx="90">
                  <c:v>1.9057890185641511</c:v>
                </c:pt>
                <c:pt idx="91">
                  <c:v>1.919442961427928</c:v>
                </c:pt>
                <c:pt idx="92">
                  <c:v>2.0181707327370502</c:v>
                </c:pt>
                <c:pt idx="93">
                  <c:v>1.9306071133632743</c:v>
                </c:pt>
                <c:pt idx="94">
                  <c:v>2.0150667430027425</c:v>
                </c:pt>
                <c:pt idx="95">
                  <c:v>2.1333229895771777</c:v>
                </c:pt>
                <c:pt idx="96">
                  <c:v>2.0641907670311261</c:v>
                </c:pt>
                <c:pt idx="97">
                  <c:v>2.1411020314146452</c:v>
                </c:pt>
                <c:pt idx="98">
                  <c:v>1.9413983452439689</c:v>
                </c:pt>
                <c:pt idx="99">
                  <c:v>2.0956153133908226</c:v>
                </c:pt>
                <c:pt idx="100">
                  <c:v>2.1437482013281239</c:v>
                </c:pt>
                <c:pt idx="101">
                  <c:v>2.1826316984879859</c:v>
                </c:pt>
                <c:pt idx="102">
                  <c:v>2.123454954297769</c:v>
                </c:pt>
                <c:pt idx="103">
                  <c:v>2.2091311463074228</c:v>
                </c:pt>
                <c:pt idx="104">
                  <c:v>2.1056353897234366</c:v>
                </c:pt>
                <c:pt idx="105">
                  <c:v>2.4062742186834103</c:v>
                </c:pt>
                <c:pt idx="106">
                  <c:v>2.1459472919211957</c:v>
                </c:pt>
                <c:pt idx="107">
                  <c:v>2.212027719918328</c:v>
                </c:pt>
                <c:pt idx="108">
                  <c:v>2.5330821648820989</c:v>
                </c:pt>
                <c:pt idx="109">
                  <c:v>2.239393031830379</c:v>
                </c:pt>
                <c:pt idx="110">
                  <c:v>2.3037214445047702</c:v>
                </c:pt>
                <c:pt idx="111">
                  <c:v>2.282011145627215</c:v>
                </c:pt>
                <c:pt idx="112">
                  <c:v>1.8492670820783459</c:v>
                </c:pt>
                <c:pt idx="113">
                  <c:v>2.403070036974273</c:v>
                </c:pt>
                <c:pt idx="114">
                  <c:v>2.406791745843901</c:v>
                </c:pt>
                <c:pt idx="115">
                  <c:v>2.3520840131513734</c:v>
                </c:pt>
                <c:pt idx="116">
                  <c:v>2.5207913749651816</c:v>
                </c:pt>
                <c:pt idx="117">
                  <c:v>2.418341743562801</c:v>
                </c:pt>
                <c:pt idx="118">
                  <c:v>2.57757632183867</c:v>
                </c:pt>
                <c:pt idx="119">
                  <c:v>2.5965205318696927</c:v>
                </c:pt>
                <c:pt idx="120">
                  <c:v>2.0918667373626447</c:v>
                </c:pt>
                <c:pt idx="121">
                  <c:v>2.6981135143335058</c:v>
                </c:pt>
                <c:pt idx="122">
                  <c:v>2.9122125070465015</c:v>
                </c:pt>
                <c:pt idx="123">
                  <c:v>3.0471281287172096</c:v>
                </c:pt>
                <c:pt idx="124">
                  <c:v>3.2380348665286514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5-43E2-B582-2D132849AD19}"/>
            </c:ext>
          </c:extLst>
        </c:ser>
        <c:ser>
          <c:idx val="1"/>
          <c:order val="2"/>
          <c:tx>
            <c:v>1:01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Bob_Check!$O$5:$O$6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10</c:v>
                </c:pt>
              </c:numCache>
            </c:numRef>
          </c:xVal>
          <c:yVal>
            <c:numRef>
              <c:f>Bob_Check!$O$5:$O$6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5-43E2-B582-2D132849A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7440"/>
        <c:axId val="184708704"/>
      </c:scatterChart>
      <c:valAx>
        <c:axId val="1847174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Bob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8704"/>
        <c:crossesAt val="1.0000000000000004E-6"/>
        <c:crossBetween val="midCat"/>
      </c:valAx>
      <c:valAx>
        <c:axId val="18470870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Bob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7440"/>
        <c:crossesAt val="1.0000000000000004E-6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1:01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10</c:v>
                </c:pt>
              </c:numCache>
            </c:numRef>
          </c:xVal>
          <c:yVal>
            <c:numRef>
              <c:f>Bob_Check!$O$5:$O$6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6-4CEB-8ABA-69FFE7FE76C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Bob_Check!$G$20:$G$150</c:f>
              <c:numCache>
                <c:formatCode>0.0000</c:formatCode>
                <c:ptCount val="131"/>
                <c:pt idx="0">
                  <c:v>1.1680999999999999</c:v>
                </c:pt>
                <c:pt idx="1">
                  <c:v>1.2887999999999999</c:v>
                </c:pt>
                <c:pt idx="2">
                  <c:v>1.2822</c:v>
                </c:pt>
                <c:pt idx="3">
                  <c:v>1.2956000000000001</c:v>
                </c:pt>
                <c:pt idx="4">
                  <c:v>1.2838000000000001</c:v>
                </c:pt>
                <c:pt idx="5">
                  <c:v>1.3082</c:v>
                </c:pt>
                <c:pt idx="6">
                  <c:v>1.3705000000000001</c:v>
                </c:pt>
                <c:pt idx="7">
                  <c:v>1.3936999999999999</c:v>
                </c:pt>
                <c:pt idx="8">
                  <c:v>1.3793</c:v>
                </c:pt>
                <c:pt idx="9">
                  <c:v>1.3903466158085649</c:v>
                </c:pt>
                <c:pt idx="10">
                  <c:v>1.4036</c:v>
                </c:pt>
                <c:pt idx="11">
                  <c:v>1.4</c:v>
                </c:pt>
                <c:pt idx="12">
                  <c:v>1.3649</c:v>
                </c:pt>
                <c:pt idx="13">
                  <c:v>1.4198</c:v>
                </c:pt>
                <c:pt idx="14">
                  <c:v>1.4186000000000001</c:v>
                </c:pt>
                <c:pt idx="15">
                  <c:v>1.4476</c:v>
                </c:pt>
                <c:pt idx="16">
                  <c:v>1.427</c:v>
                </c:pt>
                <c:pt idx="17">
                  <c:v>1.5153000000000001</c:v>
                </c:pt>
                <c:pt idx="18">
                  <c:v>1.45</c:v>
                </c:pt>
                <c:pt idx="19">
                  <c:v>1.4500573550223188</c:v>
                </c:pt>
                <c:pt idx="20">
                  <c:v>1.4550000000000001</c:v>
                </c:pt>
                <c:pt idx="21">
                  <c:v>1.4717</c:v>
                </c:pt>
                <c:pt idx="22">
                  <c:v>1.488</c:v>
                </c:pt>
                <c:pt idx="23">
                  <c:v>1.4924999999999999</c:v>
                </c:pt>
                <c:pt idx="24">
                  <c:v>1.5162559439861154</c:v>
                </c:pt>
                <c:pt idx="25">
                  <c:v>1.5277000000000001</c:v>
                </c:pt>
                <c:pt idx="26">
                  <c:v>1.5865404013686017</c:v>
                </c:pt>
                <c:pt idx="27">
                  <c:v>1.5273526321529347</c:v>
                </c:pt>
                <c:pt idx="28">
                  <c:v>1.4986911732675505</c:v>
                </c:pt>
                <c:pt idx="29">
                  <c:v>1.5015039137706185</c:v>
                </c:pt>
                <c:pt idx="30">
                  <c:v>1.5669999999999999</c:v>
                </c:pt>
                <c:pt idx="31">
                  <c:v>1.5229999999999999</c:v>
                </c:pt>
                <c:pt idx="32">
                  <c:v>1.5653999999999999</c:v>
                </c:pt>
                <c:pt idx="33">
                  <c:v>1.5156247720052562</c:v>
                </c:pt>
                <c:pt idx="34">
                  <c:v>1.5479636439197559</c:v>
                </c:pt>
                <c:pt idx="35">
                  <c:v>1.5425604341844183</c:v>
                </c:pt>
                <c:pt idx="36">
                  <c:v>1.5429999999999999</c:v>
                </c:pt>
                <c:pt idx="37">
                  <c:v>1.5860000000000001</c:v>
                </c:pt>
                <c:pt idx="38">
                  <c:v>1.639</c:v>
                </c:pt>
                <c:pt idx="39">
                  <c:v>1.5995999999999999</c:v>
                </c:pt>
                <c:pt idx="40">
                  <c:v>1.6846951018052452</c:v>
                </c:pt>
                <c:pt idx="41">
                  <c:v>1.60545129758015</c:v>
                </c:pt>
                <c:pt idx="42">
                  <c:v>1.657</c:v>
                </c:pt>
                <c:pt idx="43">
                  <c:v>1.6372</c:v>
                </c:pt>
                <c:pt idx="44">
                  <c:v>1.649</c:v>
                </c:pt>
                <c:pt idx="45">
                  <c:v>1.6050995510203501</c:v>
                </c:pt>
                <c:pt idx="46">
                  <c:v>1.5330965401161434</c:v>
                </c:pt>
                <c:pt idx="47">
                  <c:v>1.6789000000000001</c:v>
                </c:pt>
                <c:pt idx="48">
                  <c:v>1.6618999999999999</c:v>
                </c:pt>
                <c:pt idx="49">
                  <c:v>1.6715649852853085</c:v>
                </c:pt>
                <c:pt idx="50">
                  <c:v>1.6619999999999999</c:v>
                </c:pt>
                <c:pt idx="51">
                  <c:v>1.7486462426644702</c:v>
                </c:pt>
                <c:pt idx="52">
                  <c:v>1.7521</c:v>
                </c:pt>
                <c:pt idx="53">
                  <c:v>1.7010000000000001</c:v>
                </c:pt>
                <c:pt idx="54">
                  <c:v>1.6861166770295233</c:v>
                </c:pt>
                <c:pt idx="55">
                  <c:v>1.69395136437296</c:v>
                </c:pt>
                <c:pt idx="56">
                  <c:v>1.6970000000000001</c:v>
                </c:pt>
                <c:pt idx="57">
                  <c:v>1.712</c:v>
                </c:pt>
                <c:pt idx="58">
                  <c:v>1.7046470189183824</c:v>
                </c:pt>
                <c:pt idx="59">
                  <c:v>1.7246999999999999</c:v>
                </c:pt>
                <c:pt idx="60">
                  <c:v>1.8679349568299397</c:v>
                </c:pt>
                <c:pt idx="61">
                  <c:v>1.7769999999999999</c:v>
                </c:pt>
                <c:pt idx="62">
                  <c:v>1.7509999999999999</c:v>
                </c:pt>
                <c:pt idx="63">
                  <c:v>1.7339</c:v>
                </c:pt>
                <c:pt idx="64">
                  <c:v>1.8840719058200459</c:v>
                </c:pt>
                <c:pt idx="65">
                  <c:v>1.7769999999999999</c:v>
                </c:pt>
                <c:pt idx="66">
                  <c:v>1.9198054319023261</c:v>
                </c:pt>
                <c:pt idx="67">
                  <c:v>1.8582176927835234</c:v>
                </c:pt>
                <c:pt idx="68">
                  <c:v>1.9114061086963996</c:v>
                </c:pt>
                <c:pt idx="69">
                  <c:v>1.8395999999999999</c:v>
                </c:pt>
                <c:pt idx="70">
                  <c:v>1.7962</c:v>
                </c:pt>
                <c:pt idx="71">
                  <c:v>1.9055786070768399</c:v>
                </c:pt>
                <c:pt idx="72">
                  <c:v>1.905</c:v>
                </c:pt>
                <c:pt idx="73">
                  <c:v>1.8231999999999999</c:v>
                </c:pt>
                <c:pt idx="74">
                  <c:v>2.008</c:v>
                </c:pt>
                <c:pt idx="75">
                  <c:v>1.8241000000000001</c:v>
                </c:pt>
                <c:pt idx="76">
                  <c:v>1.8481000000000001</c:v>
                </c:pt>
                <c:pt idx="77">
                  <c:v>1.93272514077489</c:v>
                </c:pt>
                <c:pt idx="78">
                  <c:v>1.8997852987184269</c:v>
                </c:pt>
                <c:pt idx="79">
                  <c:v>1.9659859874729206</c:v>
                </c:pt>
                <c:pt idx="80">
                  <c:v>1.88574002017762</c:v>
                </c:pt>
                <c:pt idx="81">
                  <c:v>1.9542207314204327</c:v>
                </c:pt>
                <c:pt idx="82">
                  <c:v>1.98</c:v>
                </c:pt>
                <c:pt idx="83">
                  <c:v>1.9730000000000001</c:v>
                </c:pt>
                <c:pt idx="84">
                  <c:v>1.9897</c:v>
                </c:pt>
                <c:pt idx="85">
                  <c:v>2.0635741274033896</c:v>
                </c:pt>
                <c:pt idx="86">
                  <c:v>1.99739661192361</c:v>
                </c:pt>
                <c:pt idx="87">
                  <c:v>1.901</c:v>
                </c:pt>
                <c:pt idx="88">
                  <c:v>2.0244</c:v>
                </c:pt>
                <c:pt idx="89">
                  <c:v>1.99082731299834</c:v>
                </c:pt>
                <c:pt idx="90">
                  <c:v>1.9545999999999999</c:v>
                </c:pt>
                <c:pt idx="91">
                  <c:v>1.9510000000000001</c:v>
                </c:pt>
                <c:pt idx="92">
                  <c:v>2.0019999999999998</c:v>
                </c:pt>
                <c:pt idx="93">
                  <c:v>2.0020581987014658</c:v>
                </c:pt>
                <c:pt idx="94">
                  <c:v>2.032</c:v>
                </c:pt>
                <c:pt idx="95">
                  <c:v>2.1372361680955811</c:v>
                </c:pt>
                <c:pt idx="96">
                  <c:v>2.0310990912762636</c:v>
                </c:pt>
                <c:pt idx="97">
                  <c:v>2.14110065649654</c:v>
                </c:pt>
                <c:pt idx="98">
                  <c:v>2.0062134571101491</c:v>
                </c:pt>
                <c:pt idx="99">
                  <c:v>2.1619999999999999</c:v>
                </c:pt>
                <c:pt idx="100">
                  <c:v>2.1421000000000001</c:v>
                </c:pt>
                <c:pt idx="101">
                  <c:v>2.14764883740115</c:v>
                </c:pt>
                <c:pt idx="102">
                  <c:v>2.1732999999999998</c:v>
                </c:pt>
                <c:pt idx="103">
                  <c:v>2.2355892603576124</c:v>
                </c:pt>
                <c:pt idx="104">
                  <c:v>2.1920000000000002</c:v>
                </c:pt>
                <c:pt idx="105">
                  <c:v>2.3553999999999999</c:v>
                </c:pt>
                <c:pt idx="106">
                  <c:v>2.1798999999999999</c:v>
                </c:pt>
                <c:pt idx="107">
                  <c:v>2.2130739781586799</c:v>
                </c:pt>
                <c:pt idx="108">
                  <c:v>2.4543779368789083</c:v>
                </c:pt>
                <c:pt idx="109">
                  <c:v>2.2797000000000001</c:v>
                </c:pt>
                <c:pt idx="110">
                  <c:v>2.3198206028112054</c:v>
                </c:pt>
                <c:pt idx="111">
                  <c:v>2.2337833825723759</c:v>
                </c:pt>
                <c:pt idx="112">
                  <c:v>1.8594969644768309</c:v>
                </c:pt>
                <c:pt idx="113">
                  <c:v>2.4142999999999999</c:v>
                </c:pt>
                <c:pt idx="114">
                  <c:v>2.4289999999999998</c:v>
                </c:pt>
                <c:pt idx="115">
                  <c:v>2.4154</c:v>
                </c:pt>
                <c:pt idx="116">
                  <c:v>2.6244769978515015</c:v>
                </c:pt>
                <c:pt idx="117">
                  <c:v>2.4460000000000002</c:v>
                </c:pt>
                <c:pt idx="118">
                  <c:v>2.4930187474406478</c:v>
                </c:pt>
                <c:pt idx="119">
                  <c:v>2.6800771815122393</c:v>
                </c:pt>
                <c:pt idx="120" formatCode="General">
                  <c:v>2.1539999999999999</c:v>
                </c:pt>
                <c:pt idx="121">
                  <c:v>2.7440000000000002</c:v>
                </c:pt>
                <c:pt idx="122">
                  <c:v>2.8817680081356842</c:v>
                </c:pt>
                <c:pt idx="123">
                  <c:v>3.048</c:v>
                </c:pt>
                <c:pt idx="124">
                  <c:v>3.1960000000000002</c:v>
                </c:pt>
              </c:numCache>
            </c:numRef>
          </c:xVal>
          <c:yVal>
            <c:numRef>
              <c:f>Bob_Check!$O$20:$O$150</c:f>
              <c:numCache>
                <c:formatCode>0.00E+00</c:formatCode>
                <c:ptCount val="131"/>
                <c:pt idx="0">
                  <c:v>1.2185818368473211</c:v>
                </c:pt>
                <c:pt idx="1">
                  <c:v>1.2890840896730209</c:v>
                </c:pt>
                <c:pt idx="2">
                  <c:v>1.2826993873259771</c:v>
                </c:pt>
                <c:pt idx="3">
                  <c:v>1.2925190762780285</c:v>
                </c:pt>
                <c:pt idx="4">
                  <c:v>1.2263481070499616</c:v>
                </c:pt>
                <c:pt idx="5">
                  <c:v>1.3146162698501507</c:v>
                </c:pt>
                <c:pt idx="6">
                  <c:v>1.394003043706965</c:v>
                </c:pt>
                <c:pt idx="7">
                  <c:v>1.4084890911022772</c:v>
                </c:pt>
                <c:pt idx="8">
                  <c:v>1.394363800746717</c:v>
                </c:pt>
                <c:pt idx="9">
                  <c:v>1.3892973574967957</c:v>
                </c:pt>
                <c:pt idx="10">
                  <c:v>1.4139485586998988</c:v>
                </c:pt>
                <c:pt idx="11">
                  <c:v>1.4113291155631384</c:v>
                </c:pt>
                <c:pt idx="12">
                  <c:v>1.8367600220443385</c:v>
                </c:pt>
                <c:pt idx="13">
                  <c:v>1.4434207600686912</c:v>
                </c:pt>
                <c:pt idx="14">
                  <c:v>1.4335507868228139</c:v>
                </c:pt>
                <c:pt idx="15">
                  <c:v>1.4558581059413982</c:v>
                </c:pt>
                <c:pt idx="16">
                  <c:v>1.4537870916223017</c:v>
                </c:pt>
                <c:pt idx="17">
                  <c:v>1.5429464424983885</c:v>
                </c:pt>
                <c:pt idx="18">
                  <c:v>1.4606475090869873</c:v>
                </c:pt>
                <c:pt idx="19">
                  <c:v>1.4283603168569525</c:v>
                </c:pt>
                <c:pt idx="20">
                  <c:v>1.4785516753598136</c:v>
                </c:pt>
                <c:pt idx="21">
                  <c:v>1.4737255252274037</c:v>
                </c:pt>
                <c:pt idx="22">
                  <c:v>1.514036604310915</c:v>
                </c:pt>
                <c:pt idx="23">
                  <c:v>1.4926820799333427</c:v>
                </c:pt>
                <c:pt idx="24">
                  <c:v>1.5181464710107093</c:v>
                </c:pt>
                <c:pt idx="25">
                  <c:v>1.5289503320594229</c:v>
                </c:pt>
                <c:pt idx="26">
                  <c:v>1.5704871616470009</c:v>
                </c:pt>
                <c:pt idx="27">
                  <c:v>1.5202085286040028</c:v>
                </c:pt>
                <c:pt idx="28">
                  <c:v>1.5032035537582458</c:v>
                </c:pt>
                <c:pt idx="29">
                  <c:v>1.5123854762518678</c:v>
                </c:pt>
                <c:pt idx="30">
                  <c:v>1.5962754050273105</c:v>
                </c:pt>
                <c:pt idx="31">
                  <c:v>1.5457200560602182</c:v>
                </c:pt>
                <c:pt idx="32">
                  <c:v>1.5779274927593387</c:v>
                </c:pt>
                <c:pt idx="33">
                  <c:v>1.5209564307319041</c:v>
                </c:pt>
                <c:pt idx="34">
                  <c:v>1.5471485141716812</c:v>
                </c:pt>
                <c:pt idx="35">
                  <c:v>1.5412950146951629</c:v>
                </c:pt>
                <c:pt idx="36">
                  <c:v>1.5814881165389758</c:v>
                </c:pt>
                <c:pt idx="37">
                  <c:v>1.6086181897560343</c:v>
                </c:pt>
                <c:pt idx="38">
                  <c:v>1.6420684348319339</c:v>
                </c:pt>
                <c:pt idx="39">
                  <c:v>1.601872494580338</c:v>
                </c:pt>
                <c:pt idx="40">
                  <c:v>1.6706421511955971</c:v>
                </c:pt>
                <c:pt idx="41">
                  <c:v>1.6050867693016806</c:v>
                </c:pt>
                <c:pt idx="42">
                  <c:v>1.6715057752040008</c:v>
                </c:pt>
                <c:pt idx="43">
                  <c:v>1.6205954786291168</c:v>
                </c:pt>
                <c:pt idx="44">
                  <c:v>1.6341585409262247</c:v>
                </c:pt>
                <c:pt idx="45">
                  <c:v>1.6357434402870437</c:v>
                </c:pt>
                <c:pt idx="46">
                  <c:v>1.5558163411818711</c:v>
                </c:pt>
                <c:pt idx="47">
                  <c:v>1.6623315797484151</c:v>
                </c:pt>
                <c:pt idx="48">
                  <c:v>1.6799228361851353</c:v>
                </c:pt>
                <c:pt idx="49">
                  <c:v>1.7030178522344792</c:v>
                </c:pt>
                <c:pt idx="50">
                  <c:v>1.6430162626403433</c:v>
                </c:pt>
                <c:pt idx="51">
                  <c:v>1.7915302807592945</c:v>
                </c:pt>
                <c:pt idx="52">
                  <c:v>1.7463340667475593</c:v>
                </c:pt>
                <c:pt idx="53">
                  <c:v>1.7010525541402444</c:v>
                </c:pt>
                <c:pt idx="54">
                  <c:v>1.6825832468181432</c:v>
                </c:pt>
                <c:pt idx="55">
                  <c:v>1.7086062184096167</c:v>
                </c:pt>
                <c:pt idx="56">
                  <c:v>1.7257636451966465</c:v>
                </c:pt>
                <c:pt idx="57">
                  <c:v>1.7388878321479426</c:v>
                </c:pt>
                <c:pt idx="58">
                  <c:v>1.7106700494679883</c:v>
                </c:pt>
                <c:pt idx="59">
                  <c:v>1.7194821250756362</c:v>
                </c:pt>
                <c:pt idx="60">
                  <c:v>1.8481629950235523</c:v>
                </c:pt>
                <c:pt idx="61">
                  <c:v>1.8061588023566382</c:v>
                </c:pt>
                <c:pt idx="62">
                  <c:v>1.7740787916334944</c:v>
                </c:pt>
                <c:pt idx="63">
                  <c:v>1.7314668102599198</c:v>
                </c:pt>
                <c:pt idx="64">
                  <c:v>1.9000889857049381</c:v>
                </c:pt>
                <c:pt idx="65">
                  <c:v>1.8037868451941033</c:v>
                </c:pt>
                <c:pt idx="66">
                  <c:v>1.9098339153672772</c:v>
                </c:pt>
                <c:pt idx="67">
                  <c:v>1.8510809471721519</c:v>
                </c:pt>
                <c:pt idx="68">
                  <c:v>1.9187564470173299</c:v>
                </c:pt>
                <c:pt idx="69">
                  <c:v>1.8154483677996576</c:v>
                </c:pt>
                <c:pt idx="70">
                  <c:v>1.7757592630868146</c:v>
                </c:pt>
                <c:pt idx="71">
                  <c:v>1.932458582603195</c:v>
                </c:pt>
                <c:pt idx="72">
                  <c:v>1.8765515727623678</c:v>
                </c:pt>
                <c:pt idx="73">
                  <c:v>1.8060767688554253</c:v>
                </c:pt>
                <c:pt idx="74">
                  <c:v>2.0131136988705682</c:v>
                </c:pt>
                <c:pt idx="75">
                  <c:v>1.8069764566006088</c:v>
                </c:pt>
                <c:pt idx="76">
                  <c:v>1.8314315064980438</c:v>
                </c:pt>
                <c:pt idx="77">
                  <c:v>1.9533011510426268</c:v>
                </c:pt>
                <c:pt idx="78">
                  <c:v>1.9084215617881046</c:v>
                </c:pt>
                <c:pt idx="79">
                  <c:v>1.9791820291297058</c:v>
                </c:pt>
                <c:pt idx="80">
                  <c:v>1.907444265586222</c:v>
                </c:pt>
                <c:pt idx="81">
                  <c:v>1.972412112171928</c:v>
                </c:pt>
                <c:pt idx="82">
                  <c:v>2.0111037506679792</c:v>
                </c:pt>
                <c:pt idx="83">
                  <c:v>1.9881542371453997</c:v>
                </c:pt>
                <c:pt idx="84">
                  <c:v>1.9914480571849476</c:v>
                </c:pt>
                <c:pt idx="85">
                  <c:v>2.0443769874135516</c:v>
                </c:pt>
                <c:pt idx="86">
                  <c:v>2.0220024307915851</c:v>
                </c:pt>
                <c:pt idx="87">
                  <c:v>1.8755719662101069</c:v>
                </c:pt>
                <c:pt idx="88">
                  <c:v>2.0293407881867696</c:v>
                </c:pt>
                <c:pt idx="89">
                  <c:v>2.0073989535908674</c:v>
                </c:pt>
                <c:pt idx="90">
                  <c:v>1.9057890185641511</c:v>
                </c:pt>
                <c:pt idx="91">
                  <c:v>1.919442961427928</c:v>
                </c:pt>
                <c:pt idx="92">
                  <c:v>2.0181707327370502</c:v>
                </c:pt>
                <c:pt idx="93">
                  <c:v>1.9306071133632743</c:v>
                </c:pt>
                <c:pt idx="94">
                  <c:v>2.0150667430027425</c:v>
                </c:pt>
                <c:pt idx="95">
                  <c:v>2.1333229895771777</c:v>
                </c:pt>
                <c:pt idx="96">
                  <c:v>2.0641907670311261</c:v>
                </c:pt>
                <c:pt idx="97">
                  <c:v>2.1411020314146452</c:v>
                </c:pt>
                <c:pt idx="98">
                  <c:v>1.9413983452439689</c:v>
                </c:pt>
                <c:pt idx="99">
                  <c:v>2.0956153133908226</c:v>
                </c:pt>
                <c:pt idx="100">
                  <c:v>2.1437482013281239</c:v>
                </c:pt>
                <c:pt idx="101">
                  <c:v>2.1826316984879859</c:v>
                </c:pt>
                <c:pt idx="102">
                  <c:v>2.123454954297769</c:v>
                </c:pt>
                <c:pt idx="103">
                  <c:v>2.2091311463074228</c:v>
                </c:pt>
                <c:pt idx="104">
                  <c:v>2.1056353897234366</c:v>
                </c:pt>
                <c:pt idx="105">
                  <c:v>2.4062742186834103</c:v>
                </c:pt>
                <c:pt idx="106">
                  <c:v>2.1459472919211957</c:v>
                </c:pt>
                <c:pt idx="107">
                  <c:v>2.212027719918328</c:v>
                </c:pt>
                <c:pt idx="108">
                  <c:v>2.5330821648820989</c:v>
                </c:pt>
                <c:pt idx="109">
                  <c:v>2.239393031830379</c:v>
                </c:pt>
                <c:pt idx="110">
                  <c:v>2.3037214445047702</c:v>
                </c:pt>
                <c:pt idx="111">
                  <c:v>2.282011145627215</c:v>
                </c:pt>
                <c:pt idx="112">
                  <c:v>1.8492670820783459</c:v>
                </c:pt>
                <c:pt idx="113">
                  <c:v>2.403070036974273</c:v>
                </c:pt>
                <c:pt idx="114">
                  <c:v>2.406791745843901</c:v>
                </c:pt>
                <c:pt idx="115">
                  <c:v>2.3520840131513734</c:v>
                </c:pt>
                <c:pt idx="116">
                  <c:v>2.5207913749651816</c:v>
                </c:pt>
                <c:pt idx="117">
                  <c:v>2.418341743562801</c:v>
                </c:pt>
                <c:pt idx="118">
                  <c:v>2.57757632183867</c:v>
                </c:pt>
                <c:pt idx="119">
                  <c:v>2.5965205318696927</c:v>
                </c:pt>
                <c:pt idx="120">
                  <c:v>2.0918667373626447</c:v>
                </c:pt>
                <c:pt idx="121">
                  <c:v>2.6981135143335058</c:v>
                </c:pt>
                <c:pt idx="122">
                  <c:v>2.9122125070465015</c:v>
                </c:pt>
                <c:pt idx="123">
                  <c:v>3.0471281287172096</c:v>
                </c:pt>
                <c:pt idx="124">
                  <c:v>3.2380348665286514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6-4CEB-8ABA-69FFE7FE76C3}"/>
            </c:ext>
          </c:extLst>
        </c:ser>
        <c:ser>
          <c:idx val="1"/>
          <c:order val="2"/>
          <c:tx>
            <c:v>1:01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Bob_Check!$O$5:$O$6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10</c:v>
                </c:pt>
              </c:numCache>
            </c:numRef>
          </c:xVal>
          <c:yVal>
            <c:numRef>
              <c:f>Bob_Check!$O$5:$O$6</c:f>
              <c:numCache>
                <c:formatCode>General</c:formatCode>
                <c:ptCount val="2"/>
                <c:pt idx="0" formatCode="0.00E+00">
                  <c:v>9.9999999999999995E-7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6-4CEB-8ABA-69FFE7FE7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7440"/>
        <c:axId val="184708704"/>
      </c:scatterChart>
      <c:valAx>
        <c:axId val="18471744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Bob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8704"/>
        <c:crossesAt val="1.0000000000000004E-6"/>
        <c:crossBetween val="midCat"/>
      </c:valAx>
      <c:valAx>
        <c:axId val="1847087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Bob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7440"/>
        <c:crossesAt val="1.0000000000000004E-6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Muob_Check!$I$20:$I$173</c:f>
              <c:numCache>
                <c:formatCode>0.0000</c:formatCode>
                <c:ptCount val="154"/>
                <c:pt idx="0" formatCode="0.00000">
                  <c:v>5.0999999999999997E-2</c:v>
                </c:pt>
                <c:pt idx="1">
                  <c:v>8.9899999999999994E-2</c:v>
                </c:pt>
                <c:pt idx="2" formatCode="0.00000">
                  <c:v>9.7000000000000003E-2</c:v>
                </c:pt>
                <c:pt idx="3" formatCode="0.00000">
                  <c:v>0.11</c:v>
                </c:pt>
                <c:pt idx="4" formatCode="0.00000">
                  <c:v>0.123</c:v>
                </c:pt>
                <c:pt idx="5" formatCode="0.00000">
                  <c:v>0.125</c:v>
                </c:pt>
                <c:pt idx="6" formatCode="0.00000">
                  <c:v>0.127</c:v>
                </c:pt>
                <c:pt idx="7">
                  <c:v>0.127</c:v>
                </c:pt>
                <c:pt idx="8">
                  <c:v>0.128</c:v>
                </c:pt>
                <c:pt idx="9" formatCode="0.00000">
                  <c:v>0.13337967864028299</c:v>
                </c:pt>
                <c:pt idx="10">
                  <c:v>0.13567425546815229</c:v>
                </c:pt>
                <c:pt idx="11" formatCode="0.00000">
                  <c:v>0.13600000000000001</c:v>
                </c:pt>
                <c:pt idx="12">
                  <c:v>0.1363</c:v>
                </c:pt>
                <c:pt idx="13" formatCode="0.00000">
                  <c:v>0.13800000000000001</c:v>
                </c:pt>
                <c:pt idx="14">
                  <c:v>0.13900000000000001</c:v>
                </c:pt>
                <c:pt idx="15" formatCode="0.00000">
                  <c:v>0.14699999999999999</c:v>
                </c:pt>
                <c:pt idx="16" formatCode="0.00000">
                  <c:v>0.14699999999999999</c:v>
                </c:pt>
                <c:pt idx="17">
                  <c:v>0.14699999999999999</c:v>
                </c:pt>
                <c:pt idx="18" formatCode="0.00000">
                  <c:v>0.151</c:v>
                </c:pt>
                <c:pt idx="19" formatCode="0.00000">
                  <c:v>0.155</c:v>
                </c:pt>
                <c:pt idx="20">
                  <c:v>0.15531206651272</c:v>
                </c:pt>
                <c:pt idx="21">
                  <c:v>0.156</c:v>
                </c:pt>
                <c:pt idx="22" formatCode="0.00000">
                  <c:v>0.16600000000000001</c:v>
                </c:pt>
                <c:pt idx="23" formatCode="0.00000">
                  <c:v>0.16700000000000001</c:v>
                </c:pt>
                <c:pt idx="24">
                  <c:v>0.16739999999999999</c:v>
                </c:pt>
                <c:pt idx="25" formatCode="0.00000">
                  <c:v>0.1697175980790222</c:v>
                </c:pt>
                <c:pt idx="26" formatCode="0.00000">
                  <c:v>0.17299999999999999</c:v>
                </c:pt>
                <c:pt idx="27" formatCode="0.00000">
                  <c:v>0.17399999999999999</c:v>
                </c:pt>
                <c:pt idx="28" formatCode="General">
                  <c:v>0.17400000000000002</c:v>
                </c:pt>
                <c:pt idx="29" formatCode="0.00000">
                  <c:v>0.17435896980184501</c:v>
                </c:pt>
                <c:pt idx="30" formatCode="0.00000">
                  <c:v>0.17599999999999999</c:v>
                </c:pt>
                <c:pt idx="31">
                  <c:v>0.17599999999999999</c:v>
                </c:pt>
                <c:pt idx="32" formatCode="0.00000">
                  <c:v>0.17699999999999999</c:v>
                </c:pt>
                <c:pt idx="33" formatCode="0.00000">
                  <c:v>0.1800575556996</c:v>
                </c:pt>
                <c:pt idx="34">
                  <c:v>0.183</c:v>
                </c:pt>
                <c:pt idx="35" formatCode="0.00000">
                  <c:v>0.184</c:v>
                </c:pt>
                <c:pt idx="36" formatCode="0.00000">
                  <c:v>0.185</c:v>
                </c:pt>
                <c:pt idx="37" formatCode="0.00000">
                  <c:v>0.186</c:v>
                </c:pt>
                <c:pt idx="38" formatCode="0.00000">
                  <c:v>0.188</c:v>
                </c:pt>
                <c:pt idx="39" formatCode="0.00000">
                  <c:v>0.188</c:v>
                </c:pt>
                <c:pt idx="40" formatCode="0.00000">
                  <c:v>0.188</c:v>
                </c:pt>
                <c:pt idx="41" formatCode="0.00000">
                  <c:v>0.2</c:v>
                </c:pt>
                <c:pt idx="42" formatCode="0.00000">
                  <c:v>0.20799999999999999</c:v>
                </c:pt>
                <c:pt idx="43" formatCode="0.00000">
                  <c:v>0.20899999999999999</c:v>
                </c:pt>
                <c:pt idx="44" formatCode="0.00000">
                  <c:v>0.20899999999999999</c:v>
                </c:pt>
                <c:pt idx="45" formatCode="0.00000">
                  <c:v>0.21</c:v>
                </c:pt>
                <c:pt idx="46" formatCode="0.00000">
                  <c:v>0.21029315067669996</c:v>
                </c:pt>
                <c:pt idx="47" formatCode="0.00000">
                  <c:v>0.21099999999999999</c:v>
                </c:pt>
                <c:pt idx="48" formatCode="0.00000">
                  <c:v>0.21299999999999999</c:v>
                </c:pt>
                <c:pt idx="49" formatCode="0.00000">
                  <c:v>0.215</c:v>
                </c:pt>
                <c:pt idx="50" formatCode="0.00000">
                  <c:v>0.223</c:v>
                </c:pt>
                <c:pt idx="51">
                  <c:v>0.2286</c:v>
                </c:pt>
                <c:pt idx="52">
                  <c:v>0.23200000000000001</c:v>
                </c:pt>
                <c:pt idx="53" formatCode="0.00000">
                  <c:v>0.23499999999999999</c:v>
                </c:pt>
                <c:pt idx="54">
                  <c:v>0.23524203840575</c:v>
                </c:pt>
                <c:pt idx="55" formatCode="0.00000">
                  <c:v>0.23799999999999999</c:v>
                </c:pt>
                <c:pt idx="56">
                  <c:v>0.24199999999999999</c:v>
                </c:pt>
                <c:pt idx="57">
                  <c:v>0.24250372633665854</c:v>
                </c:pt>
                <c:pt idx="58">
                  <c:v>0.245</c:v>
                </c:pt>
                <c:pt idx="59" formatCode="0.00000">
                  <c:v>0.249</c:v>
                </c:pt>
                <c:pt idx="60" formatCode="0.00000">
                  <c:v>0.254</c:v>
                </c:pt>
                <c:pt idx="61" formatCode="0.00000">
                  <c:v>0.254</c:v>
                </c:pt>
                <c:pt idx="62" formatCode="0.00000">
                  <c:v>0.25700000000000001</c:v>
                </c:pt>
                <c:pt idx="63" formatCode="0.00000">
                  <c:v>0.25900000000000001</c:v>
                </c:pt>
                <c:pt idx="64" formatCode="General">
                  <c:v>0.26300000000000001</c:v>
                </c:pt>
                <c:pt idx="65" formatCode="0.00000">
                  <c:v>0.26800000000000002</c:v>
                </c:pt>
                <c:pt idx="66">
                  <c:v>0.27500000000000002</c:v>
                </c:pt>
                <c:pt idx="67" formatCode="0.00000">
                  <c:v>0.2782</c:v>
                </c:pt>
                <c:pt idx="68" formatCode="0.00000">
                  <c:v>0.28499999999999998</c:v>
                </c:pt>
                <c:pt idx="69" formatCode="0.00000">
                  <c:v>0.28499999999999998</c:v>
                </c:pt>
                <c:pt idx="70">
                  <c:v>0.28531483083514203</c:v>
                </c:pt>
                <c:pt idx="71" formatCode="0.00000">
                  <c:v>0.29299999999999998</c:v>
                </c:pt>
                <c:pt idx="72" formatCode="0.00000">
                  <c:v>0.29399999999999998</c:v>
                </c:pt>
                <c:pt idx="73">
                  <c:v>0.29499999999999998</c:v>
                </c:pt>
                <c:pt idx="74" formatCode="0.00000">
                  <c:v>0.29599999999999999</c:v>
                </c:pt>
                <c:pt idx="75" formatCode="0.00000">
                  <c:v>0.30599999999999999</c:v>
                </c:pt>
                <c:pt idx="76" formatCode="0.00000">
                  <c:v>0.309</c:v>
                </c:pt>
                <c:pt idx="77">
                  <c:v>0.309</c:v>
                </c:pt>
                <c:pt idx="78">
                  <c:v>0.313</c:v>
                </c:pt>
                <c:pt idx="79">
                  <c:v>0.314</c:v>
                </c:pt>
                <c:pt idx="80">
                  <c:v>0.316</c:v>
                </c:pt>
                <c:pt idx="81" formatCode="0.00000">
                  <c:v>0.33200000000000002</c:v>
                </c:pt>
                <c:pt idx="82" formatCode="0.00000">
                  <c:v>0.33800000000000002</c:v>
                </c:pt>
                <c:pt idx="83">
                  <c:v>0.35599999999999998</c:v>
                </c:pt>
                <c:pt idx="84">
                  <c:v>0.35863015920792102</c:v>
                </c:pt>
                <c:pt idx="85" formatCode="0.00000">
                  <c:v>0.36199999999999999</c:v>
                </c:pt>
                <c:pt idx="86" formatCode="0.00000">
                  <c:v>0.36599999999999999</c:v>
                </c:pt>
                <c:pt idx="87" formatCode="0.00000">
                  <c:v>0.36799999999999999</c:v>
                </c:pt>
                <c:pt idx="88">
                  <c:v>0.36799999999999999</c:v>
                </c:pt>
                <c:pt idx="89">
                  <c:v>0.376</c:v>
                </c:pt>
                <c:pt idx="90" formatCode="0.00000">
                  <c:v>0.38100000000000001</c:v>
                </c:pt>
                <c:pt idx="91" formatCode="0.00000">
                  <c:v>0.38600000000000001</c:v>
                </c:pt>
                <c:pt idx="92" formatCode="0.00000">
                  <c:v>0.38700000000000001</c:v>
                </c:pt>
                <c:pt idx="93" formatCode="0.00000">
                  <c:v>0.39200000000000002</c:v>
                </c:pt>
                <c:pt idx="94" formatCode="0.00000">
                  <c:v>0.39649000000000001</c:v>
                </c:pt>
                <c:pt idx="95">
                  <c:v>0.40500000000000003</c:v>
                </c:pt>
                <c:pt idx="96">
                  <c:v>0.41020653230299997</c:v>
                </c:pt>
                <c:pt idx="97" formatCode="0.00000">
                  <c:v>0.41199999999999998</c:v>
                </c:pt>
                <c:pt idx="98">
                  <c:v>0.41299999999999998</c:v>
                </c:pt>
                <c:pt idx="99">
                  <c:v>0.41899999999999998</c:v>
                </c:pt>
                <c:pt idx="100">
                  <c:v>0.42370000000000002</c:v>
                </c:pt>
                <c:pt idx="101" formatCode="0.00000">
                  <c:v>0.434</c:v>
                </c:pt>
                <c:pt idx="102" formatCode="0.00000">
                  <c:v>0.44900000000000001</c:v>
                </c:pt>
                <c:pt idx="103" formatCode="0.00000">
                  <c:v>0.45</c:v>
                </c:pt>
                <c:pt idx="104">
                  <c:v>0.45250000000000001</c:v>
                </c:pt>
                <c:pt idx="105" formatCode="0.00000">
                  <c:v>0.45300000000000001</c:v>
                </c:pt>
                <c:pt idx="106" formatCode="0.00000">
                  <c:v>0.45600000000000002</c:v>
                </c:pt>
                <c:pt idx="107">
                  <c:v>0.47299999999999998</c:v>
                </c:pt>
                <c:pt idx="108">
                  <c:v>0.48899999999999999</c:v>
                </c:pt>
                <c:pt idx="109" formatCode="0.00000">
                  <c:v>0.504</c:v>
                </c:pt>
                <c:pt idx="110">
                  <c:v>0.51100000000000001</c:v>
                </c:pt>
                <c:pt idx="111">
                  <c:v>0.51300000000000001</c:v>
                </c:pt>
                <c:pt idx="112">
                  <c:v>0.52</c:v>
                </c:pt>
                <c:pt idx="113">
                  <c:v>0.52621000000000007</c:v>
                </c:pt>
                <c:pt idx="114">
                  <c:v>0.53227000000000002</c:v>
                </c:pt>
                <c:pt idx="115">
                  <c:v>0.54239999999999999</c:v>
                </c:pt>
                <c:pt idx="116">
                  <c:v>0.55100000000000005</c:v>
                </c:pt>
                <c:pt idx="117">
                  <c:v>0.55300000000000005</c:v>
                </c:pt>
                <c:pt idx="118" formatCode="0.00000">
                  <c:v>0.56000000000000005</c:v>
                </c:pt>
                <c:pt idx="119" formatCode="0.00000">
                  <c:v>0.56599999999999995</c:v>
                </c:pt>
                <c:pt idx="120">
                  <c:v>0.56599999999999995</c:v>
                </c:pt>
                <c:pt idx="121" formatCode="0.00000">
                  <c:v>0.59299999999999997</c:v>
                </c:pt>
                <c:pt idx="122">
                  <c:v>0.624</c:v>
                </c:pt>
                <c:pt idx="123" formatCode="General">
                  <c:v>0.74</c:v>
                </c:pt>
                <c:pt idx="124">
                  <c:v>0.91500000000000004</c:v>
                </c:pt>
                <c:pt idx="125">
                  <c:v>0.98399999999999999</c:v>
                </c:pt>
                <c:pt idx="126">
                  <c:v>1.107</c:v>
                </c:pt>
                <c:pt idx="127" formatCode="0.00000">
                  <c:v>1.1719999999999999</c:v>
                </c:pt>
              </c:numCache>
            </c:numRef>
          </c:xVal>
          <c:yVal>
            <c:numRef>
              <c:f>Muob_Check!$O$20:$O$173</c:f>
              <c:numCache>
                <c:formatCode>0.00E+00</c:formatCode>
                <c:ptCount val="154"/>
                <c:pt idx="0">
                  <c:v>5.5984149090435309E-2</c:v>
                </c:pt>
                <c:pt idx="1">
                  <c:v>9.3645169349395541E-2</c:v>
                </c:pt>
                <c:pt idx="2">
                  <c:v>9.0366566404043086E-2</c:v>
                </c:pt>
                <c:pt idx="3">
                  <c:v>0.11491731942897374</c:v>
                </c:pt>
                <c:pt idx="4">
                  <c:v>0.13934844726442519</c:v>
                </c:pt>
                <c:pt idx="5">
                  <c:v>0.15887356040443926</c:v>
                </c:pt>
                <c:pt idx="6">
                  <c:v>0.15789225948731228</c:v>
                </c:pt>
                <c:pt idx="7">
                  <c:v>9.3174127787070862E-2</c:v>
                </c:pt>
                <c:pt idx="8">
                  <c:v>0.18972100272867359</c:v>
                </c:pt>
                <c:pt idx="9">
                  <c:v>0.22933844215637952</c:v>
                </c:pt>
                <c:pt idx="10">
                  <c:v>0.15051442098633214</c:v>
                </c:pt>
                <c:pt idx="11">
                  <c:v>0.13599724768356566</c:v>
                </c:pt>
                <c:pt idx="12">
                  <c:v>0.17843936801932003</c:v>
                </c:pt>
                <c:pt idx="13">
                  <c:v>0.14493879796050266</c:v>
                </c:pt>
                <c:pt idx="14">
                  <c:v>0.15704193971731362</c:v>
                </c:pt>
                <c:pt idx="15">
                  <c:v>0.19574599001003676</c:v>
                </c:pt>
                <c:pt idx="16">
                  <c:v>0.15954169390604975</c:v>
                </c:pt>
                <c:pt idx="17">
                  <c:v>0.20854055501725002</c:v>
                </c:pt>
                <c:pt idx="18">
                  <c:v>0.21399248800489509</c:v>
                </c:pt>
                <c:pt idx="19">
                  <c:v>0.18514034092163531</c:v>
                </c:pt>
                <c:pt idx="20">
                  <c:v>0.18167768692859246</c:v>
                </c:pt>
                <c:pt idx="21">
                  <c:v>0.21894132868077393</c:v>
                </c:pt>
                <c:pt idx="22">
                  <c:v>0.21924884662385022</c:v>
                </c:pt>
                <c:pt idx="23">
                  <c:v>0.19965837260040198</c:v>
                </c:pt>
                <c:pt idx="24">
                  <c:v>7.1696725301587466E-2</c:v>
                </c:pt>
                <c:pt idx="25">
                  <c:v>0.1760554250599175</c:v>
                </c:pt>
                <c:pt idx="26">
                  <c:v>0.2294222861338748</c:v>
                </c:pt>
                <c:pt idx="27">
                  <c:v>0.19853534776351023</c:v>
                </c:pt>
                <c:pt idx="28">
                  <c:v>0.21529088354128401</c:v>
                </c:pt>
                <c:pt idx="29">
                  <c:v>0.21680433460536766</c:v>
                </c:pt>
                <c:pt idx="30">
                  <c:v>0.19349027599885227</c:v>
                </c:pt>
                <c:pt idx="31">
                  <c:v>0.2442361905387016</c:v>
                </c:pt>
                <c:pt idx="32">
                  <c:v>0.16435259015291723</c:v>
                </c:pt>
                <c:pt idx="33">
                  <c:v>0.23307631888832767</c:v>
                </c:pt>
                <c:pt idx="34">
                  <c:v>0.19627224574602856</c:v>
                </c:pt>
                <c:pt idx="35">
                  <c:v>0.25645092717712636</c:v>
                </c:pt>
                <c:pt idx="36">
                  <c:v>0.20061143069508289</c:v>
                </c:pt>
                <c:pt idx="37">
                  <c:v>0.17837996333094305</c:v>
                </c:pt>
                <c:pt idx="38">
                  <c:v>0.21447933421916912</c:v>
                </c:pt>
                <c:pt idx="39">
                  <c:v>0.22172306673015732</c:v>
                </c:pt>
                <c:pt idx="40">
                  <c:v>0.23086743255256317</c:v>
                </c:pt>
                <c:pt idx="41">
                  <c:v>0.23529985827771108</c:v>
                </c:pt>
                <c:pt idx="42">
                  <c:v>0.26172010421818365</c:v>
                </c:pt>
                <c:pt idx="43">
                  <c:v>0.24891626935590283</c:v>
                </c:pt>
                <c:pt idx="44">
                  <c:v>0.21565517121108438</c:v>
                </c:pt>
                <c:pt idx="45">
                  <c:v>0.27506427578956627</c:v>
                </c:pt>
                <c:pt idx="46">
                  <c:v>0.19997443311322094</c:v>
                </c:pt>
                <c:pt idx="47">
                  <c:v>0.20897986386866238</c:v>
                </c:pt>
                <c:pt idx="48">
                  <c:v>0.26888473311281746</c:v>
                </c:pt>
                <c:pt idx="49">
                  <c:v>0.24888441286976898</c:v>
                </c:pt>
                <c:pt idx="50">
                  <c:v>0.25525913094571889</c:v>
                </c:pt>
                <c:pt idx="51">
                  <c:v>0.21999727964737173</c:v>
                </c:pt>
                <c:pt idx="52">
                  <c:v>0.273955495402609</c:v>
                </c:pt>
                <c:pt idx="53">
                  <c:v>0.31996239818610595</c:v>
                </c:pt>
                <c:pt idx="54">
                  <c:v>0.21552410002297592</c:v>
                </c:pt>
                <c:pt idx="55">
                  <c:v>0.2927979889874503</c:v>
                </c:pt>
                <c:pt idx="56">
                  <c:v>0.22890530975706888</c:v>
                </c:pt>
                <c:pt idx="57">
                  <c:v>0.21442158693934527</c:v>
                </c:pt>
                <c:pt idx="58">
                  <c:v>0.33107078300441872</c:v>
                </c:pt>
                <c:pt idx="59">
                  <c:v>0.20187305950772061</c:v>
                </c:pt>
                <c:pt idx="60">
                  <c:v>0.30604048074616175</c:v>
                </c:pt>
                <c:pt idx="61">
                  <c:v>0.28406757986537423</c:v>
                </c:pt>
                <c:pt idx="62">
                  <c:v>0.32697381081488591</c:v>
                </c:pt>
                <c:pt idx="63">
                  <c:v>0.28636404338741239</c:v>
                </c:pt>
                <c:pt idx="64">
                  <c:v>0.25147982208256936</c:v>
                </c:pt>
                <c:pt idx="65">
                  <c:v>0.43023088854244279</c:v>
                </c:pt>
                <c:pt idx="66">
                  <c:v>0.27838871708521956</c:v>
                </c:pt>
                <c:pt idx="67">
                  <c:v>0.33783597334271886</c:v>
                </c:pt>
                <c:pt idx="68">
                  <c:v>0.34876202993238498</c:v>
                </c:pt>
                <c:pt idx="69">
                  <c:v>0.27536362935733777</c:v>
                </c:pt>
                <c:pt idx="70">
                  <c:v>0.26705058504311285</c:v>
                </c:pt>
                <c:pt idx="71">
                  <c:v>0.27239654530267832</c:v>
                </c:pt>
                <c:pt idx="72">
                  <c:v>0.33793403807766925</c:v>
                </c:pt>
                <c:pt idx="73">
                  <c:v>0.33800083494783839</c:v>
                </c:pt>
                <c:pt idx="74">
                  <c:v>0.35342593160471442</c:v>
                </c:pt>
                <c:pt idx="75">
                  <c:v>0.35488072481708088</c:v>
                </c:pt>
                <c:pt idx="76">
                  <c:v>0.37542788938624694</c:v>
                </c:pt>
                <c:pt idx="77">
                  <c:v>0.30215600551072558</c:v>
                </c:pt>
                <c:pt idx="78">
                  <c:v>0.33582976690027694</c:v>
                </c:pt>
                <c:pt idx="79">
                  <c:v>0.29308190266124828</c:v>
                </c:pt>
                <c:pt idx="80">
                  <c:v>0.30889949545112683</c:v>
                </c:pt>
                <c:pt idx="81">
                  <c:v>0.22553378690997658</c:v>
                </c:pt>
                <c:pt idx="82">
                  <c:v>0.4084416174118265</c:v>
                </c:pt>
                <c:pt idx="83">
                  <c:v>0.39655233190355488</c:v>
                </c:pt>
                <c:pt idx="84">
                  <c:v>0.35878005074380126</c:v>
                </c:pt>
                <c:pt idx="85">
                  <c:v>0.25280771455541334</c:v>
                </c:pt>
                <c:pt idx="86">
                  <c:v>0.32733862682117976</c:v>
                </c:pt>
                <c:pt idx="87">
                  <c:v>0.40701381131370651</c:v>
                </c:pt>
                <c:pt idx="88">
                  <c:v>0.33896405763934595</c:v>
                </c:pt>
                <c:pt idx="89">
                  <c:v>0.35416019119498493</c:v>
                </c:pt>
                <c:pt idx="90">
                  <c:v>0.50450212770578684</c:v>
                </c:pt>
                <c:pt idx="91">
                  <c:v>0.41135416072909459</c:v>
                </c:pt>
                <c:pt idx="92">
                  <c:v>0.47567516829283357</c:v>
                </c:pt>
                <c:pt idx="93">
                  <c:v>0.3132118386960494</c:v>
                </c:pt>
                <c:pt idx="94">
                  <c:v>0.43861997462238567</c:v>
                </c:pt>
                <c:pt idx="95">
                  <c:v>0.34884204382729755</c:v>
                </c:pt>
                <c:pt idx="96">
                  <c:v>0.42296919495938673</c:v>
                </c:pt>
                <c:pt idx="97">
                  <c:v>0.50265519644840628</c:v>
                </c:pt>
                <c:pt idx="98">
                  <c:v>0.43971640249115068</c:v>
                </c:pt>
                <c:pt idx="99">
                  <c:v>0.3889801161661991</c:v>
                </c:pt>
                <c:pt idx="100">
                  <c:v>0.31187480597045619</c:v>
                </c:pt>
                <c:pt idx="101">
                  <c:v>0.31260926949291062</c:v>
                </c:pt>
                <c:pt idx="102">
                  <c:v>0.44704943414907206</c:v>
                </c:pt>
                <c:pt idx="103">
                  <c:v>0.41666266638889288</c:v>
                </c:pt>
                <c:pt idx="104">
                  <c:v>0.32395041662736584</c:v>
                </c:pt>
                <c:pt idx="105">
                  <c:v>0.52552736475350648</c:v>
                </c:pt>
                <c:pt idx="106">
                  <c:v>0.48196419072204993</c:v>
                </c:pt>
                <c:pt idx="107">
                  <c:v>0.42413557220384079</c:v>
                </c:pt>
                <c:pt idx="108">
                  <c:v>0.47695186555995506</c:v>
                </c:pt>
                <c:pt idx="109">
                  <c:v>0.24321882845438497</c:v>
                </c:pt>
                <c:pt idx="110">
                  <c:v>0.46857068976595062</c:v>
                </c:pt>
                <c:pt idx="111">
                  <c:v>0.41987024995562267</c:v>
                </c:pt>
                <c:pt idx="112">
                  <c:v>0.44106426866103043</c:v>
                </c:pt>
                <c:pt idx="113">
                  <c:v>0.41599919058171525</c:v>
                </c:pt>
                <c:pt idx="114">
                  <c:v>0.39655948298274546</c:v>
                </c:pt>
                <c:pt idx="115">
                  <c:v>0.34057612278701532</c:v>
                </c:pt>
                <c:pt idx="116">
                  <c:v>0.50014912427052005</c:v>
                </c:pt>
                <c:pt idx="117">
                  <c:v>0.39810642568548127</c:v>
                </c:pt>
                <c:pt idx="118">
                  <c:v>0.55211972320232006</c:v>
                </c:pt>
                <c:pt idx="119">
                  <c:v>0.9075870970970461</c:v>
                </c:pt>
                <c:pt idx="120">
                  <c:v>0.49387262703627338</c:v>
                </c:pt>
                <c:pt idx="121">
                  <c:v>0.63525884350829687</c:v>
                </c:pt>
                <c:pt idx="122">
                  <c:v>0.48547140975766129</c:v>
                </c:pt>
                <c:pt idx="123">
                  <c:v>0.55716931743611131</c:v>
                </c:pt>
                <c:pt idx="124">
                  <c:v>0.74152459294613438</c:v>
                </c:pt>
                <c:pt idx="125">
                  <c:v>0.70935605083588005</c:v>
                </c:pt>
                <c:pt idx="126">
                  <c:v>0.73435271000809277</c:v>
                </c:pt>
                <c:pt idx="127">
                  <c:v>1.3055929813041502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C-4014-9F1B-CA34B020E02D}"/>
            </c:ext>
          </c:extLst>
        </c:ser>
        <c:ser>
          <c:idx val="1"/>
          <c:order val="1"/>
          <c:tx>
            <c:v>1:01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Muob_Check!$O$5:$O$6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1</c:v>
                </c:pt>
              </c:numCache>
            </c:numRef>
          </c:xVal>
          <c:yVal>
            <c:numRef>
              <c:f>Muob_Check!$O$5:$O$6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C-4014-9F1B-CA34B020E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7440"/>
        <c:axId val="184708704"/>
      </c:scatterChart>
      <c:valAx>
        <c:axId val="184717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muo_b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8704"/>
        <c:crossesAt val="1.0000000000000004E-6"/>
        <c:crossBetween val="midCat"/>
      </c:valAx>
      <c:valAx>
        <c:axId val="18470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muo_b</a:t>
                </a:r>
                <a:r>
                  <a:rPr lang="en-US" baseline="0"/>
                  <a:t> </a:t>
                </a:r>
                <a:r>
                  <a:rPr lang="en-US"/>
                  <a:t>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7440"/>
        <c:crossesAt val="1.0000000000000004E-6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Muob_Check!$I$20:$I$173</c:f>
              <c:numCache>
                <c:formatCode>0.0000</c:formatCode>
                <c:ptCount val="154"/>
                <c:pt idx="0" formatCode="0.00000">
                  <c:v>5.0999999999999997E-2</c:v>
                </c:pt>
                <c:pt idx="1">
                  <c:v>8.9899999999999994E-2</c:v>
                </c:pt>
                <c:pt idx="2" formatCode="0.00000">
                  <c:v>9.7000000000000003E-2</c:v>
                </c:pt>
                <c:pt idx="3" formatCode="0.00000">
                  <c:v>0.11</c:v>
                </c:pt>
                <c:pt idx="4" formatCode="0.00000">
                  <c:v>0.123</c:v>
                </c:pt>
                <c:pt idx="5" formatCode="0.00000">
                  <c:v>0.125</c:v>
                </c:pt>
                <c:pt idx="6" formatCode="0.00000">
                  <c:v>0.127</c:v>
                </c:pt>
                <c:pt idx="7">
                  <c:v>0.127</c:v>
                </c:pt>
                <c:pt idx="8">
                  <c:v>0.128</c:v>
                </c:pt>
                <c:pt idx="9" formatCode="0.00000">
                  <c:v>0.13337967864028299</c:v>
                </c:pt>
                <c:pt idx="10">
                  <c:v>0.13567425546815229</c:v>
                </c:pt>
                <c:pt idx="11" formatCode="0.00000">
                  <c:v>0.13600000000000001</c:v>
                </c:pt>
                <c:pt idx="12">
                  <c:v>0.1363</c:v>
                </c:pt>
                <c:pt idx="13" formatCode="0.00000">
                  <c:v>0.13800000000000001</c:v>
                </c:pt>
                <c:pt idx="14">
                  <c:v>0.13900000000000001</c:v>
                </c:pt>
                <c:pt idx="15" formatCode="0.00000">
                  <c:v>0.14699999999999999</c:v>
                </c:pt>
                <c:pt idx="16" formatCode="0.00000">
                  <c:v>0.14699999999999999</c:v>
                </c:pt>
                <c:pt idx="17">
                  <c:v>0.14699999999999999</c:v>
                </c:pt>
                <c:pt idx="18" formatCode="0.00000">
                  <c:v>0.151</c:v>
                </c:pt>
                <c:pt idx="19" formatCode="0.00000">
                  <c:v>0.155</c:v>
                </c:pt>
                <c:pt idx="20">
                  <c:v>0.15531206651272</c:v>
                </c:pt>
                <c:pt idx="21">
                  <c:v>0.156</c:v>
                </c:pt>
                <c:pt idx="22" formatCode="0.00000">
                  <c:v>0.16600000000000001</c:v>
                </c:pt>
                <c:pt idx="23" formatCode="0.00000">
                  <c:v>0.16700000000000001</c:v>
                </c:pt>
                <c:pt idx="24">
                  <c:v>0.16739999999999999</c:v>
                </c:pt>
                <c:pt idx="25" formatCode="0.00000">
                  <c:v>0.1697175980790222</c:v>
                </c:pt>
                <c:pt idx="26" formatCode="0.00000">
                  <c:v>0.17299999999999999</c:v>
                </c:pt>
                <c:pt idx="27" formatCode="0.00000">
                  <c:v>0.17399999999999999</c:v>
                </c:pt>
                <c:pt idx="28" formatCode="General">
                  <c:v>0.17400000000000002</c:v>
                </c:pt>
                <c:pt idx="29" formatCode="0.00000">
                  <c:v>0.17435896980184501</c:v>
                </c:pt>
                <c:pt idx="30" formatCode="0.00000">
                  <c:v>0.17599999999999999</c:v>
                </c:pt>
                <c:pt idx="31">
                  <c:v>0.17599999999999999</c:v>
                </c:pt>
                <c:pt idx="32" formatCode="0.00000">
                  <c:v>0.17699999999999999</c:v>
                </c:pt>
                <c:pt idx="33" formatCode="0.00000">
                  <c:v>0.1800575556996</c:v>
                </c:pt>
                <c:pt idx="34">
                  <c:v>0.183</c:v>
                </c:pt>
                <c:pt idx="35" formatCode="0.00000">
                  <c:v>0.184</c:v>
                </c:pt>
                <c:pt idx="36" formatCode="0.00000">
                  <c:v>0.185</c:v>
                </c:pt>
                <c:pt idx="37" formatCode="0.00000">
                  <c:v>0.186</c:v>
                </c:pt>
                <c:pt idx="38" formatCode="0.00000">
                  <c:v>0.188</c:v>
                </c:pt>
                <c:pt idx="39" formatCode="0.00000">
                  <c:v>0.188</c:v>
                </c:pt>
                <c:pt idx="40" formatCode="0.00000">
                  <c:v>0.188</c:v>
                </c:pt>
                <c:pt idx="41" formatCode="0.00000">
                  <c:v>0.2</c:v>
                </c:pt>
                <c:pt idx="42" formatCode="0.00000">
                  <c:v>0.20799999999999999</c:v>
                </c:pt>
                <c:pt idx="43" formatCode="0.00000">
                  <c:v>0.20899999999999999</c:v>
                </c:pt>
                <c:pt idx="44" formatCode="0.00000">
                  <c:v>0.20899999999999999</c:v>
                </c:pt>
                <c:pt idx="45" formatCode="0.00000">
                  <c:v>0.21</c:v>
                </c:pt>
                <c:pt idx="46" formatCode="0.00000">
                  <c:v>0.21029315067669996</c:v>
                </c:pt>
                <c:pt idx="47" formatCode="0.00000">
                  <c:v>0.21099999999999999</c:v>
                </c:pt>
                <c:pt idx="48" formatCode="0.00000">
                  <c:v>0.21299999999999999</c:v>
                </c:pt>
                <c:pt idx="49" formatCode="0.00000">
                  <c:v>0.215</c:v>
                </c:pt>
                <c:pt idx="50" formatCode="0.00000">
                  <c:v>0.223</c:v>
                </c:pt>
                <c:pt idx="51">
                  <c:v>0.2286</c:v>
                </c:pt>
                <c:pt idx="52">
                  <c:v>0.23200000000000001</c:v>
                </c:pt>
                <c:pt idx="53" formatCode="0.00000">
                  <c:v>0.23499999999999999</c:v>
                </c:pt>
                <c:pt idx="54">
                  <c:v>0.23524203840575</c:v>
                </c:pt>
                <c:pt idx="55" formatCode="0.00000">
                  <c:v>0.23799999999999999</c:v>
                </c:pt>
                <c:pt idx="56">
                  <c:v>0.24199999999999999</c:v>
                </c:pt>
                <c:pt idx="57">
                  <c:v>0.24250372633665854</c:v>
                </c:pt>
                <c:pt idx="58">
                  <c:v>0.245</c:v>
                </c:pt>
                <c:pt idx="59" formatCode="0.00000">
                  <c:v>0.249</c:v>
                </c:pt>
                <c:pt idx="60" formatCode="0.00000">
                  <c:v>0.254</c:v>
                </c:pt>
                <c:pt idx="61" formatCode="0.00000">
                  <c:v>0.254</c:v>
                </c:pt>
                <c:pt idx="62" formatCode="0.00000">
                  <c:v>0.25700000000000001</c:v>
                </c:pt>
                <c:pt idx="63" formatCode="0.00000">
                  <c:v>0.25900000000000001</c:v>
                </c:pt>
                <c:pt idx="64" formatCode="General">
                  <c:v>0.26300000000000001</c:v>
                </c:pt>
                <c:pt idx="65" formatCode="0.00000">
                  <c:v>0.26800000000000002</c:v>
                </c:pt>
                <c:pt idx="66">
                  <c:v>0.27500000000000002</c:v>
                </c:pt>
                <c:pt idx="67" formatCode="0.00000">
                  <c:v>0.2782</c:v>
                </c:pt>
                <c:pt idx="68" formatCode="0.00000">
                  <c:v>0.28499999999999998</c:v>
                </c:pt>
                <c:pt idx="69" formatCode="0.00000">
                  <c:v>0.28499999999999998</c:v>
                </c:pt>
                <c:pt idx="70">
                  <c:v>0.28531483083514203</c:v>
                </c:pt>
                <c:pt idx="71" formatCode="0.00000">
                  <c:v>0.29299999999999998</c:v>
                </c:pt>
                <c:pt idx="72" formatCode="0.00000">
                  <c:v>0.29399999999999998</c:v>
                </c:pt>
                <c:pt idx="73">
                  <c:v>0.29499999999999998</c:v>
                </c:pt>
                <c:pt idx="74" formatCode="0.00000">
                  <c:v>0.29599999999999999</c:v>
                </c:pt>
                <c:pt idx="75" formatCode="0.00000">
                  <c:v>0.30599999999999999</c:v>
                </c:pt>
                <c:pt idx="76" formatCode="0.00000">
                  <c:v>0.309</c:v>
                </c:pt>
                <c:pt idx="77">
                  <c:v>0.309</c:v>
                </c:pt>
                <c:pt idx="78">
                  <c:v>0.313</c:v>
                </c:pt>
                <c:pt idx="79">
                  <c:v>0.314</c:v>
                </c:pt>
                <c:pt idx="80">
                  <c:v>0.316</c:v>
                </c:pt>
                <c:pt idx="81" formatCode="0.00000">
                  <c:v>0.33200000000000002</c:v>
                </c:pt>
                <c:pt idx="82" formatCode="0.00000">
                  <c:v>0.33800000000000002</c:v>
                </c:pt>
                <c:pt idx="83">
                  <c:v>0.35599999999999998</c:v>
                </c:pt>
                <c:pt idx="84">
                  <c:v>0.35863015920792102</c:v>
                </c:pt>
                <c:pt idx="85" formatCode="0.00000">
                  <c:v>0.36199999999999999</c:v>
                </c:pt>
                <c:pt idx="86" formatCode="0.00000">
                  <c:v>0.36599999999999999</c:v>
                </c:pt>
                <c:pt idx="87" formatCode="0.00000">
                  <c:v>0.36799999999999999</c:v>
                </c:pt>
                <c:pt idx="88">
                  <c:v>0.36799999999999999</c:v>
                </c:pt>
                <c:pt idx="89">
                  <c:v>0.376</c:v>
                </c:pt>
                <c:pt idx="90" formatCode="0.00000">
                  <c:v>0.38100000000000001</c:v>
                </c:pt>
                <c:pt idx="91" formatCode="0.00000">
                  <c:v>0.38600000000000001</c:v>
                </c:pt>
                <c:pt idx="92" formatCode="0.00000">
                  <c:v>0.38700000000000001</c:v>
                </c:pt>
                <c:pt idx="93" formatCode="0.00000">
                  <c:v>0.39200000000000002</c:v>
                </c:pt>
                <c:pt idx="94" formatCode="0.00000">
                  <c:v>0.39649000000000001</c:v>
                </c:pt>
                <c:pt idx="95">
                  <c:v>0.40500000000000003</c:v>
                </c:pt>
                <c:pt idx="96">
                  <c:v>0.41020653230299997</c:v>
                </c:pt>
                <c:pt idx="97" formatCode="0.00000">
                  <c:v>0.41199999999999998</c:v>
                </c:pt>
                <c:pt idx="98">
                  <c:v>0.41299999999999998</c:v>
                </c:pt>
                <c:pt idx="99">
                  <c:v>0.41899999999999998</c:v>
                </c:pt>
                <c:pt idx="100">
                  <c:v>0.42370000000000002</c:v>
                </c:pt>
                <c:pt idx="101" formatCode="0.00000">
                  <c:v>0.434</c:v>
                </c:pt>
                <c:pt idx="102" formatCode="0.00000">
                  <c:v>0.44900000000000001</c:v>
                </c:pt>
                <c:pt idx="103" formatCode="0.00000">
                  <c:v>0.45</c:v>
                </c:pt>
                <c:pt idx="104">
                  <c:v>0.45250000000000001</c:v>
                </c:pt>
                <c:pt idx="105" formatCode="0.00000">
                  <c:v>0.45300000000000001</c:v>
                </c:pt>
                <c:pt idx="106" formatCode="0.00000">
                  <c:v>0.45600000000000002</c:v>
                </c:pt>
                <c:pt idx="107">
                  <c:v>0.47299999999999998</c:v>
                </c:pt>
                <c:pt idx="108">
                  <c:v>0.48899999999999999</c:v>
                </c:pt>
                <c:pt idx="109" formatCode="0.00000">
                  <c:v>0.504</c:v>
                </c:pt>
                <c:pt idx="110">
                  <c:v>0.51100000000000001</c:v>
                </c:pt>
                <c:pt idx="111">
                  <c:v>0.51300000000000001</c:v>
                </c:pt>
                <c:pt idx="112">
                  <c:v>0.52</c:v>
                </c:pt>
                <c:pt idx="113">
                  <c:v>0.52621000000000007</c:v>
                </c:pt>
                <c:pt idx="114">
                  <c:v>0.53227000000000002</c:v>
                </c:pt>
                <c:pt idx="115">
                  <c:v>0.54239999999999999</c:v>
                </c:pt>
                <c:pt idx="116">
                  <c:v>0.55100000000000005</c:v>
                </c:pt>
                <c:pt idx="117">
                  <c:v>0.55300000000000005</c:v>
                </c:pt>
                <c:pt idx="118" formatCode="0.00000">
                  <c:v>0.56000000000000005</c:v>
                </c:pt>
                <c:pt idx="119" formatCode="0.00000">
                  <c:v>0.56599999999999995</c:v>
                </c:pt>
                <c:pt idx="120">
                  <c:v>0.56599999999999995</c:v>
                </c:pt>
                <c:pt idx="121" formatCode="0.00000">
                  <c:v>0.59299999999999997</c:v>
                </c:pt>
                <c:pt idx="122">
                  <c:v>0.624</c:v>
                </c:pt>
                <c:pt idx="123" formatCode="General">
                  <c:v>0.74</c:v>
                </c:pt>
                <c:pt idx="124">
                  <c:v>0.91500000000000004</c:v>
                </c:pt>
                <c:pt idx="125">
                  <c:v>0.98399999999999999</c:v>
                </c:pt>
                <c:pt idx="126">
                  <c:v>1.107</c:v>
                </c:pt>
                <c:pt idx="127" formatCode="0.00000">
                  <c:v>1.1719999999999999</c:v>
                </c:pt>
              </c:numCache>
            </c:numRef>
          </c:xVal>
          <c:yVal>
            <c:numRef>
              <c:f>Muob_Check!$O$20:$O$173</c:f>
              <c:numCache>
                <c:formatCode>0.00E+00</c:formatCode>
                <c:ptCount val="154"/>
                <c:pt idx="0">
                  <c:v>5.5984149090435309E-2</c:v>
                </c:pt>
                <c:pt idx="1">
                  <c:v>9.3645169349395541E-2</c:v>
                </c:pt>
                <c:pt idx="2">
                  <c:v>9.0366566404043086E-2</c:v>
                </c:pt>
                <c:pt idx="3">
                  <c:v>0.11491731942897374</c:v>
                </c:pt>
                <c:pt idx="4">
                  <c:v>0.13934844726442519</c:v>
                </c:pt>
                <c:pt idx="5">
                  <c:v>0.15887356040443926</c:v>
                </c:pt>
                <c:pt idx="6">
                  <c:v>0.15789225948731228</c:v>
                </c:pt>
                <c:pt idx="7">
                  <c:v>9.3174127787070862E-2</c:v>
                </c:pt>
                <c:pt idx="8">
                  <c:v>0.18972100272867359</c:v>
                </c:pt>
                <c:pt idx="9">
                  <c:v>0.22933844215637952</c:v>
                </c:pt>
                <c:pt idx="10">
                  <c:v>0.15051442098633214</c:v>
                </c:pt>
                <c:pt idx="11">
                  <c:v>0.13599724768356566</c:v>
                </c:pt>
                <c:pt idx="12">
                  <c:v>0.17843936801932003</c:v>
                </c:pt>
                <c:pt idx="13">
                  <c:v>0.14493879796050266</c:v>
                </c:pt>
                <c:pt idx="14">
                  <c:v>0.15704193971731362</c:v>
                </c:pt>
                <c:pt idx="15">
                  <c:v>0.19574599001003676</c:v>
                </c:pt>
                <c:pt idx="16">
                  <c:v>0.15954169390604975</c:v>
                </c:pt>
                <c:pt idx="17">
                  <c:v>0.20854055501725002</c:v>
                </c:pt>
                <c:pt idx="18">
                  <c:v>0.21399248800489509</c:v>
                </c:pt>
                <c:pt idx="19">
                  <c:v>0.18514034092163531</c:v>
                </c:pt>
                <c:pt idx="20">
                  <c:v>0.18167768692859246</c:v>
                </c:pt>
                <c:pt idx="21">
                  <c:v>0.21894132868077393</c:v>
                </c:pt>
                <c:pt idx="22">
                  <c:v>0.21924884662385022</c:v>
                </c:pt>
                <c:pt idx="23">
                  <c:v>0.19965837260040198</c:v>
                </c:pt>
                <c:pt idx="24">
                  <c:v>7.1696725301587466E-2</c:v>
                </c:pt>
                <c:pt idx="25">
                  <c:v>0.1760554250599175</c:v>
                </c:pt>
                <c:pt idx="26">
                  <c:v>0.2294222861338748</c:v>
                </c:pt>
                <c:pt idx="27">
                  <c:v>0.19853534776351023</c:v>
                </c:pt>
                <c:pt idx="28">
                  <c:v>0.21529088354128401</c:v>
                </c:pt>
                <c:pt idx="29">
                  <c:v>0.21680433460536766</c:v>
                </c:pt>
                <c:pt idx="30">
                  <c:v>0.19349027599885227</c:v>
                </c:pt>
                <c:pt idx="31">
                  <c:v>0.2442361905387016</c:v>
                </c:pt>
                <c:pt idx="32">
                  <c:v>0.16435259015291723</c:v>
                </c:pt>
                <c:pt idx="33">
                  <c:v>0.23307631888832767</c:v>
                </c:pt>
                <c:pt idx="34">
                  <c:v>0.19627224574602856</c:v>
                </c:pt>
                <c:pt idx="35">
                  <c:v>0.25645092717712636</c:v>
                </c:pt>
                <c:pt idx="36">
                  <c:v>0.20061143069508289</c:v>
                </c:pt>
                <c:pt idx="37">
                  <c:v>0.17837996333094305</c:v>
                </c:pt>
                <c:pt idx="38">
                  <c:v>0.21447933421916912</c:v>
                </c:pt>
                <c:pt idx="39">
                  <c:v>0.22172306673015732</c:v>
                </c:pt>
                <c:pt idx="40">
                  <c:v>0.23086743255256317</c:v>
                </c:pt>
                <c:pt idx="41">
                  <c:v>0.23529985827771108</c:v>
                </c:pt>
                <c:pt idx="42">
                  <c:v>0.26172010421818365</c:v>
                </c:pt>
                <c:pt idx="43">
                  <c:v>0.24891626935590283</c:v>
                </c:pt>
                <c:pt idx="44">
                  <c:v>0.21565517121108438</c:v>
                </c:pt>
                <c:pt idx="45">
                  <c:v>0.27506427578956627</c:v>
                </c:pt>
                <c:pt idx="46">
                  <c:v>0.19997443311322094</c:v>
                </c:pt>
                <c:pt idx="47">
                  <c:v>0.20897986386866238</c:v>
                </c:pt>
                <c:pt idx="48">
                  <c:v>0.26888473311281746</c:v>
                </c:pt>
                <c:pt idx="49">
                  <c:v>0.24888441286976898</c:v>
                </c:pt>
                <c:pt idx="50">
                  <c:v>0.25525913094571889</c:v>
                </c:pt>
                <c:pt idx="51">
                  <c:v>0.21999727964737173</c:v>
                </c:pt>
                <c:pt idx="52">
                  <c:v>0.273955495402609</c:v>
                </c:pt>
                <c:pt idx="53">
                  <c:v>0.31996239818610595</c:v>
                </c:pt>
                <c:pt idx="54">
                  <c:v>0.21552410002297592</c:v>
                </c:pt>
                <c:pt idx="55">
                  <c:v>0.2927979889874503</c:v>
                </c:pt>
                <c:pt idx="56">
                  <c:v>0.22890530975706888</c:v>
                </c:pt>
                <c:pt idx="57">
                  <c:v>0.21442158693934527</c:v>
                </c:pt>
                <c:pt idx="58">
                  <c:v>0.33107078300441872</c:v>
                </c:pt>
                <c:pt idx="59">
                  <c:v>0.20187305950772061</c:v>
                </c:pt>
                <c:pt idx="60">
                  <c:v>0.30604048074616175</c:v>
                </c:pt>
                <c:pt idx="61">
                  <c:v>0.28406757986537423</c:v>
                </c:pt>
                <c:pt idx="62">
                  <c:v>0.32697381081488591</c:v>
                </c:pt>
                <c:pt idx="63">
                  <c:v>0.28636404338741239</c:v>
                </c:pt>
                <c:pt idx="64">
                  <c:v>0.25147982208256936</c:v>
                </c:pt>
                <c:pt idx="65">
                  <c:v>0.43023088854244279</c:v>
                </c:pt>
                <c:pt idx="66">
                  <c:v>0.27838871708521956</c:v>
                </c:pt>
                <c:pt idx="67">
                  <c:v>0.33783597334271886</c:v>
                </c:pt>
                <c:pt idx="68">
                  <c:v>0.34876202993238498</c:v>
                </c:pt>
                <c:pt idx="69">
                  <c:v>0.27536362935733777</c:v>
                </c:pt>
                <c:pt idx="70">
                  <c:v>0.26705058504311285</c:v>
                </c:pt>
                <c:pt idx="71">
                  <c:v>0.27239654530267832</c:v>
                </c:pt>
                <c:pt idx="72">
                  <c:v>0.33793403807766925</c:v>
                </c:pt>
                <c:pt idx="73">
                  <c:v>0.33800083494783839</c:v>
                </c:pt>
                <c:pt idx="74">
                  <c:v>0.35342593160471442</c:v>
                </c:pt>
                <c:pt idx="75">
                  <c:v>0.35488072481708088</c:v>
                </c:pt>
                <c:pt idx="76">
                  <c:v>0.37542788938624694</c:v>
                </c:pt>
                <c:pt idx="77">
                  <c:v>0.30215600551072558</c:v>
                </c:pt>
                <c:pt idx="78">
                  <c:v>0.33582976690027694</c:v>
                </c:pt>
                <c:pt idx="79">
                  <c:v>0.29308190266124828</c:v>
                </c:pt>
                <c:pt idx="80">
                  <c:v>0.30889949545112683</c:v>
                </c:pt>
                <c:pt idx="81">
                  <c:v>0.22553378690997658</c:v>
                </c:pt>
                <c:pt idx="82">
                  <c:v>0.4084416174118265</c:v>
                </c:pt>
                <c:pt idx="83">
                  <c:v>0.39655233190355488</c:v>
                </c:pt>
                <c:pt idx="84">
                  <c:v>0.35878005074380126</c:v>
                </c:pt>
                <c:pt idx="85">
                  <c:v>0.25280771455541334</c:v>
                </c:pt>
                <c:pt idx="86">
                  <c:v>0.32733862682117976</c:v>
                </c:pt>
                <c:pt idx="87">
                  <c:v>0.40701381131370651</c:v>
                </c:pt>
                <c:pt idx="88">
                  <c:v>0.33896405763934595</c:v>
                </c:pt>
                <c:pt idx="89">
                  <c:v>0.35416019119498493</c:v>
                </c:pt>
                <c:pt idx="90">
                  <c:v>0.50450212770578684</c:v>
                </c:pt>
                <c:pt idx="91">
                  <c:v>0.41135416072909459</c:v>
                </c:pt>
                <c:pt idx="92">
                  <c:v>0.47567516829283357</c:v>
                </c:pt>
                <c:pt idx="93">
                  <c:v>0.3132118386960494</c:v>
                </c:pt>
                <c:pt idx="94">
                  <c:v>0.43861997462238567</c:v>
                </c:pt>
                <c:pt idx="95">
                  <c:v>0.34884204382729755</c:v>
                </c:pt>
                <c:pt idx="96">
                  <c:v>0.42296919495938673</c:v>
                </c:pt>
                <c:pt idx="97">
                  <c:v>0.50265519644840628</c:v>
                </c:pt>
                <c:pt idx="98">
                  <c:v>0.43971640249115068</c:v>
                </c:pt>
                <c:pt idx="99">
                  <c:v>0.3889801161661991</c:v>
                </c:pt>
                <c:pt idx="100">
                  <c:v>0.31187480597045619</c:v>
                </c:pt>
                <c:pt idx="101">
                  <c:v>0.31260926949291062</c:v>
                </c:pt>
                <c:pt idx="102">
                  <c:v>0.44704943414907206</c:v>
                </c:pt>
                <c:pt idx="103">
                  <c:v>0.41666266638889288</c:v>
                </c:pt>
                <c:pt idx="104">
                  <c:v>0.32395041662736584</c:v>
                </c:pt>
                <c:pt idx="105">
                  <c:v>0.52552736475350648</c:v>
                </c:pt>
                <c:pt idx="106">
                  <c:v>0.48196419072204993</c:v>
                </c:pt>
                <c:pt idx="107">
                  <c:v>0.42413557220384079</c:v>
                </c:pt>
                <c:pt idx="108">
                  <c:v>0.47695186555995506</c:v>
                </c:pt>
                <c:pt idx="109">
                  <c:v>0.24321882845438497</c:v>
                </c:pt>
                <c:pt idx="110">
                  <c:v>0.46857068976595062</c:v>
                </c:pt>
                <c:pt idx="111">
                  <c:v>0.41987024995562267</c:v>
                </c:pt>
                <c:pt idx="112">
                  <c:v>0.44106426866103043</c:v>
                </c:pt>
                <c:pt idx="113">
                  <c:v>0.41599919058171525</c:v>
                </c:pt>
                <c:pt idx="114">
                  <c:v>0.39655948298274546</c:v>
                </c:pt>
                <c:pt idx="115">
                  <c:v>0.34057612278701532</c:v>
                </c:pt>
                <c:pt idx="116">
                  <c:v>0.50014912427052005</c:v>
                </c:pt>
                <c:pt idx="117">
                  <c:v>0.39810642568548127</c:v>
                </c:pt>
                <c:pt idx="118">
                  <c:v>0.55211972320232006</c:v>
                </c:pt>
                <c:pt idx="119">
                  <c:v>0.9075870970970461</c:v>
                </c:pt>
                <c:pt idx="120">
                  <c:v>0.49387262703627338</c:v>
                </c:pt>
                <c:pt idx="121">
                  <c:v>0.63525884350829687</c:v>
                </c:pt>
                <c:pt idx="122">
                  <c:v>0.48547140975766129</c:v>
                </c:pt>
                <c:pt idx="123">
                  <c:v>0.55716931743611131</c:v>
                </c:pt>
                <c:pt idx="124">
                  <c:v>0.74152459294613438</c:v>
                </c:pt>
                <c:pt idx="125">
                  <c:v>0.70935605083588005</c:v>
                </c:pt>
                <c:pt idx="126">
                  <c:v>0.73435271000809277</c:v>
                </c:pt>
                <c:pt idx="127">
                  <c:v>1.3055929813041502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9-429A-8F2C-C7C19CD4D075}"/>
            </c:ext>
          </c:extLst>
        </c:ser>
        <c:ser>
          <c:idx val="1"/>
          <c:order val="1"/>
          <c:tx>
            <c:v>1:01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Muob_Check!$O$5:$O$6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1</c:v>
                </c:pt>
              </c:numCache>
            </c:numRef>
          </c:xVal>
          <c:yVal>
            <c:numRef>
              <c:f>Muob_Check!$O$5:$O$6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9-429A-8F2C-C7C19CD4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7440"/>
        <c:axId val="184708704"/>
      </c:scatterChart>
      <c:valAx>
        <c:axId val="184717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muo_b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8704"/>
        <c:crossesAt val="1.0000000000000004E-6"/>
        <c:crossBetween val="midCat"/>
      </c:valAx>
      <c:valAx>
        <c:axId val="18470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muo_b</a:t>
                </a:r>
                <a:r>
                  <a:rPr lang="en-US" baseline="0"/>
                  <a:t> </a:t>
                </a:r>
                <a:r>
                  <a:rPr lang="en-US"/>
                  <a:t>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7440"/>
        <c:crossesAt val="1.0000000000000004E-6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Psat_Check!$B$20:$B$173</c:f>
              <c:numCache>
                <c:formatCode>0</c:formatCode>
                <c:ptCount val="154"/>
                <c:pt idx="0">
                  <c:v>3501</c:v>
                </c:pt>
                <c:pt idx="1">
                  <c:v>6415</c:v>
                </c:pt>
                <c:pt idx="2">
                  <c:v>3265</c:v>
                </c:pt>
                <c:pt idx="3">
                  <c:v>5575</c:v>
                </c:pt>
                <c:pt idx="4">
                  <c:v>3415</c:v>
                </c:pt>
                <c:pt idx="5">
                  <c:v>2965</c:v>
                </c:pt>
                <c:pt idx="6">
                  <c:v>4215</c:v>
                </c:pt>
                <c:pt idx="7">
                  <c:v>2915.0250000000001</c:v>
                </c:pt>
                <c:pt idx="8">
                  <c:v>325.02499999999998</c:v>
                </c:pt>
                <c:pt idx="9">
                  <c:v>2515</c:v>
                </c:pt>
                <c:pt idx="10">
                  <c:v>3162</c:v>
                </c:pt>
                <c:pt idx="11">
                  <c:v>2915</c:v>
                </c:pt>
                <c:pt idx="12">
                  <c:v>3981</c:v>
                </c:pt>
                <c:pt idx="13">
                  <c:v>3765.0250000000001</c:v>
                </c:pt>
                <c:pt idx="14">
                  <c:v>4115</c:v>
                </c:pt>
                <c:pt idx="15">
                  <c:v>2115</c:v>
                </c:pt>
                <c:pt idx="16">
                  <c:v>3365</c:v>
                </c:pt>
                <c:pt idx="17">
                  <c:v>2865</c:v>
                </c:pt>
                <c:pt idx="18">
                  <c:v>2835</c:v>
                </c:pt>
                <c:pt idx="19">
                  <c:v>2615</c:v>
                </c:pt>
                <c:pt idx="20">
                  <c:v>2965</c:v>
                </c:pt>
                <c:pt idx="21">
                  <c:v>4280</c:v>
                </c:pt>
                <c:pt idx="22">
                  <c:v>5187</c:v>
                </c:pt>
                <c:pt idx="23">
                  <c:v>4375</c:v>
                </c:pt>
                <c:pt idx="24">
                  <c:v>5183</c:v>
                </c:pt>
                <c:pt idx="25">
                  <c:v>4088</c:v>
                </c:pt>
                <c:pt idx="26">
                  <c:v>4328.6499999999996</c:v>
                </c:pt>
                <c:pt idx="27">
                  <c:v>3565</c:v>
                </c:pt>
                <c:pt idx="28">
                  <c:v>4451</c:v>
                </c:pt>
                <c:pt idx="29">
                  <c:v>3995</c:v>
                </c:pt>
                <c:pt idx="30">
                  <c:v>3955</c:v>
                </c:pt>
                <c:pt idx="31">
                  <c:v>3865</c:v>
                </c:pt>
                <c:pt idx="32">
                  <c:v>4217</c:v>
                </c:pt>
                <c:pt idx="33">
                  <c:v>4145</c:v>
                </c:pt>
                <c:pt idx="34">
                  <c:v>3465</c:v>
                </c:pt>
                <c:pt idx="35">
                  <c:v>2515</c:v>
                </c:pt>
                <c:pt idx="36">
                  <c:v>2215</c:v>
                </c:pt>
                <c:pt idx="37">
                  <c:v>3165</c:v>
                </c:pt>
                <c:pt idx="38">
                  <c:v>5655</c:v>
                </c:pt>
                <c:pt idx="39">
                  <c:v>3865</c:v>
                </c:pt>
                <c:pt idx="40">
                  <c:v>4820</c:v>
                </c:pt>
                <c:pt idx="41">
                  <c:v>3815</c:v>
                </c:pt>
                <c:pt idx="42">
                  <c:v>3565</c:v>
                </c:pt>
                <c:pt idx="43">
                  <c:v>4271</c:v>
                </c:pt>
                <c:pt idx="44">
                  <c:v>5335</c:v>
                </c:pt>
                <c:pt idx="45">
                  <c:v>3615</c:v>
                </c:pt>
                <c:pt idx="46">
                  <c:v>3992</c:v>
                </c:pt>
                <c:pt idx="47">
                  <c:v>3865</c:v>
                </c:pt>
                <c:pt idx="48">
                  <c:v>6058</c:v>
                </c:pt>
                <c:pt idx="49">
                  <c:v>3365</c:v>
                </c:pt>
                <c:pt idx="50">
                  <c:v>2415</c:v>
                </c:pt>
                <c:pt idx="51">
                  <c:v>5435</c:v>
                </c:pt>
                <c:pt idx="52">
                  <c:v>4535</c:v>
                </c:pt>
                <c:pt idx="53">
                  <c:v>4575</c:v>
                </c:pt>
                <c:pt idx="54">
                  <c:v>5238</c:v>
                </c:pt>
                <c:pt idx="55">
                  <c:v>5055</c:v>
                </c:pt>
                <c:pt idx="56">
                  <c:v>5210</c:v>
                </c:pt>
                <c:pt idx="57">
                  <c:v>5019</c:v>
                </c:pt>
                <c:pt idx="58">
                  <c:v>4786</c:v>
                </c:pt>
                <c:pt idx="59">
                  <c:v>5326</c:v>
                </c:pt>
                <c:pt idx="60">
                  <c:v>5217</c:v>
                </c:pt>
                <c:pt idx="61">
                  <c:v>5179</c:v>
                </c:pt>
                <c:pt idx="62">
                  <c:v>4756.0249999999996</c:v>
                </c:pt>
                <c:pt idx="63">
                  <c:v>5249.65</c:v>
                </c:pt>
                <c:pt idx="64">
                  <c:v>4315.0249999999996</c:v>
                </c:pt>
                <c:pt idx="65">
                  <c:v>2965</c:v>
                </c:pt>
                <c:pt idx="66">
                  <c:v>3169.6959999999999</c:v>
                </c:pt>
                <c:pt idx="67">
                  <c:v>4115.0249999999996</c:v>
                </c:pt>
                <c:pt idx="68">
                  <c:v>3005.6959999999999</c:v>
                </c:pt>
                <c:pt idx="69">
                  <c:v>1265.0250000000001</c:v>
                </c:pt>
                <c:pt idx="70">
                  <c:v>5276</c:v>
                </c:pt>
                <c:pt idx="71">
                  <c:v>4925</c:v>
                </c:pt>
                <c:pt idx="72">
                  <c:v>4884</c:v>
                </c:pt>
                <c:pt idx="73">
                  <c:v>3815</c:v>
                </c:pt>
                <c:pt idx="74">
                  <c:v>4374</c:v>
                </c:pt>
                <c:pt idx="75">
                  <c:v>4161</c:v>
                </c:pt>
                <c:pt idx="76">
                  <c:v>5490</c:v>
                </c:pt>
                <c:pt idx="77">
                  <c:v>4633</c:v>
                </c:pt>
                <c:pt idx="78">
                  <c:v>4618</c:v>
                </c:pt>
                <c:pt idx="79">
                  <c:v>4856</c:v>
                </c:pt>
                <c:pt idx="80">
                  <c:v>5098</c:v>
                </c:pt>
                <c:pt idx="81">
                  <c:v>4695</c:v>
                </c:pt>
                <c:pt idx="82">
                  <c:v>3658</c:v>
                </c:pt>
                <c:pt idx="83">
                  <c:v>3515</c:v>
                </c:pt>
                <c:pt idx="84">
                  <c:v>3515</c:v>
                </c:pt>
                <c:pt idx="85">
                  <c:v>4815</c:v>
                </c:pt>
                <c:pt idx="86">
                  <c:v>7295</c:v>
                </c:pt>
                <c:pt idx="87">
                  <c:v>4735</c:v>
                </c:pt>
                <c:pt idx="88">
                  <c:v>2236.6959999999999</c:v>
                </c:pt>
                <c:pt idx="89">
                  <c:v>3314.6959999999999</c:v>
                </c:pt>
                <c:pt idx="90">
                  <c:v>4498</c:v>
                </c:pt>
                <c:pt idx="91">
                  <c:v>3365</c:v>
                </c:pt>
                <c:pt idx="92">
                  <c:v>3955</c:v>
                </c:pt>
                <c:pt idx="93">
                  <c:v>4349</c:v>
                </c:pt>
                <c:pt idx="94">
                  <c:v>3915</c:v>
                </c:pt>
                <c:pt idx="95">
                  <c:v>4133</c:v>
                </c:pt>
                <c:pt idx="96">
                  <c:v>4397</c:v>
                </c:pt>
                <c:pt idx="97" formatCode="General">
                  <c:v>5706</c:v>
                </c:pt>
                <c:pt idx="98" formatCode="General">
                  <c:v>4809</c:v>
                </c:pt>
                <c:pt idx="99" formatCode="General">
                  <c:v>4257</c:v>
                </c:pt>
                <c:pt idx="100" formatCode="General">
                  <c:v>4127</c:v>
                </c:pt>
                <c:pt idx="101" formatCode="General">
                  <c:v>4503</c:v>
                </c:pt>
                <c:pt idx="102" formatCode="General">
                  <c:v>4335</c:v>
                </c:pt>
                <c:pt idx="103">
                  <c:v>2900</c:v>
                </c:pt>
                <c:pt idx="104">
                  <c:v>3584.9960000000001</c:v>
                </c:pt>
                <c:pt idx="105">
                  <c:v>3313</c:v>
                </c:pt>
                <c:pt idx="106">
                  <c:v>2551</c:v>
                </c:pt>
                <c:pt idx="107">
                  <c:v>2528</c:v>
                </c:pt>
                <c:pt idx="108">
                  <c:v>2562</c:v>
                </c:pt>
                <c:pt idx="109">
                  <c:v>1714.9959999999999</c:v>
                </c:pt>
                <c:pt idx="110">
                  <c:v>1614.9959999999999</c:v>
                </c:pt>
                <c:pt idx="111">
                  <c:v>3575</c:v>
                </c:pt>
                <c:pt idx="112">
                  <c:v>3131</c:v>
                </c:pt>
                <c:pt idx="113">
                  <c:v>2992</c:v>
                </c:pt>
                <c:pt idx="114">
                  <c:v>1614.9959999999999</c:v>
                </c:pt>
                <c:pt idx="115" formatCode="General">
                  <c:v>3629</c:v>
                </c:pt>
                <c:pt idx="116">
                  <c:v>2788</c:v>
                </c:pt>
                <c:pt idx="117">
                  <c:v>3482</c:v>
                </c:pt>
                <c:pt idx="118">
                  <c:v>2976</c:v>
                </c:pt>
                <c:pt idx="119">
                  <c:v>2814.6959999999999</c:v>
                </c:pt>
                <c:pt idx="120">
                  <c:v>2364.6959999999999</c:v>
                </c:pt>
                <c:pt idx="121">
                  <c:v>2988</c:v>
                </c:pt>
                <c:pt idx="122">
                  <c:v>2327</c:v>
                </c:pt>
                <c:pt idx="123">
                  <c:v>3841.6959999999999</c:v>
                </c:pt>
                <c:pt idx="124">
                  <c:v>3452</c:v>
                </c:pt>
                <c:pt idx="125">
                  <c:v>2774.6959999999999</c:v>
                </c:pt>
                <c:pt idx="126">
                  <c:v>2737</c:v>
                </c:pt>
                <c:pt idx="127">
                  <c:v>2665</c:v>
                </c:pt>
                <c:pt idx="128">
                  <c:v>2665</c:v>
                </c:pt>
                <c:pt idx="129">
                  <c:v>2765</c:v>
                </c:pt>
                <c:pt idx="130">
                  <c:v>2665</c:v>
                </c:pt>
                <c:pt idx="131">
                  <c:v>2865</c:v>
                </c:pt>
                <c:pt idx="132">
                  <c:v>3265</c:v>
                </c:pt>
                <c:pt idx="133">
                  <c:v>3165</c:v>
                </c:pt>
                <c:pt idx="134">
                  <c:v>3215</c:v>
                </c:pt>
                <c:pt idx="135">
                  <c:v>3259</c:v>
                </c:pt>
                <c:pt idx="136">
                  <c:v>2290</c:v>
                </c:pt>
                <c:pt idx="137">
                  <c:v>3478</c:v>
                </c:pt>
                <c:pt idx="138">
                  <c:v>2656.22</c:v>
                </c:pt>
                <c:pt idx="139">
                  <c:v>2265</c:v>
                </c:pt>
                <c:pt idx="140" formatCode="General">
                  <c:v>3280</c:v>
                </c:pt>
                <c:pt idx="141" formatCode="General">
                  <c:v>3722</c:v>
                </c:pt>
                <c:pt idx="142" formatCode="General">
                  <c:v>3697</c:v>
                </c:pt>
                <c:pt idx="143" formatCode="General">
                  <c:v>3066</c:v>
                </c:pt>
                <c:pt idx="144" formatCode="General">
                  <c:v>2944</c:v>
                </c:pt>
                <c:pt idx="145" formatCode="General">
                  <c:v>2923</c:v>
                </c:pt>
                <c:pt idx="146" formatCode="General">
                  <c:v>3789</c:v>
                </c:pt>
                <c:pt idx="147" formatCode="General">
                  <c:v>2356</c:v>
                </c:pt>
                <c:pt idx="148" formatCode="General">
                  <c:v>2212</c:v>
                </c:pt>
                <c:pt idx="149" formatCode="General">
                  <c:v>3310</c:v>
                </c:pt>
                <c:pt idx="150" formatCode="General">
                  <c:v>3067</c:v>
                </c:pt>
                <c:pt idx="151" formatCode="General">
                  <c:v>3149</c:v>
                </c:pt>
                <c:pt idx="152" formatCode="General">
                  <c:v>3005</c:v>
                </c:pt>
                <c:pt idx="153" formatCode="General">
                  <c:v>3609</c:v>
                </c:pt>
              </c:numCache>
            </c:numRef>
          </c:xVal>
          <c:yVal>
            <c:numRef>
              <c:f>Psat_Check!$O$20:$O$173</c:f>
              <c:numCache>
                <c:formatCode>General</c:formatCode>
                <c:ptCount val="154"/>
                <c:pt idx="0">
                  <c:v>4.9013092338290025E-9</c:v>
                </c:pt>
                <c:pt idx="1">
                  <c:v>1.1383834830489581E-11</c:v>
                </c:pt>
                <c:pt idx="2">
                  <c:v>1.4305456632567277E-8</c:v>
                </c:pt>
                <c:pt idx="3">
                  <c:v>2.7269244830604708E-14</c:v>
                </c:pt>
                <c:pt idx="4">
                  <c:v>4.5449370548240852E-9</c:v>
                </c:pt>
                <c:pt idx="5">
                  <c:v>1.6036692126307304E-8</c:v>
                </c:pt>
                <c:pt idx="6">
                  <c:v>4.32032059805943E-10</c:v>
                </c:pt>
                <c:pt idx="7">
                  <c:v>3.7304134221280802E-9</c:v>
                </c:pt>
                <c:pt idx="8">
                  <c:v>4.5571048263288148E-8</c:v>
                </c:pt>
                <c:pt idx="9">
                  <c:v>2.7759178982011751E-8</c:v>
                </c:pt>
                <c:pt idx="10">
                  <c:v>5.0818723371859568E-9</c:v>
                </c:pt>
                <c:pt idx="11">
                  <c:v>1.0133555260178475E-8</c:v>
                </c:pt>
                <c:pt idx="12">
                  <c:v>1.5601561915494151E-9</c:v>
                </c:pt>
                <c:pt idx="13">
                  <c:v>1.0317092741419817E-8</c:v>
                </c:pt>
                <c:pt idx="14">
                  <c:v>9.5214516770154514E-10</c:v>
                </c:pt>
                <c:pt idx="15">
                  <c:v>3.9589505696528954E-8</c:v>
                </c:pt>
                <c:pt idx="16">
                  <c:v>3.5397363151855534E-9</c:v>
                </c:pt>
                <c:pt idx="17">
                  <c:v>5.6133330549473563E-9</c:v>
                </c:pt>
                <c:pt idx="18">
                  <c:v>7.2407865738333043E-9</c:v>
                </c:pt>
                <c:pt idx="19">
                  <c:v>3.2627626495473616E-8</c:v>
                </c:pt>
                <c:pt idx="20">
                  <c:v>1.1283367621083059E-8</c:v>
                </c:pt>
                <c:pt idx="21">
                  <c:v>1.4452995485861798E-9</c:v>
                </c:pt>
                <c:pt idx="22">
                  <c:v>4.162715808368815E-13</c:v>
                </c:pt>
                <c:pt idx="23">
                  <c:v>2.3374191530850266E-10</c:v>
                </c:pt>
                <c:pt idx="24">
                  <c:v>3.4476963380773493E-12</c:v>
                </c:pt>
                <c:pt idx="25">
                  <c:v>2.6380580285400286E-10</c:v>
                </c:pt>
                <c:pt idx="26">
                  <c:v>1.381714790923793E-10</c:v>
                </c:pt>
                <c:pt idx="27">
                  <c:v>9.1818883706866703E-10</c:v>
                </c:pt>
                <c:pt idx="28">
                  <c:v>1.9016010846953334E-11</c:v>
                </c:pt>
                <c:pt idx="29">
                  <c:v>2.7915406321948399E-10</c:v>
                </c:pt>
                <c:pt idx="30">
                  <c:v>3.4047291457717052E-10</c:v>
                </c:pt>
                <c:pt idx="31">
                  <c:v>3.4825088018429471E-10</c:v>
                </c:pt>
                <c:pt idx="32">
                  <c:v>1.5650672048255662E-10</c:v>
                </c:pt>
                <c:pt idx="33">
                  <c:v>4.7982244825452499E-10</c:v>
                </c:pt>
                <c:pt idx="34">
                  <c:v>2.1453081618295084E-9</c:v>
                </c:pt>
                <c:pt idx="35">
                  <c:v>2.5440918300506464E-8</c:v>
                </c:pt>
                <c:pt idx="36">
                  <c:v>3.9628114490771372E-8</c:v>
                </c:pt>
                <c:pt idx="37">
                  <c:v>5.1404633386637657E-9</c:v>
                </c:pt>
                <c:pt idx="38">
                  <c:v>5.023888657138526E-11</c:v>
                </c:pt>
                <c:pt idx="39">
                  <c:v>4.809296046138684E-9</c:v>
                </c:pt>
                <c:pt idx="40">
                  <c:v>1.5119472177303339E-13</c:v>
                </c:pt>
                <c:pt idx="41">
                  <c:v>1.7178198104933993E-9</c:v>
                </c:pt>
                <c:pt idx="42">
                  <c:v>4.2970150926299947E-9</c:v>
                </c:pt>
                <c:pt idx="43">
                  <c:v>1.6757350740218978E-10</c:v>
                </c:pt>
                <c:pt idx="44">
                  <c:v>1.0379810924019771E-15</c:v>
                </c:pt>
                <c:pt idx="45">
                  <c:v>1.5567193720553785E-9</c:v>
                </c:pt>
                <c:pt idx="46">
                  <c:v>1.7072372531373738E-9</c:v>
                </c:pt>
                <c:pt idx="47">
                  <c:v>1.7478875278485179E-9</c:v>
                </c:pt>
                <c:pt idx="48">
                  <c:v>8.6400886669219671E-15</c:v>
                </c:pt>
                <c:pt idx="49">
                  <c:v>9.3238771838660583E-10</c:v>
                </c:pt>
                <c:pt idx="50">
                  <c:v>1.5339608422452711E-8</c:v>
                </c:pt>
                <c:pt idx="51">
                  <c:v>2.8907657765165025E-14</c:v>
                </c:pt>
                <c:pt idx="52">
                  <c:v>6.1376234350546544E-10</c:v>
                </c:pt>
                <c:pt idx="53">
                  <c:v>5.958948641333834E-10</c:v>
                </c:pt>
                <c:pt idx="54">
                  <c:v>1.3673124199468146E-11</c:v>
                </c:pt>
                <c:pt idx="55">
                  <c:v>2.5922292627492835E-11</c:v>
                </c:pt>
                <c:pt idx="56">
                  <c:v>1.0754768149236688E-16</c:v>
                </c:pt>
                <c:pt idx="57">
                  <c:v>2.249847304625934E-11</c:v>
                </c:pt>
                <c:pt idx="58">
                  <c:v>7.6553862723633319E-11</c:v>
                </c:pt>
                <c:pt idx="59">
                  <c:v>2.5692567725452885E-13</c:v>
                </c:pt>
                <c:pt idx="60">
                  <c:v>6.4216067650915329E-12</c:v>
                </c:pt>
                <c:pt idx="61">
                  <c:v>4.5200521785158546E-15</c:v>
                </c:pt>
                <c:pt idx="62">
                  <c:v>1.5664064495538567E-10</c:v>
                </c:pt>
                <c:pt idx="63">
                  <c:v>1.925482477955914E-9</c:v>
                </c:pt>
                <c:pt idx="64">
                  <c:v>2.7682861186898769E-9</c:v>
                </c:pt>
                <c:pt idx="65">
                  <c:v>6.8342056084301752E-9</c:v>
                </c:pt>
                <c:pt idx="66">
                  <c:v>5.7974211455115749E-9</c:v>
                </c:pt>
                <c:pt idx="67">
                  <c:v>6.1658955806260181E-10</c:v>
                </c:pt>
                <c:pt idx="68">
                  <c:v>3.1887550454202899E-9</c:v>
                </c:pt>
                <c:pt idx="69">
                  <c:v>8.3827960308485481E-6</c:v>
                </c:pt>
                <c:pt idx="70">
                  <c:v>3.6547651746112558E-15</c:v>
                </c:pt>
                <c:pt idx="71">
                  <c:v>1.0331524716902085E-11</c:v>
                </c:pt>
                <c:pt idx="72">
                  <c:v>2.2728160547567552E-12</c:v>
                </c:pt>
                <c:pt idx="73">
                  <c:v>5.3743149534344152E-9</c:v>
                </c:pt>
                <c:pt idx="74">
                  <c:v>3.8725363295431037E-10</c:v>
                </c:pt>
                <c:pt idx="75">
                  <c:v>5.8082318754014685E-10</c:v>
                </c:pt>
                <c:pt idx="76">
                  <c:v>2.0387009637119807E-12</c:v>
                </c:pt>
                <c:pt idx="77">
                  <c:v>6.1743701181309409E-10</c:v>
                </c:pt>
                <c:pt idx="78">
                  <c:v>5.8625549092170181E-11</c:v>
                </c:pt>
                <c:pt idx="79">
                  <c:v>9.2336812269775059E-12</c:v>
                </c:pt>
                <c:pt idx="80">
                  <c:v>1.6715690328869806E-16</c:v>
                </c:pt>
                <c:pt idx="81">
                  <c:v>3.2087203599183819E-18</c:v>
                </c:pt>
                <c:pt idx="82">
                  <c:v>1.9033181823766249E-9</c:v>
                </c:pt>
                <c:pt idx="83">
                  <c:v>6.8949734401689862E-9</c:v>
                </c:pt>
                <c:pt idx="84">
                  <c:v>2.5424068771270477E-8</c:v>
                </c:pt>
                <c:pt idx="85">
                  <c:v>3.8768410867617232E-11</c:v>
                </c:pt>
                <c:pt idx="86">
                  <c:v>1.953351642077919E-18</c:v>
                </c:pt>
                <c:pt idx="87">
                  <c:v>8.1854229573272702E-11</c:v>
                </c:pt>
                <c:pt idx="88">
                  <c:v>1.3374773823793245E-8</c:v>
                </c:pt>
                <c:pt idx="89">
                  <c:v>2.0172560408585457E-8</c:v>
                </c:pt>
                <c:pt idx="90">
                  <c:v>5.4323201210404607E-11</c:v>
                </c:pt>
                <c:pt idx="91">
                  <c:v>6.8632297003717759E-9</c:v>
                </c:pt>
                <c:pt idx="92">
                  <c:v>1.19368810282404E-9</c:v>
                </c:pt>
                <c:pt idx="93">
                  <c:v>7.4718012628734857E-11</c:v>
                </c:pt>
                <c:pt idx="94">
                  <c:v>8.8374908753452641E-10</c:v>
                </c:pt>
                <c:pt idx="95">
                  <c:v>4.7486853584189835E-10</c:v>
                </c:pt>
                <c:pt idx="96">
                  <c:v>5.5050974719574369E-10</c:v>
                </c:pt>
                <c:pt idx="97">
                  <c:v>2.0906941110321603E-15</c:v>
                </c:pt>
                <c:pt idx="98">
                  <c:v>2.0956511640277082E-12</c:v>
                </c:pt>
                <c:pt idx="99">
                  <c:v>2.1359915068573408E-10</c:v>
                </c:pt>
                <c:pt idx="100">
                  <c:v>6.3342366665756413E-10</c:v>
                </c:pt>
                <c:pt idx="101">
                  <c:v>2.9721287277726466E-10</c:v>
                </c:pt>
                <c:pt idx="102">
                  <c:v>9.6342236577214579E-11</c:v>
                </c:pt>
                <c:pt idx="103">
                  <c:v>2.546725806708344E-9</c:v>
                </c:pt>
                <c:pt idx="104">
                  <c:v>4.2401023297962093E-9</c:v>
                </c:pt>
                <c:pt idx="105">
                  <c:v>4.3779763732886095E-9</c:v>
                </c:pt>
                <c:pt idx="106">
                  <c:v>1.3972325520619006E-8</c:v>
                </c:pt>
                <c:pt idx="107">
                  <c:v>1.2073416514160232E-8</c:v>
                </c:pt>
                <c:pt idx="108">
                  <c:v>2.9214674210669901E-8</c:v>
                </c:pt>
                <c:pt idx="109">
                  <c:v>1.2752783540723641E-7</c:v>
                </c:pt>
                <c:pt idx="110">
                  <c:v>1.6520443110665008E-7</c:v>
                </c:pt>
                <c:pt idx="111">
                  <c:v>3.534990005224323E-9</c:v>
                </c:pt>
                <c:pt idx="112">
                  <c:v>1.3141199230035478E-8</c:v>
                </c:pt>
                <c:pt idx="113">
                  <c:v>9.6036143128799307E-9</c:v>
                </c:pt>
                <c:pt idx="114">
                  <c:v>1.7777196853771396E-7</c:v>
                </c:pt>
                <c:pt idx="115">
                  <c:v>3.1259426985372912E-9</c:v>
                </c:pt>
                <c:pt idx="116">
                  <c:v>2.1231941507544821E-8</c:v>
                </c:pt>
                <c:pt idx="117">
                  <c:v>3.4001105448937942E-9</c:v>
                </c:pt>
                <c:pt idx="118">
                  <c:v>1.5599299912334392E-8</c:v>
                </c:pt>
                <c:pt idx="119">
                  <c:v>5.3100650314260878E-8</c:v>
                </c:pt>
                <c:pt idx="120">
                  <c:v>6.7943443788328608E-8</c:v>
                </c:pt>
                <c:pt idx="121">
                  <c:v>1.1411492806544051E-8</c:v>
                </c:pt>
                <c:pt idx="122">
                  <c:v>5.4712806489372093E-8</c:v>
                </c:pt>
                <c:pt idx="123">
                  <c:v>7.1107499324045689E-10</c:v>
                </c:pt>
                <c:pt idx="124">
                  <c:v>7.5589260595042478E-9</c:v>
                </c:pt>
                <c:pt idx="125">
                  <c:v>2.3709392861793396E-8</c:v>
                </c:pt>
                <c:pt idx="126">
                  <c:v>3.1031417076483534E-8</c:v>
                </c:pt>
                <c:pt idx="127">
                  <c:v>5.1809982391010783E-8</c:v>
                </c:pt>
                <c:pt idx="128">
                  <c:v>1.6856669491504179E-8</c:v>
                </c:pt>
                <c:pt idx="129">
                  <c:v>9.9790727865130596E-9</c:v>
                </c:pt>
                <c:pt idx="130">
                  <c:v>2.3034707834585049E-10</c:v>
                </c:pt>
                <c:pt idx="131">
                  <c:v>6.6394251189377118E-9</c:v>
                </c:pt>
                <c:pt idx="132">
                  <c:v>6.6838643818888698E-10</c:v>
                </c:pt>
                <c:pt idx="133">
                  <c:v>4.8379544744070728E-9</c:v>
                </c:pt>
                <c:pt idx="134">
                  <c:v>7.5932806243253019E-10</c:v>
                </c:pt>
                <c:pt idx="135">
                  <c:v>1.2744080724503485E-9</c:v>
                </c:pt>
                <c:pt idx="136">
                  <c:v>6.4437124778160266E-9</c:v>
                </c:pt>
                <c:pt idx="137">
                  <c:v>1.6158117223594407E-9</c:v>
                </c:pt>
                <c:pt idx="138">
                  <c:v>5.1155320406774196E-9</c:v>
                </c:pt>
                <c:pt idx="139">
                  <c:v>1.804256685924144E-8</c:v>
                </c:pt>
                <c:pt idx="140">
                  <c:v>3.1916685141831382E-8</c:v>
                </c:pt>
                <c:pt idx="141">
                  <c:v>5.15011804737851E-10</c:v>
                </c:pt>
                <c:pt idx="142">
                  <c:v>4.2163154998847892E-10</c:v>
                </c:pt>
                <c:pt idx="143">
                  <c:v>8.6022884395105657E-9</c:v>
                </c:pt>
                <c:pt idx="144">
                  <c:v>9.0768817551028064E-9</c:v>
                </c:pt>
                <c:pt idx="145">
                  <c:v>2.2229944900880383E-8</c:v>
                </c:pt>
                <c:pt idx="146">
                  <c:v>4.1238861148013835E-10</c:v>
                </c:pt>
                <c:pt idx="147">
                  <c:v>1.2170142046018789E-8</c:v>
                </c:pt>
                <c:pt idx="148">
                  <c:v>2.9636358708667726E-8</c:v>
                </c:pt>
                <c:pt idx="149">
                  <c:v>2.8595574819140596E-8</c:v>
                </c:pt>
                <c:pt idx="150">
                  <c:v>1.3699079628869971E-8</c:v>
                </c:pt>
                <c:pt idx="151">
                  <c:v>2.0799020491469228E-8</c:v>
                </c:pt>
                <c:pt idx="152">
                  <c:v>3.3969377002868863E-8</c:v>
                </c:pt>
                <c:pt idx="153">
                  <c:v>2.2423249903173485E-10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4-4147-BF9C-3E4AF265CDFE}"/>
            </c:ext>
          </c:extLst>
        </c:ser>
        <c:ser>
          <c:idx val="1"/>
          <c:order val="1"/>
          <c:tx>
            <c:v>1:01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Psat_Check!$O$5:$O$6</c:f>
              <c:numCache>
                <c:formatCode>General</c:formatCode>
                <c:ptCount val="2"/>
                <c:pt idx="0" formatCode="0.00E+00">
                  <c:v>100</c:v>
                </c:pt>
                <c:pt idx="1">
                  <c:v>100000</c:v>
                </c:pt>
              </c:numCache>
            </c:numRef>
          </c:xVal>
          <c:yVal>
            <c:numRef>
              <c:f>Psat_Check!$O$5:$O$6</c:f>
              <c:numCache>
                <c:formatCode>General</c:formatCode>
                <c:ptCount val="2"/>
                <c:pt idx="0" formatCode="0.00E+00">
                  <c:v>100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4-4147-BF9C-3E4AF265C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7440"/>
        <c:axId val="184708704"/>
      </c:scatterChart>
      <c:valAx>
        <c:axId val="184717440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c_ob (1/psi)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8704"/>
        <c:crossesAt val="1.0000000000000004E-6"/>
        <c:crossBetween val="midCat"/>
      </c:valAx>
      <c:valAx>
        <c:axId val="184708704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c_ob (1/psi)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7440"/>
        <c:crossesAt val="1.0000000000000004E-6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2743AB-7373-4633-87C0-681026401255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61716D-CBF3-4532-9E5B-B39A3B3C9E81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3.png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chart" Target="../charts/chart13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6C213-253D-94BC-0F96-7761B31021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0.24867</cdr:x>
      <cdr:y>0.13368</cdr:y>
    </cdr:from>
    <cdr:to>
      <cdr:x>0.63488</cdr:x>
      <cdr:y>0.2506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C7709D-C483-FFDB-9045-B5EAFB7D2B65}"/>
            </a:ext>
          </a:extLst>
        </cdr:cNvPr>
        <cdr:cNvSpPr txBox="1"/>
      </cdr:nvSpPr>
      <cdr:spPr>
        <a:xfrm xmlns:a="http://schemas.openxmlformats.org/drawingml/2006/main">
          <a:off x="1690008" y="594633"/>
          <a:ext cx="2624666" cy="520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Bubble Size Scales with </a:t>
          </a:r>
          <a:r>
            <a:rPr lang="en-US" sz="1600" i="1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600" i="1" baseline="-25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sb</a:t>
          </a:r>
          <a:endParaRPr lang="en-US" sz="1600" i="1" baseline="-25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0.75568</cdr:x>
      <cdr:y>0.68361</cdr:y>
    </cdr:from>
    <cdr:to>
      <cdr:x>0.92697</cdr:x>
      <cdr:y>0.79544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B4FA98-5B2C-43B8-9E3E-2CD64E953A49}"/>
            </a:ext>
          </a:extLst>
        </cdr:cNvPr>
        <cdr:cNvSpPr txBox="1"/>
      </cdr:nvSpPr>
      <cdr:spPr>
        <a:xfrm xmlns:a="http://schemas.openxmlformats.org/drawingml/2006/main">
          <a:off x="5128039" y="3040822"/>
          <a:ext cx="1162327" cy="497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effectLst/>
            </a:rPr>
            <a:t>Condensates</a:t>
          </a:r>
        </a:p>
        <a:p xmlns:a="http://schemas.openxmlformats.org/drawingml/2006/main">
          <a:pPr algn="ctr"/>
          <a:r>
            <a:rPr lang="en-US" sz="1400" b="0">
              <a:effectLst/>
            </a:rPr>
            <a:t>(</a:t>
          </a:r>
          <a:r>
            <a:rPr lang="en-US" sz="1400" b="0" i="1">
              <a:effectLst/>
            </a:rPr>
            <a:t>n</a:t>
          </a:r>
          <a:r>
            <a:rPr lang="en-US" sz="1400" b="0">
              <a:effectLst/>
            </a:rPr>
            <a:t> = 24)</a:t>
          </a:r>
          <a:endParaRPr lang="en-US" sz="1200" b="0" i="1" baseline="-250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3D5D9-BB32-50DB-7288-2CB49EB50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2103438</xdr:colOff>
      <xdr:row>5</xdr:row>
      <xdr:rowOff>123293</xdr:rowOff>
    </xdr:from>
    <xdr:to>
      <xdr:col>20</xdr:col>
      <xdr:colOff>15877</xdr:colOff>
      <xdr:row>29</xdr:row>
      <xdr:rowOff>179917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C52BA-995A-40E4-3227-C4B1B1B7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</xdr:colOff>
      <xdr:row>6</xdr:row>
      <xdr:rowOff>42333</xdr:rowOff>
    </xdr:from>
    <xdr:to>
      <xdr:col>28</xdr:col>
      <xdr:colOff>272522</xdr:colOff>
      <xdr:row>30</xdr:row>
      <xdr:rowOff>98957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60AF4-D86B-4336-8F4B-659CC9A58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278344</xdr:colOff>
      <xdr:row>7</xdr:row>
      <xdr:rowOff>38250</xdr:rowOff>
    </xdr:from>
    <xdr:to>
      <xdr:col>24</xdr:col>
      <xdr:colOff>257175</xdr:colOff>
      <xdr:row>21</xdr:row>
      <xdr:rowOff>24190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0468B-DB91-418F-BDEB-77972952C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413812</xdr:colOff>
      <xdr:row>21</xdr:row>
      <xdr:rowOff>17991</xdr:rowOff>
    </xdr:from>
    <xdr:to>
      <xdr:col>24</xdr:col>
      <xdr:colOff>497578</xdr:colOff>
      <xdr:row>54</xdr:row>
      <xdr:rowOff>26431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F42F47-9E99-AEE4-0B1B-673A965F4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24837" y="5456766"/>
          <a:ext cx="5465391" cy="6609265"/>
        </a:xfrm>
        <a:prstGeom prst="rect">
          <a:avLst/>
        </a:prstGeom>
      </xdr:spPr>
    </xdr:pic>
    <xdr:clientData/>
  </xdr:twoCellAnchor>
  <xdr:twoCellAnchor>
    <xdr:from>
      <xdr:col>17</xdr:col>
      <xdr:colOff>371475</xdr:colOff>
      <xdr:row>23</xdr:row>
      <xdr:rowOff>133348</xdr:rowOff>
    </xdr:from>
    <xdr:to>
      <xdr:col>24</xdr:col>
      <xdr:colOff>66675</xdr:colOff>
      <xdr:row>48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E4805-FA19-4630-BB22-6BF50CDDD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</xdr:colOff>
      <xdr:row>5</xdr:row>
      <xdr:rowOff>181125</xdr:rowOff>
    </xdr:from>
    <xdr:to>
      <xdr:col>23</xdr:col>
      <xdr:colOff>592667</xdr:colOff>
      <xdr:row>19</xdr:row>
      <xdr:rowOff>193523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819BF-BAE5-4CAD-A60D-547C01628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399588</xdr:colOff>
      <xdr:row>20</xdr:row>
      <xdr:rowOff>169333</xdr:rowOff>
    </xdr:from>
    <xdr:to>
      <xdr:col>25</xdr:col>
      <xdr:colOff>588606</xdr:colOff>
      <xdr:row>62</xdr:row>
      <xdr:rowOff>55011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F63094-D1BA-2D5D-4B3D-DDB67C084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1338" y="5408083"/>
          <a:ext cx="6824768" cy="8331178"/>
        </a:xfrm>
        <a:prstGeom prst="rect">
          <a:avLst/>
        </a:prstGeom>
      </xdr:spPr>
    </xdr:pic>
    <xdr:clientData/>
  </xdr:twoCellAnchor>
  <xdr:twoCellAnchor>
    <xdr:from>
      <xdr:col>16</xdr:col>
      <xdr:colOff>571499</xdr:colOff>
      <xdr:row>24</xdr:row>
      <xdr:rowOff>74082</xdr:rowOff>
    </xdr:from>
    <xdr:to>
      <xdr:col>25</xdr:col>
      <xdr:colOff>95249</xdr:colOff>
      <xdr:row>54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96FF40-3592-40BC-A742-F700013C7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518585</xdr:colOff>
      <xdr:row>13</xdr:row>
      <xdr:rowOff>107041</xdr:rowOff>
    </xdr:from>
    <xdr:to>
      <xdr:col>25</xdr:col>
      <xdr:colOff>497417</xdr:colOff>
      <xdr:row>27</xdr:row>
      <xdr:rowOff>34773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EE575-8E3B-4B09-A00E-7F5991276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229552</xdr:colOff>
      <xdr:row>27</xdr:row>
      <xdr:rowOff>63500</xdr:rowOff>
    </xdr:from>
    <xdr:to>
      <xdr:col>25</xdr:col>
      <xdr:colOff>306915</xdr:colOff>
      <xdr:row>52</xdr:row>
      <xdr:rowOff>92443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75559C-A478-4D3A-A39C-09EDCA015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0577" y="6702425"/>
          <a:ext cx="4849388" cy="50295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349252</xdr:colOff>
      <xdr:row>15</xdr:row>
      <xdr:rowOff>32958</xdr:rowOff>
    </xdr:from>
    <xdr:to>
      <xdr:col>23</xdr:col>
      <xdr:colOff>328084</xdr:colOff>
      <xdr:row>28</xdr:row>
      <xdr:rowOff>140606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4092D-7850-254C-C471-FCF7BECBC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229552</xdr:colOff>
      <xdr:row>27</xdr:row>
      <xdr:rowOff>63500</xdr:rowOff>
    </xdr:from>
    <xdr:to>
      <xdr:col>23</xdr:col>
      <xdr:colOff>306915</xdr:colOff>
      <xdr:row>52</xdr:row>
      <xdr:rowOff>92443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828626-65D4-E6D3-287E-7FE789A0A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7219" y="6709833"/>
          <a:ext cx="4871613" cy="5056027"/>
        </a:xfrm>
        <a:prstGeom prst="rect">
          <a:avLst/>
        </a:prstGeom>
      </xdr:spPr>
    </xdr:pic>
    <xdr:clientData/>
  </xdr:twoCellAnchor>
  <xdr:twoCellAnchor>
    <xdr:from>
      <xdr:col>16</xdr:col>
      <xdr:colOff>349251</xdr:colOff>
      <xdr:row>29</xdr:row>
      <xdr:rowOff>137581</xdr:rowOff>
    </xdr:from>
    <xdr:to>
      <xdr:col>23</xdr:col>
      <xdr:colOff>328084</xdr:colOff>
      <xdr:row>53</xdr:row>
      <xdr:rowOff>52916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4B4ED7-262E-4783-99CB-4778A4F64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187479</xdr:colOff>
      <xdr:row>25</xdr:row>
      <xdr:rowOff>21167</xdr:rowOff>
    </xdr:from>
    <xdr:to>
      <xdr:col>24</xdr:col>
      <xdr:colOff>232941</xdr:colOff>
      <xdr:row>48</xdr:row>
      <xdr:rowOff>90133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A2F4549-2A71-88A1-2F32-E7EF0720F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5349" y="4783667"/>
          <a:ext cx="6787505" cy="4450466"/>
        </a:xfrm>
        <a:prstGeom prst="rect">
          <a:avLst/>
        </a:prstGeom>
      </xdr:spPr>
    </xdr:pic>
    <xdr:clientData/>
  </xdr:twoCellAnchor>
  <xdr:twoCellAnchor editAs="oneCell">
    <xdr:from>
      <xdr:col>4</xdr:col>
      <xdr:colOff>129269</xdr:colOff>
      <xdr:row>25</xdr:row>
      <xdr:rowOff>21167</xdr:rowOff>
    </xdr:from>
    <xdr:to>
      <xdr:col>15</xdr:col>
      <xdr:colOff>174731</xdr:colOff>
      <xdr:row>48</xdr:row>
      <xdr:rowOff>90133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4DA1A1E-5D4E-8A57-37C5-6B2ACDA57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0921" y="4783667"/>
          <a:ext cx="6787506" cy="4450466"/>
        </a:xfrm>
        <a:prstGeom prst="rect">
          <a:avLst/>
        </a:prstGeom>
      </xdr:spPr>
    </xdr:pic>
    <xdr:clientData/>
  </xdr:twoCellAnchor>
  <xdr:twoCellAnchor>
    <xdr:from>
      <xdr:col>3</xdr:col>
      <xdr:colOff>32776</xdr:colOff>
      <xdr:row>0</xdr:row>
      <xdr:rowOff>83951</xdr:rowOff>
    </xdr:from>
    <xdr:to>
      <xdr:col>14</xdr:col>
      <xdr:colOff>76697</xdr:colOff>
      <xdr:row>23</xdr:row>
      <xdr:rowOff>150626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76EC1-9BEC-4A70-A0AF-AABF1DDEE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248859</xdr:colOff>
      <xdr:row>53</xdr:row>
      <xdr:rowOff>101297</xdr:rowOff>
    </xdr:from>
    <xdr:to>
      <xdr:col>11</xdr:col>
      <xdr:colOff>304309</xdr:colOff>
      <xdr:row>76</xdr:row>
      <xdr:rowOff>176359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30F346-4F9A-1661-AA54-0B3D48248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8859" y="10197797"/>
          <a:ext cx="6807617" cy="4456562"/>
        </a:xfrm>
        <a:prstGeom prst="rect">
          <a:avLst/>
        </a:prstGeom>
      </xdr:spPr>
    </xdr:pic>
    <xdr:clientData/>
  </xdr:twoCellAnchor>
  <xdr:twoCellAnchor editAs="oneCell">
    <xdr:from>
      <xdr:col>13</xdr:col>
      <xdr:colOff>317653</xdr:colOff>
      <xdr:row>54</xdr:row>
      <xdr:rowOff>106287</xdr:rowOff>
    </xdr:from>
    <xdr:to>
      <xdr:col>24</xdr:col>
      <xdr:colOff>373101</xdr:colOff>
      <xdr:row>77</xdr:row>
      <xdr:rowOff>187446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7D135B-9557-72C9-D71F-5F4BC7325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97486" y="10393287"/>
          <a:ext cx="6807615" cy="4462659"/>
        </a:xfrm>
        <a:prstGeom prst="rect">
          <a:avLst/>
        </a:prstGeom>
      </xdr:spPr>
    </xdr:pic>
    <xdr:clientData/>
  </xdr:twoCellAnchor>
  <xdr:twoCellAnchor>
    <xdr:from>
      <xdr:col>13</xdr:col>
      <xdr:colOff>95250</xdr:colOff>
      <xdr:row>40</xdr:row>
      <xdr:rowOff>84666</xdr:rowOff>
    </xdr:from>
    <xdr:to>
      <xdr:col>14</xdr:col>
      <xdr:colOff>465667</xdr:colOff>
      <xdr:row>43</xdr:row>
      <xdr:rowOff>10583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D085F43B-7529-E9A3-69F5-C64A9681270C}"/>
            </a:ext>
          </a:extLst>
        </xdr:cNvPr>
        <xdr:cNvSpPr txBox="1"/>
      </xdr:nvSpPr>
      <xdr:spPr>
        <a:xfrm>
          <a:off x="8075083" y="7704666"/>
          <a:ext cx="984251" cy="49741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effectLst/>
            </a:rPr>
            <a:t>Oil</a:t>
          </a:r>
        </a:p>
        <a:p>
          <a:pPr algn="ctr"/>
          <a:r>
            <a:rPr lang="en-US" sz="1400" b="0">
              <a:effectLst/>
            </a:rPr>
            <a:t>(</a:t>
          </a:r>
          <a:r>
            <a:rPr lang="en-US" sz="1400" b="0" i="1">
              <a:effectLst/>
            </a:rPr>
            <a:t>n</a:t>
          </a:r>
          <a:r>
            <a:rPr lang="en-US" sz="1400" b="0">
              <a:effectLst/>
            </a:rPr>
            <a:t> = 126)</a:t>
          </a:r>
          <a:endParaRPr lang="en-US" sz="1200" b="0" i="1" baseline="-25000"/>
        </a:p>
      </xdr:txBody>
    </xdr:sp>
    <xdr:clientData/>
  </xdr:twoCellAnchor>
  <xdr:twoCellAnchor>
    <xdr:from>
      <xdr:col>21</xdr:col>
      <xdr:colOff>370418</xdr:colOff>
      <xdr:row>40</xdr:row>
      <xdr:rowOff>31750</xdr:rowOff>
    </xdr:from>
    <xdr:to>
      <xdr:col>23</xdr:col>
      <xdr:colOff>306919</xdr:colOff>
      <xdr:row>42</xdr:row>
      <xdr:rowOff>148167</xdr:rowOff>
    </xdr:to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1EB4FA98-5B2C-43B8-9E3E-2CD64E953A49}"/>
            </a:ext>
          </a:extLst>
        </xdr:cNvPr>
        <xdr:cNvSpPr txBox="1"/>
      </xdr:nvSpPr>
      <xdr:spPr>
        <a:xfrm>
          <a:off x="13260918" y="7651750"/>
          <a:ext cx="1164168" cy="49741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effectLst/>
            </a:rPr>
            <a:t>Condensates</a:t>
          </a:r>
        </a:p>
        <a:p>
          <a:pPr algn="ctr"/>
          <a:r>
            <a:rPr lang="en-US" sz="1400" b="0">
              <a:effectLst/>
            </a:rPr>
            <a:t>(</a:t>
          </a:r>
          <a:r>
            <a:rPr lang="en-US" sz="1400" b="0" i="1">
              <a:effectLst/>
            </a:rPr>
            <a:t>n</a:t>
          </a:r>
          <a:r>
            <a:rPr lang="en-US" sz="1400" b="0">
              <a:effectLst/>
            </a:rPr>
            <a:t> = 24)</a:t>
          </a:r>
          <a:endParaRPr lang="en-US" sz="1200" b="0" i="1" baseline="-25000"/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26</xdr:col>
      <xdr:colOff>43922</xdr:colOff>
      <xdr:row>24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47BBDA-2CDD-4B70-A5CF-F92C68B6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0.24867</cdr:x>
      <cdr:y>0.13368</cdr:y>
    </cdr:from>
    <cdr:to>
      <cdr:x>0.63488</cdr:x>
      <cdr:y>0.2506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C7709D-C483-FFDB-9045-B5EAFB7D2B65}"/>
            </a:ext>
          </a:extLst>
        </cdr:cNvPr>
        <cdr:cNvSpPr txBox="1"/>
      </cdr:nvSpPr>
      <cdr:spPr>
        <a:xfrm xmlns:a="http://schemas.openxmlformats.org/drawingml/2006/main">
          <a:off x="1690008" y="594633"/>
          <a:ext cx="2624666" cy="520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Bubble Size Scales with </a:t>
          </a:r>
          <a:r>
            <a:rPr lang="en-US" sz="1600" i="1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600" i="1" baseline="-25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sb</a:t>
          </a:r>
          <a:endParaRPr lang="en-US" sz="1600" i="1" baseline="-25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0.80084</cdr:x>
      <cdr:y>0.69851</cdr:y>
    </cdr:from>
    <cdr:to>
      <cdr:x>0.94575</cdr:x>
      <cdr:y>0.81033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85F43B-7529-E9A3-69F5-C64A9681270C}"/>
            </a:ext>
          </a:extLst>
        </cdr:cNvPr>
        <cdr:cNvSpPr txBox="1"/>
      </cdr:nvSpPr>
      <cdr:spPr>
        <a:xfrm xmlns:a="http://schemas.openxmlformats.org/drawingml/2006/main">
          <a:off x="5434496" y="3107082"/>
          <a:ext cx="983330" cy="497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effectLst/>
            </a:rPr>
            <a:t>Oil</a:t>
          </a:r>
        </a:p>
        <a:p xmlns:a="http://schemas.openxmlformats.org/drawingml/2006/main">
          <a:pPr algn="ctr"/>
          <a:r>
            <a:rPr lang="en-US" sz="1400" b="0">
              <a:effectLst/>
            </a:rPr>
            <a:t>(</a:t>
          </a:r>
          <a:r>
            <a:rPr lang="en-US" sz="1400" b="0" i="1">
              <a:effectLst/>
            </a:rPr>
            <a:t>n</a:t>
          </a:r>
          <a:r>
            <a:rPr lang="en-US" sz="1400" b="0">
              <a:effectLst/>
            </a:rPr>
            <a:t> = 126)</a:t>
          </a:r>
          <a:endParaRPr lang="en-US" sz="1200" b="0" i="1" baseline="-25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6"/>
  <sheetViews>
    <sheetView zoomScale="90" zoomScaleNormal="90" workbookViewId="0">
      <pane xSplit="3" ySplit="2" topLeftCell="L3" activePane="bottomRight" state="frozen"/>
      <selection pane="topRight" activeCell="G1" sqref="G1"/>
      <selection pane="bottomLeft" activeCell="A3" sqref="A3"/>
      <selection pane="bottomRight" activeCell="M3" sqref="M3"/>
    </sheetView>
  </sheetViews>
  <sheetFormatPr defaultColWidth="9" defaultRowHeight="15.75" x14ac:dyDescent="0.3"/>
  <cols>
    <col min="1" max="1" width="9" style="3"/>
    <col min="2" max="2" width="29.140625" style="3" customWidth="1"/>
    <col min="3" max="3" width="34.42578125" style="3" bestFit="1" customWidth="1"/>
    <col min="4" max="4" width="23.5703125" style="3" customWidth="1"/>
    <col min="5" max="5" width="34.42578125" style="3" bestFit="1" customWidth="1"/>
    <col min="6" max="6" width="24.42578125" style="16" customWidth="1"/>
    <col min="7" max="7" width="50.85546875" style="3" bestFit="1" customWidth="1"/>
    <col min="8" max="8" width="25" style="3" customWidth="1"/>
    <col min="9" max="10" width="31.5703125" style="3" customWidth="1"/>
    <col min="11" max="11" width="29.28515625" style="3" customWidth="1"/>
    <col min="12" max="12" width="21.140625" style="3" customWidth="1"/>
    <col min="13" max="13" width="45.5703125" style="3" customWidth="1"/>
    <col min="14" max="14" width="23.5703125" style="3" customWidth="1"/>
    <col min="15" max="15" width="9" style="3"/>
    <col min="16" max="16" width="9.85546875" style="3" bestFit="1" customWidth="1"/>
    <col min="17" max="17" width="9" style="3"/>
    <col min="18" max="18" width="14.7109375" style="3" bestFit="1" customWidth="1"/>
    <col min="19" max="19" width="9" style="3"/>
    <col min="20" max="20" width="11.5703125" style="3" customWidth="1"/>
    <col min="21" max="22" width="15.140625" style="3" customWidth="1"/>
    <col min="23" max="23" width="14" style="42" customWidth="1"/>
    <col min="24" max="24" width="14" style="16" customWidth="1"/>
    <col min="25" max="26" width="9" style="3"/>
    <col min="27" max="27" width="12.85546875" style="3" customWidth="1"/>
    <col min="28" max="16384" width="9" style="3"/>
  </cols>
  <sheetData>
    <row r="1" spans="1:27" x14ac:dyDescent="0.3"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</row>
    <row r="2" spans="1:27" s="11" customFormat="1" ht="31.5" x14ac:dyDescent="0.3">
      <c r="A2" s="11" t="s">
        <v>17</v>
      </c>
      <c r="B2" s="12" t="s">
        <v>1</v>
      </c>
      <c r="C2" s="12" t="s">
        <v>4</v>
      </c>
      <c r="D2" s="12" t="s">
        <v>7</v>
      </c>
      <c r="E2" s="12" t="s">
        <v>3</v>
      </c>
      <c r="F2" s="15" t="s">
        <v>0</v>
      </c>
      <c r="G2" s="12" t="s">
        <v>11</v>
      </c>
      <c r="H2" s="12" t="s">
        <v>8</v>
      </c>
      <c r="I2" s="12" t="s">
        <v>6</v>
      </c>
      <c r="J2" s="12"/>
      <c r="K2" s="12" t="s">
        <v>12</v>
      </c>
      <c r="L2" s="12" t="s">
        <v>2</v>
      </c>
      <c r="M2" s="12" t="s">
        <v>10</v>
      </c>
      <c r="N2" s="12" t="s">
        <v>9</v>
      </c>
      <c r="P2" s="11" t="s">
        <v>16</v>
      </c>
      <c r="R2" s="11" t="s">
        <v>18</v>
      </c>
      <c r="T2" s="11" t="s">
        <v>19</v>
      </c>
      <c r="U2" s="11" t="s">
        <v>21</v>
      </c>
      <c r="V2" s="11" t="s">
        <v>22</v>
      </c>
      <c r="W2" s="43" t="s">
        <v>25</v>
      </c>
      <c r="X2" s="45" t="s">
        <v>23</v>
      </c>
      <c r="Y2" s="11" t="s">
        <v>24</v>
      </c>
      <c r="Z2" s="11" t="s">
        <v>26</v>
      </c>
      <c r="AA2" s="11" t="s">
        <v>20</v>
      </c>
    </row>
    <row r="3" spans="1:27" s="4" customFormat="1" x14ac:dyDescent="0.3">
      <c r="A3" s="4" t="s">
        <v>15</v>
      </c>
      <c r="B3" s="14">
        <v>3501</v>
      </c>
      <c r="C3" s="30">
        <v>174</v>
      </c>
      <c r="D3" s="20">
        <v>1667.7686823505683</v>
      </c>
      <c r="E3" s="19">
        <v>0.83574909006792664</v>
      </c>
      <c r="F3" s="13">
        <v>46.658961138443573</v>
      </c>
      <c r="G3" s="31">
        <v>1.9055786070768399</v>
      </c>
      <c r="H3" s="13" t="s">
        <v>5</v>
      </c>
      <c r="I3" s="32">
        <v>0.1800575556996</v>
      </c>
      <c r="J3" s="32"/>
      <c r="K3" s="6">
        <v>2.5861872746664799E-5</v>
      </c>
      <c r="L3" s="14">
        <v>8227</v>
      </c>
      <c r="M3" s="31">
        <v>1.75703537278207</v>
      </c>
      <c r="N3" s="13" t="s">
        <v>5</v>
      </c>
      <c r="P3" s="41">
        <f>K3*(10^6)</f>
        <v>25.861872746664798</v>
      </c>
      <c r="R3" s="4">
        <f>IF(G3&lt;&gt;"N/A",G3,5.615*H3)</f>
        <v>1.9055786070768399</v>
      </c>
      <c r="T3" s="41">
        <f>IF(M3&lt;&gt;"N/A", G3*EXP(-K3*(L3-B3)),N3*EXP(-K3*(L3-B3)))</f>
        <v>1.6863433433844019</v>
      </c>
      <c r="U3" s="41">
        <f>IF(M3&lt;&gt;"N/A",G3,N3)</f>
        <v>1.9055786070768399</v>
      </c>
      <c r="V3" s="48">
        <f>((T3-U3)/U3)</f>
        <v>-0.11504918394772763</v>
      </c>
      <c r="W3" s="44">
        <f>ABS((T3-U3)/U3)</f>
        <v>0.11504918394772763</v>
      </c>
      <c r="X3" s="46">
        <f>D3</f>
        <v>1667.7686823505683</v>
      </c>
      <c r="Y3" s="47">
        <f>L3-B3</f>
        <v>4726</v>
      </c>
      <c r="Z3" s="4">
        <f>IF(H3&lt;&gt;"N/A",1,0)</f>
        <v>0</v>
      </c>
    </row>
    <row r="4" spans="1:27" s="4" customFormat="1" x14ac:dyDescent="0.3">
      <c r="A4" s="4" t="s">
        <v>15</v>
      </c>
      <c r="B4" s="14">
        <v>6415</v>
      </c>
      <c r="C4" s="30">
        <v>159</v>
      </c>
      <c r="D4" s="20">
        <f>(3011*1.0461+39)</f>
        <v>3188.8071</v>
      </c>
      <c r="E4" s="19">
        <f>(3011*1.0461*0.7329+24*1.0283+15*1.3503)/(3011*1.0461+39)</f>
        <v>0.73802749736413975</v>
      </c>
      <c r="F4" s="13">
        <v>42.1</v>
      </c>
      <c r="G4" s="31" t="s">
        <v>5</v>
      </c>
      <c r="H4" s="33" t="s">
        <v>5</v>
      </c>
      <c r="I4" s="31" t="s">
        <v>5</v>
      </c>
      <c r="J4" s="31"/>
      <c r="K4" s="6">
        <v>2.9828500000000001E-5</v>
      </c>
      <c r="L4" s="14">
        <v>5439</v>
      </c>
      <c r="M4" s="31" t="s">
        <v>5</v>
      </c>
      <c r="N4" s="13" t="s">
        <v>5</v>
      </c>
      <c r="P4" s="41">
        <f t="shared" ref="P4:P67" si="0">K4*(10^6)</f>
        <v>29.828500000000002</v>
      </c>
      <c r="R4" s="4" t="e">
        <f t="shared" ref="R4:R67" si="1">IF(G4&lt;&gt;"N/A",G4,5.615*H4)</f>
        <v>#VALUE!</v>
      </c>
      <c r="T4" s="41" t="e">
        <f t="shared" ref="T4:T67" si="2">IF(M4&lt;&gt;"N/A", G4*EXP(-K4*(L4-B4)),N4*EXP(-K4*(L4-B4)))</f>
        <v>#VALUE!</v>
      </c>
      <c r="U4" s="41" t="str">
        <f t="shared" ref="U4:U67" si="3">IF(M4&lt;&gt;"N/A",G4,N4)</f>
        <v>N/A</v>
      </c>
      <c r="V4" s="41"/>
      <c r="W4" s="44" t="e">
        <f t="shared" ref="W4:W67" si="4">ABS((T4-U4)/U4)</f>
        <v>#VALUE!</v>
      </c>
      <c r="X4" s="46">
        <f>D4</f>
        <v>3188.8071</v>
      </c>
      <c r="Y4" s="47">
        <f t="shared" ref="Y4:Y67" si="5">L4-B4</f>
        <v>-976</v>
      </c>
      <c r="Z4" s="4">
        <f>IF(H4&lt;&gt;"N/A",1,0)</f>
        <v>0</v>
      </c>
    </row>
    <row r="5" spans="1:27" x14ac:dyDescent="0.3">
      <c r="A5" s="4" t="s">
        <v>15</v>
      </c>
      <c r="B5" s="14">
        <v>3265</v>
      </c>
      <c r="C5" s="30">
        <v>157</v>
      </c>
      <c r="D5" s="20">
        <v>1133.4462691607539</v>
      </c>
      <c r="E5" s="19">
        <v>0.8500077412459377</v>
      </c>
      <c r="F5" s="13">
        <v>44.23</v>
      </c>
      <c r="G5" s="31">
        <v>1.5995999999999999</v>
      </c>
      <c r="H5" s="13" t="s">
        <v>5</v>
      </c>
      <c r="I5" s="32">
        <v>0.30599999999999999</v>
      </c>
      <c r="J5" s="32"/>
      <c r="K5" s="6">
        <v>1.78112E-5</v>
      </c>
      <c r="L5" s="14">
        <v>5690</v>
      </c>
      <c r="M5" s="31">
        <v>1.5450999999999999</v>
      </c>
      <c r="N5" s="13" t="s">
        <v>5</v>
      </c>
      <c r="P5" s="41">
        <f t="shared" si="0"/>
        <v>17.811199999999999</v>
      </c>
      <c r="R5" s="4">
        <f t="shared" si="1"/>
        <v>1.5995999999999999</v>
      </c>
      <c r="T5" s="41">
        <f t="shared" si="2"/>
        <v>1.531980645863952</v>
      </c>
      <c r="U5" s="41">
        <f t="shared" si="3"/>
        <v>1.5995999999999999</v>
      </c>
      <c r="V5" s="48">
        <f t="shared" ref="V5:V8" si="6">((T5-U5)/U5)</f>
        <v>-4.2272664501155237E-2</v>
      </c>
      <c r="W5" s="44">
        <f t="shared" si="4"/>
        <v>4.2272664501155237E-2</v>
      </c>
      <c r="X5" s="46">
        <f t="shared" ref="X5:X68" si="7">D5</f>
        <v>1133.4462691607539</v>
      </c>
      <c r="Y5" s="47">
        <f t="shared" si="5"/>
        <v>2425</v>
      </c>
      <c r="Z5" s="4">
        <f t="shared" ref="Z5:Z42" si="8">IF(H5&lt;&gt;"N/A",1,0)</f>
        <v>0</v>
      </c>
    </row>
    <row r="6" spans="1:27" s="4" customFormat="1" x14ac:dyDescent="0.3">
      <c r="A6" s="4" t="s">
        <v>15</v>
      </c>
      <c r="B6" s="14">
        <v>5575</v>
      </c>
      <c r="C6" s="30">
        <v>190</v>
      </c>
      <c r="D6" s="20">
        <f>(7899*1.0611+41)</f>
        <v>8422.6288999999997</v>
      </c>
      <c r="E6" s="19">
        <f>(7899*1.0611*0.742+23*0.9619+19*1.4441)/(7899*1.0611+41)</f>
        <v>0.74427240214750523</v>
      </c>
      <c r="F6" s="13">
        <v>51.48</v>
      </c>
      <c r="G6" s="31" t="s">
        <v>5</v>
      </c>
      <c r="H6" s="34">
        <v>6.4061909429272449E-4</v>
      </c>
      <c r="I6" s="31" t="s">
        <v>5</v>
      </c>
      <c r="J6" s="31"/>
      <c r="K6" s="23">
        <v>6.183155080213914E-5</v>
      </c>
      <c r="L6" s="14">
        <v>9061</v>
      </c>
      <c r="M6" s="31" t="s">
        <v>5</v>
      </c>
      <c r="N6" s="34">
        <v>5.5599417318106506E-4</v>
      </c>
      <c r="P6" s="41">
        <f t="shared" si="0"/>
        <v>61.831550802139141</v>
      </c>
      <c r="R6" s="4">
        <f t="shared" si="1"/>
        <v>3.5970762144536482E-3</v>
      </c>
      <c r="T6" s="41">
        <f t="shared" si="2"/>
        <v>4.481881079965366E-4</v>
      </c>
      <c r="U6" s="41">
        <f t="shared" si="3"/>
        <v>5.5599417318106506E-4</v>
      </c>
      <c r="V6" s="48">
        <f t="shared" si="6"/>
        <v>-0.19389783271958919</v>
      </c>
      <c r="W6" s="44">
        <f t="shared" si="4"/>
        <v>0.19389783271958919</v>
      </c>
      <c r="X6" s="46">
        <f t="shared" si="7"/>
        <v>8422.6288999999997</v>
      </c>
      <c r="Y6" s="47">
        <f t="shared" si="5"/>
        <v>3486</v>
      </c>
      <c r="Z6" s="4">
        <f t="shared" si="8"/>
        <v>1</v>
      </c>
    </row>
    <row r="7" spans="1:27" s="4" customFormat="1" x14ac:dyDescent="0.3">
      <c r="A7" s="4" t="s">
        <v>15</v>
      </c>
      <c r="B7" s="14">
        <v>3415</v>
      </c>
      <c r="C7" s="30">
        <v>153</v>
      </c>
      <c r="D7" s="20">
        <v>1371</v>
      </c>
      <c r="E7" s="19">
        <v>0.84958189781021909</v>
      </c>
      <c r="F7" s="13">
        <v>45.07</v>
      </c>
      <c r="G7" s="31">
        <v>1.7246999999999999</v>
      </c>
      <c r="H7" s="13" t="s">
        <v>5</v>
      </c>
      <c r="I7" s="32">
        <v>0.254</v>
      </c>
      <c r="J7" s="32"/>
      <c r="K7" s="6">
        <v>2.0641000000000001E-5</v>
      </c>
      <c r="L7" s="14">
        <v>5605</v>
      </c>
      <c r="M7" s="31">
        <v>1.6646000000000001</v>
      </c>
      <c r="N7" s="13" t="s">
        <v>5</v>
      </c>
      <c r="P7" s="41">
        <f t="shared" si="0"/>
        <v>20.641000000000002</v>
      </c>
      <c r="R7" s="4">
        <f t="shared" si="1"/>
        <v>1.7246999999999999</v>
      </c>
      <c r="T7" s="41">
        <f t="shared" si="2"/>
        <v>1.6484728803960866</v>
      </c>
      <c r="U7" s="41">
        <f t="shared" si="3"/>
        <v>1.7246999999999999</v>
      </c>
      <c r="V7" s="48">
        <f t="shared" si="6"/>
        <v>-4.4197321043609475E-2</v>
      </c>
      <c r="W7" s="44">
        <f t="shared" si="4"/>
        <v>4.4197321043609475E-2</v>
      </c>
      <c r="X7" s="46">
        <f t="shared" si="7"/>
        <v>1371</v>
      </c>
      <c r="Y7" s="47">
        <f t="shared" si="5"/>
        <v>2190</v>
      </c>
      <c r="Z7" s="4">
        <f t="shared" si="8"/>
        <v>0</v>
      </c>
    </row>
    <row r="8" spans="1:27" s="4" customFormat="1" x14ac:dyDescent="0.3">
      <c r="A8" s="4" t="s">
        <v>15</v>
      </c>
      <c r="B8" s="14">
        <v>2965</v>
      </c>
      <c r="C8" s="30">
        <v>156</v>
      </c>
      <c r="D8" s="20">
        <v>979</v>
      </c>
      <c r="E8" s="19">
        <v>0.84233779366700712</v>
      </c>
      <c r="F8" s="13">
        <v>41.5</v>
      </c>
      <c r="G8" s="31">
        <v>1.5277000000000001</v>
      </c>
      <c r="H8" s="33" t="s">
        <v>5</v>
      </c>
      <c r="I8" s="32">
        <v>0.38600000000000001</v>
      </c>
      <c r="J8" s="32"/>
      <c r="K8" s="6">
        <v>1.84603E-5</v>
      </c>
      <c r="L8" s="14">
        <v>5578</v>
      </c>
      <c r="M8" s="31">
        <v>1.4709000000000001</v>
      </c>
      <c r="N8" s="13" t="s">
        <v>5</v>
      </c>
      <c r="P8" s="41">
        <f t="shared" si="0"/>
        <v>18.4603</v>
      </c>
      <c r="R8" s="4">
        <f t="shared" si="1"/>
        <v>1.5277000000000001</v>
      </c>
      <c r="T8" s="41">
        <f t="shared" si="2"/>
        <v>1.4557577748240491</v>
      </c>
      <c r="U8" s="41">
        <f t="shared" si="3"/>
        <v>1.5277000000000001</v>
      </c>
      <c r="V8" s="48">
        <f t="shared" si="6"/>
        <v>-4.7091853882274624E-2</v>
      </c>
      <c r="W8" s="44">
        <f t="shared" si="4"/>
        <v>4.7091853882274624E-2</v>
      </c>
      <c r="X8" s="46">
        <f t="shared" si="7"/>
        <v>979</v>
      </c>
      <c r="Y8" s="47">
        <f t="shared" si="5"/>
        <v>2613</v>
      </c>
      <c r="Z8" s="4">
        <f t="shared" si="8"/>
        <v>0</v>
      </c>
    </row>
    <row r="9" spans="1:27" s="4" customFormat="1" x14ac:dyDescent="0.3">
      <c r="A9" s="4" t="s">
        <v>15</v>
      </c>
      <c r="B9" s="14">
        <v>4215</v>
      </c>
      <c r="C9" s="30">
        <v>135</v>
      </c>
      <c r="D9" s="20">
        <f>(1607*1.0505+60)</f>
        <v>1748.1534999999999</v>
      </c>
      <c r="E9" s="19">
        <f>(1607*1.0505*0.7748+19*0.8601+40*1.4479)/(1607*1.0505+60)</f>
        <v>0.79068527552071366</v>
      </c>
      <c r="F9" s="13">
        <v>43.13</v>
      </c>
      <c r="G9" s="31">
        <v>1.3649</v>
      </c>
      <c r="H9" s="33" t="s">
        <v>5</v>
      </c>
      <c r="I9" s="32" t="s">
        <v>5</v>
      </c>
      <c r="J9" s="32"/>
      <c r="K9" s="6">
        <v>2.21206E-5</v>
      </c>
      <c r="L9" s="14">
        <v>4087</v>
      </c>
      <c r="M9" s="31">
        <v>1.3649</v>
      </c>
      <c r="N9" s="13" t="s">
        <v>5</v>
      </c>
      <c r="P9" s="41">
        <f t="shared" si="0"/>
        <v>22.1206</v>
      </c>
      <c r="R9" s="4">
        <f t="shared" si="1"/>
        <v>1.3649</v>
      </c>
      <c r="T9" s="41">
        <f t="shared" si="2"/>
        <v>1.3687701044808804</v>
      </c>
      <c r="U9" s="41">
        <f t="shared" si="3"/>
        <v>1.3649</v>
      </c>
      <c r="V9" s="41"/>
      <c r="W9" s="44">
        <f t="shared" si="4"/>
        <v>2.8354491031434038E-3</v>
      </c>
      <c r="X9" s="46">
        <f t="shared" si="7"/>
        <v>1748.1534999999999</v>
      </c>
      <c r="Y9" s="47">
        <f t="shared" si="5"/>
        <v>-128</v>
      </c>
      <c r="Z9" s="4">
        <f t="shared" si="8"/>
        <v>0</v>
      </c>
    </row>
    <row r="10" spans="1:27" s="4" customFormat="1" x14ac:dyDescent="0.3">
      <c r="A10" s="4" t="s">
        <v>15</v>
      </c>
      <c r="B10" s="14">
        <v>2915.0250000000001</v>
      </c>
      <c r="C10" s="30">
        <v>132</v>
      </c>
      <c r="D10" s="20">
        <v>977</v>
      </c>
      <c r="E10" s="19">
        <v>0.81936949846468798</v>
      </c>
      <c r="F10" s="13">
        <v>39.19</v>
      </c>
      <c r="G10" s="31">
        <v>1.4986911732675505</v>
      </c>
      <c r="H10" s="33" t="s">
        <v>5</v>
      </c>
      <c r="I10" s="32">
        <v>0.44900000000000001</v>
      </c>
      <c r="J10" s="32"/>
      <c r="K10" s="6">
        <v>1.54185158706069E-5</v>
      </c>
      <c r="L10" s="14">
        <v>3962.0250000000001</v>
      </c>
      <c r="M10" s="31">
        <v>1.4773948236521384</v>
      </c>
      <c r="N10" s="13" t="s">
        <v>5</v>
      </c>
      <c r="P10" s="41">
        <f t="shared" si="0"/>
        <v>15.4185158706069</v>
      </c>
      <c r="R10" s="4">
        <f t="shared" si="1"/>
        <v>1.4986911732675505</v>
      </c>
      <c r="T10" s="41">
        <f t="shared" si="2"/>
        <v>1.4746917574345049</v>
      </c>
      <c r="U10" s="41">
        <f t="shared" si="3"/>
        <v>1.4986911732675505</v>
      </c>
      <c r="V10" s="48">
        <f t="shared" ref="V10:V32" si="9">((T10-U10)/U10)</f>
        <v>-1.601358322590268E-2</v>
      </c>
      <c r="W10" s="44">
        <f t="shared" si="4"/>
        <v>1.601358322590268E-2</v>
      </c>
      <c r="X10" s="46">
        <f t="shared" si="7"/>
        <v>977</v>
      </c>
      <c r="Y10" s="47">
        <f t="shared" si="5"/>
        <v>1047</v>
      </c>
      <c r="Z10" s="4">
        <f t="shared" si="8"/>
        <v>0</v>
      </c>
    </row>
    <row r="11" spans="1:27" s="8" customFormat="1" x14ac:dyDescent="0.3">
      <c r="A11" s="4" t="s">
        <v>15</v>
      </c>
      <c r="B11" s="14">
        <v>325.02499999999998</v>
      </c>
      <c r="C11" s="30">
        <v>90</v>
      </c>
      <c r="D11" s="20">
        <v>224</v>
      </c>
      <c r="E11" s="19">
        <v>1.2951339285714287</v>
      </c>
      <c r="F11" s="13">
        <v>42.1</v>
      </c>
      <c r="G11" s="31">
        <v>1.1680999999999999</v>
      </c>
      <c r="H11" s="13" t="s">
        <v>5</v>
      </c>
      <c r="I11" s="32">
        <v>1.1719999999999999</v>
      </c>
      <c r="J11" s="32"/>
      <c r="K11" s="6">
        <v>1.03558E-5</v>
      </c>
      <c r="L11" s="14">
        <v>1297.0250000000001</v>
      </c>
      <c r="M11" s="31">
        <v>1.156944645</v>
      </c>
      <c r="N11" s="13" t="s">
        <v>5</v>
      </c>
      <c r="P11" s="41">
        <f t="shared" si="0"/>
        <v>10.3558</v>
      </c>
      <c r="R11" s="4">
        <f t="shared" si="1"/>
        <v>1.1680999999999999</v>
      </c>
      <c r="T11" s="41">
        <f t="shared" si="2"/>
        <v>1.1564010736247612</v>
      </c>
      <c r="U11" s="41">
        <f t="shared" si="3"/>
        <v>1.1680999999999999</v>
      </c>
      <c r="V11" s="48">
        <f t="shared" si="9"/>
        <v>-1.0015346610083664E-2</v>
      </c>
      <c r="W11" s="44">
        <f t="shared" si="4"/>
        <v>1.0015346610083664E-2</v>
      </c>
      <c r="X11" s="46">
        <f t="shared" si="7"/>
        <v>224</v>
      </c>
      <c r="Y11" s="47">
        <f t="shared" si="5"/>
        <v>972.00000000000011</v>
      </c>
      <c r="Z11" s="4">
        <f t="shared" si="8"/>
        <v>0</v>
      </c>
    </row>
    <row r="12" spans="1:27" s="4" customFormat="1" x14ac:dyDescent="0.3">
      <c r="A12" s="4" t="s">
        <v>15</v>
      </c>
      <c r="B12" s="14">
        <v>2515</v>
      </c>
      <c r="C12" s="30">
        <v>155</v>
      </c>
      <c r="D12" s="20">
        <v>895</v>
      </c>
      <c r="E12" s="19">
        <v>0.86946729910714293</v>
      </c>
      <c r="F12" s="13">
        <v>42.65</v>
      </c>
      <c r="G12" s="31">
        <v>1.4924999999999999</v>
      </c>
      <c r="H12" s="13" t="s">
        <v>5</v>
      </c>
      <c r="I12" s="32">
        <v>0.26800000000000002</v>
      </c>
      <c r="J12" s="32"/>
      <c r="K12" s="6">
        <v>1.72274E-5</v>
      </c>
      <c r="L12" s="14">
        <v>4278</v>
      </c>
      <c r="M12" s="31">
        <v>1.4563999999999999</v>
      </c>
      <c r="N12" s="13" t="s">
        <v>5</v>
      </c>
      <c r="P12" s="41">
        <f t="shared" si="0"/>
        <v>17.227399999999999</v>
      </c>
      <c r="R12" s="4">
        <f t="shared" si="1"/>
        <v>1.4924999999999999</v>
      </c>
      <c r="T12" s="41">
        <f t="shared" si="2"/>
        <v>1.4478513937694935</v>
      </c>
      <c r="U12" s="41">
        <f t="shared" si="3"/>
        <v>1.4924999999999999</v>
      </c>
      <c r="V12" s="48">
        <f t="shared" si="9"/>
        <v>-2.9915314057290778E-2</v>
      </c>
      <c r="W12" s="44">
        <f t="shared" si="4"/>
        <v>2.9915314057290778E-2</v>
      </c>
      <c r="X12" s="46">
        <f t="shared" si="7"/>
        <v>895</v>
      </c>
      <c r="Y12" s="47">
        <f t="shared" si="5"/>
        <v>1763</v>
      </c>
      <c r="Z12" s="4">
        <f t="shared" si="8"/>
        <v>0</v>
      </c>
    </row>
    <row r="13" spans="1:27" s="4" customFormat="1" ht="16.5" customHeight="1" x14ac:dyDescent="0.3">
      <c r="A13" s="4" t="s">
        <v>15</v>
      </c>
      <c r="B13" s="14">
        <v>3162</v>
      </c>
      <c r="C13" s="30">
        <v>157</v>
      </c>
      <c r="D13" s="20">
        <v>1179</v>
      </c>
      <c r="E13" s="19">
        <v>0.85150169491525418</v>
      </c>
      <c r="F13" s="13">
        <v>42</v>
      </c>
      <c r="G13" s="31">
        <v>1.6050995510203501</v>
      </c>
      <c r="H13" s="33" t="s">
        <v>5</v>
      </c>
      <c r="I13" s="32">
        <v>0.29599999999999999</v>
      </c>
      <c r="J13" s="32"/>
      <c r="K13" s="23">
        <v>1.794705998628507E-5</v>
      </c>
      <c r="L13" s="14">
        <v>4698</v>
      </c>
      <c r="M13" s="31">
        <v>1.569312227992639</v>
      </c>
      <c r="N13" s="13" t="s">
        <v>5</v>
      </c>
      <c r="P13" s="41">
        <f t="shared" si="0"/>
        <v>17.947059986285069</v>
      </c>
      <c r="R13" s="4">
        <f t="shared" si="1"/>
        <v>1.6050995510203501</v>
      </c>
      <c r="T13" s="41">
        <f t="shared" si="2"/>
        <v>1.561456588305741</v>
      </c>
      <c r="U13" s="41">
        <f t="shared" si="3"/>
        <v>1.6050995510203501</v>
      </c>
      <c r="V13" s="48">
        <f t="shared" si="9"/>
        <v>-2.7190190594013678E-2</v>
      </c>
      <c r="W13" s="44">
        <f t="shared" si="4"/>
        <v>2.7190190594013678E-2</v>
      </c>
      <c r="X13" s="46">
        <f t="shared" si="7"/>
        <v>1179</v>
      </c>
      <c r="Y13" s="47">
        <f t="shared" si="5"/>
        <v>1536</v>
      </c>
      <c r="Z13" s="4">
        <f t="shared" si="8"/>
        <v>0</v>
      </c>
    </row>
    <row r="14" spans="1:27" s="4" customFormat="1" x14ac:dyDescent="0.3">
      <c r="A14" s="4" t="s">
        <v>15</v>
      </c>
      <c r="B14" s="14">
        <v>2915</v>
      </c>
      <c r="C14" s="30">
        <v>157</v>
      </c>
      <c r="D14" s="20">
        <v>1064</v>
      </c>
      <c r="E14" s="19">
        <v>0.8712595864661653</v>
      </c>
      <c r="F14" s="13">
        <v>42.8</v>
      </c>
      <c r="G14" s="31">
        <v>1.5653999999999999</v>
      </c>
      <c r="H14" s="13" t="s">
        <v>5</v>
      </c>
      <c r="I14" s="32">
        <v>0.309</v>
      </c>
      <c r="J14" s="32"/>
      <c r="K14" s="6">
        <v>1.7852200000000002E-5</v>
      </c>
      <c r="L14" s="14">
        <v>6165</v>
      </c>
      <c r="M14" s="31">
        <v>1.4995000000000001</v>
      </c>
      <c r="N14" s="13" t="s">
        <v>5</v>
      </c>
      <c r="P14" s="41">
        <f t="shared" si="0"/>
        <v>17.852200000000003</v>
      </c>
      <c r="R14" s="4">
        <f t="shared" si="1"/>
        <v>1.5653999999999999</v>
      </c>
      <c r="T14" s="41">
        <f t="shared" si="2"/>
        <v>1.4771606012265659</v>
      </c>
      <c r="U14" s="41">
        <f t="shared" si="3"/>
        <v>1.5653999999999999</v>
      </c>
      <c r="V14" s="48">
        <f t="shared" si="9"/>
        <v>-5.6368595102487554E-2</v>
      </c>
      <c r="W14" s="44">
        <f t="shared" si="4"/>
        <v>5.6368595102487554E-2</v>
      </c>
      <c r="X14" s="46">
        <f t="shared" si="7"/>
        <v>1064</v>
      </c>
      <c r="Y14" s="47">
        <f t="shared" si="5"/>
        <v>3250</v>
      </c>
      <c r="Z14" s="4">
        <f t="shared" si="8"/>
        <v>0</v>
      </c>
    </row>
    <row r="15" spans="1:27" s="4" customFormat="1" x14ac:dyDescent="0.3">
      <c r="A15" s="4" t="s">
        <v>15</v>
      </c>
      <c r="B15" s="14">
        <v>3981</v>
      </c>
      <c r="C15" s="30">
        <v>144</v>
      </c>
      <c r="D15" s="20">
        <v>1827</v>
      </c>
      <c r="E15" s="19">
        <v>0.77204269293924499</v>
      </c>
      <c r="F15" s="13">
        <v>45.6</v>
      </c>
      <c r="G15" s="31">
        <v>1.88574002017762</v>
      </c>
      <c r="H15" s="13" t="s">
        <v>5</v>
      </c>
      <c r="I15" s="32">
        <v>0.184</v>
      </c>
      <c r="J15" s="32"/>
      <c r="K15" s="23">
        <v>3.0246998091170203E-5</v>
      </c>
      <c r="L15" s="14">
        <v>4554</v>
      </c>
      <c r="M15" s="31">
        <v>1.86044577651448</v>
      </c>
      <c r="N15" s="13" t="s">
        <v>5</v>
      </c>
      <c r="P15" s="41">
        <f t="shared" si="0"/>
        <v>30.246998091170202</v>
      </c>
      <c r="R15" s="4">
        <f t="shared" si="1"/>
        <v>1.88574002017762</v>
      </c>
      <c r="T15" s="41">
        <f t="shared" si="2"/>
        <v>1.8533388525814862</v>
      </c>
      <c r="U15" s="41">
        <f t="shared" si="3"/>
        <v>1.88574002017762</v>
      </c>
      <c r="V15" s="48">
        <f t="shared" si="9"/>
        <v>-1.7182202874965691E-2</v>
      </c>
      <c r="W15" s="44">
        <f t="shared" si="4"/>
        <v>1.7182202874965691E-2</v>
      </c>
      <c r="X15" s="46">
        <f t="shared" si="7"/>
        <v>1827</v>
      </c>
      <c r="Y15" s="47">
        <f t="shared" si="5"/>
        <v>573</v>
      </c>
      <c r="Z15" s="4">
        <f t="shared" si="8"/>
        <v>0</v>
      </c>
    </row>
    <row r="16" spans="1:27" s="4" customFormat="1" x14ac:dyDescent="0.3">
      <c r="A16" s="4" t="s">
        <v>15</v>
      </c>
      <c r="B16" s="14">
        <v>3765.0250000000001</v>
      </c>
      <c r="C16" s="30">
        <v>164</v>
      </c>
      <c r="D16" s="20">
        <v>1633</v>
      </c>
      <c r="E16" s="19">
        <v>0.79283404776485</v>
      </c>
      <c r="F16" s="13">
        <v>47.66</v>
      </c>
      <c r="G16" s="31">
        <v>1.905</v>
      </c>
      <c r="H16" s="13" t="s">
        <v>5</v>
      </c>
      <c r="I16" s="32">
        <v>0.20899999999999999</v>
      </c>
      <c r="J16" s="32"/>
      <c r="K16" s="6">
        <v>2.86722E-5</v>
      </c>
      <c r="L16" s="14">
        <v>7671.0249999999996</v>
      </c>
      <c r="M16" s="31">
        <v>1.7716207204278491</v>
      </c>
      <c r="N16" s="13" t="s">
        <v>5</v>
      </c>
      <c r="P16" s="41">
        <f t="shared" si="0"/>
        <v>28.6722</v>
      </c>
      <c r="R16" s="4">
        <f t="shared" si="1"/>
        <v>1.905</v>
      </c>
      <c r="T16" s="41">
        <f t="shared" si="2"/>
        <v>1.7031651882788683</v>
      </c>
      <c r="U16" s="41">
        <f t="shared" si="3"/>
        <v>1.905</v>
      </c>
      <c r="V16" s="48">
        <f t="shared" si="9"/>
        <v>-0.1059500323995442</v>
      </c>
      <c r="W16" s="44">
        <f t="shared" si="4"/>
        <v>0.1059500323995442</v>
      </c>
      <c r="X16" s="46">
        <f t="shared" si="7"/>
        <v>1633</v>
      </c>
      <c r="Y16" s="47">
        <f t="shared" si="5"/>
        <v>3905.9999999999995</v>
      </c>
      <c r="Z16" s="4">
        <f t="shared" si="8"/>
        <v>0</v>
      </c>
    </row>
    <row r="17" spans="1:26" s="4" customFormat="1" x14ac:dyDescent="0.3">
      <c r="A17" s="4" t="s">
        <v>15</v>
      </c>
      <c r="B17" s="14">
        <v>4115</v>
      </c>
      <c r="C17" s="30">
        <v>165</v>
      </c>
      <c r="D17" s="20">
        <v>1921.8963562753036</v>
      </c>
      <c r="E17" s="19">
        <v>0.80648070107880954</v>
      </c>
      <c r="F17" s="13">
        <v>44.5</v>
      </c>
      <c r="G17" s="31">
        <v>2.032</v>
      </c>
      <c r="H17" s="33" t="s">
        <v>5</v>
      </c>
      <c r="I17" s="32">
        <v>0.13337967864028299</v>
      </c>
      <c r="J17" s="32"/>
      <c r="K17" s="6">
        <v>2.6290000000000001E-5</v>
      </c>
      <c r="L17" s="14">
        <v>6180</v>
      </c>
      <c r="M17" s="31">
        <v>1.944</v>
      </c>
      <c r="N17" s="13" t="s">
        <v>5</v>
      </c>
      <c r="P17" s="41">
        <f t="shared" si="0"/>
        <v>26.29</v>
      </c>
      <c r="R17" s="4">
        <f t="shared" si="1"/>
        <v>2.032</v>
      </c>
      <c r="T17" s="41">
        <f t="shared" si="2"/>
        <v>1.9246260318846786</v>
      </c>
      <c r="U17" s="41">
        <f t="shared" si="3"/>
        <v>2.032</v>
      </c>
      <c r="V17" s="48">
        <f t="shared" si="9"/>
        <v>-5.2841519741792027E-2</v>
      </c>
      <c r="W17" s="44">
        <f t="shared" si="4"/>
        <v>5.2841519741792027E-2</v>
      </c>
      <c r="X17" s="46">
        <f t="shared" si="7"/>
        <v>1921.8963562753036</v>
      </c>
      <c r="Y17" s="47">
        <f t="shared" si="5"/>
        <v>2065</v>
      </c>
      <c r="Z17" s="4">
        <f t="shared" si="8"/>
        <v>0</v>
      </c>
    </row>
    <row r="18" spans="1:26" s="4" customFormat="1" x14ac:dyDescent="0.3">
      <c r="A18" s="4" t="s">
        <v>15</v>
      </c>
      <c r="B18" s="14">
        <v>2115</v>
      </c>
      <c r="C18" s="30">
        <v>142</v>
      </c>
      <c r="D18" s="20">
        <v>564</v>
      </c>
      <c r="E18" s="19">
        <v>0.92616719858156027</v>
      </c>
      <c r="F18" s="13">
        <v>38.86</v>
      </c>
      <c r="G18" s="31">
        <v>1.3082</v>
      </c>
      <c r="H18" s="33" t="s">
        <v>5</v>
      </c>
      <c r="I18" s="32">
        <v>0.59299999999999997</v>
      </c>
      <c r="J18" s="32"/>
      <c r="K18" s="6">
        <v>1.2208800000000001E-5</v>
      </c>
      <c r="L18" s="14">
        <v>5968</v>
      </c>
      <c r="M18" s="31">
        <v>1.2613000000000001</v>
      </c>
      <c r="N18" s="13" t="s">
        <v>5</v>
      </c>
      <c r="P18" s="41">
        <f t="shared" si="0"/>
        <v>12.2088</v>
      </c>
      <c r="R18" s="4">
        <f t="shared" si="1"/>
        <v>1.3082</v>
      </c>
      <c r="T18" s="41">
        <f t="shared" si="2"/>
        <v>1.2480865770096763</v>
      </c>
      <c r="U18" s="41">
        <f t="shared" si="3"/>
        <v>1.3082</v>
      </c>
      <c r="V18" s="48">
        <f t="shared" si="9"/>
        <v>-4.5951248272682876E-2</v>
      </c>
      <c r="W18" s="44">
        <f t="shared" si="4"/>
        <v>4.5951248272682876E-2</v>
      </c>
      <c r="X18" s="46">
        <f t="shared" si="7"/>
        <v>564</v>
      </c>
      <c r="Y18" s="47">
        <f t="shared" si="5"/>
        <v>3853</v>
      </c>
      <c r="Z18" s="4">
        <f t="shared" si="8"/>
        <v>0</v>
      </c>
    </row>
    <row r="19" spans="1:26" s="4" customFormat="1" x14ac:dyDescent="0.3">
      <c r="A19" s="4" t="s">
        <v>15</v>
      </c>
      <c r="B19" s="14">
        <v>3365</v>
      </c>
      <c r="C19" s="30">
        <v>170</v>
      </c>
      <c r="D19" s="20">
        <v>1226</v>
      </c>
      <c r="E19" s="19">
        <v>0.88517026618550887</v>
      </c>
      <c r="F19" s="13">
        <v>41.82</v>
      </c>
      <c r="G19" s="31">
        <v>1.6618999999999999</v>
      </c>
      <c r="H19" s="13" t="s">
        <v>5</v>
      </c>
      <c r="I19" s="32">
        <v>0.25700000000000001</v>
      </c>
      <c r="J19" s="32"/>
      <c r="K19" s="6">
        <v>1.8875599999999999E-5</v>
      </c>
      <c r="L19" s="14">
        <v>6515</v>
      </c>
      <c r="M19" s="31">
        <v>1.5886</v>
      </c>
      <c r="N19" s="13" t="s">
        <v>5</v>
      </c>
      <c r="P19" s="41">
        <f t="shared" si="0"/>
        <v>18.875599999999999</v>
      </c>
      <c r="R19" s="4">
        <f t="shared" si="1"/>
        <v>1.6618999999999999</v>
      </c>
      <c r="T19" s="41">
        <f t="shared" si="2"/>
        <v>1.5659667832728421</v>
      </c>
      <c r="U19" s="41">
        <f t="shared" si="3"/>
        <v>1.6618999999999999</v>
      </c>
      <c r="V19" s="48">
        <f t="shared" si="9"/>
        <v>-5.7725023603801565E-2</v>
      </c>
      <c r="W19" s="44">
        <f t="shared" si="4"/>
        <v>5.7725023603801565E-2</v>
      </c>
      <c r="X19" s="46">
        <f t="shared" si="7"/>
        <v>1226</v>
      </c>
      <c r="Y19" s="47">
        <f t="shared" si="5"/>
        <v>3150</v>
      </c>
      <c r="Z19" s="4">
        <f t="shared" si="8"/>
        <v>0</v>
      </c>
    </row>
    <row r="20" spans="1:26" s="4" customFormat="1" x14ac:dyDescent="0.3">
      <c r="A20" s="4" t="s">
        <v>15</v>
      </c>
      <c r="B20" s="14">
        <v>2865</v>
      </c>
      <c r="C20" s="30">
        <v>138</v>
      </c>
      <c r="D20" s="20">
        <v>848</v>
      </c>
      <c r="E20" s="19">
        <v>0.8846938679245282</v>
      </c>
      <c r="F20" s="13">
        <v>39.520000000000003</v>
      </c>
      <c r="G20" s="31">
        <v>1.4198</v>
      </c>
      <c r="H20" s="13" t="s">
        <v>5</v>
      </c>
      <c r="I20" s="32">
        <v>0.45600000000000002</v>
      </c>
      <c r="J20" s="32"/>
      <c r="K20" s="6">
        <v>1.3568600000000001E-5</v>
      </c>
      <c r="L20" s="14">
        <v>5612</v>
      </c>
      <c r="M20" s="31">
        <v>1.3776999999999999</v>
      </c>
      <c r="N20" s="13" t="s">
        <v>5</v>
      </c>
      <c r="P20" s="41">
        <f t="shared" si="0"/>
        <v>13.5686</v>
      </c>
      <c r="R20" s="4">
        <f t="shared" si="1"/>
        <v>1.4198</v>
      </c>
      <c r="T20" s="41">
        <f t="shared" si="2"/>
        <v>1.3678539782025931</v>
      </c>
      <c r="U20" s="41">
        <f t="shared" si="3"/>
        <v>1.4198</v>
      </c>
      <c r="V20" s="48">
        <f t="shared" si="9"/>
        <v>-3.6586858569803364E-2</v>
      </c>
      <c r="W20" s="44">
        <f t="shared" si="4"/>
        <v>3.6586858569803364E-2</v>
      </c>
      <c r="X20" s="46">
        <f t="shared" si="7"/>
        <v>848</v>
      </c>
      <c r="Y20" s="47">
        <f t="shared" si="5"/>
        <v>2747</v>
      </c>
      <c r="Z20" s="4">
        <f t="shared" si="8"/>
        <v>0</v>
      </c>
    </row>
    <row r="21" spans="1:26" s="4" customFormat="1" x14ac:dyDescent="0.3">
      <c r="A21" s="4" t="s">
        <v>15</v>
      </c>
      <c r="B21" s="14">
        <v>2835</v>
      </c>
      <c r="C21" s="30">
        <v>149</v>
      </c>
      <c r="D21" s="20">
        <v>840</v>
      </c>
      <c r="E21" s="19">
        <v>0.89454904761904763</v>
      </c>
      <c r="F21" s="13">
        <v>39.229999999999997</v>
      </c>
      <c r="G21" s="31">
        <v>1.4476</v>
      </c>
      <c r="H21" s="13" t="s">
        <v>5</v>
      </c>
      <c r="I21" s="32">
        <v>0.38700000000000001</v>
      </c>
      <c r="J21" s="32"/>
      <c r="K21" s="6">
        <v>1.46948E-5</v>
      </c>
      <c r="L21" s="14">
        <v>6021</v>
      </c>
      <c r="M21" s="31">
        <v>1.3939999999999999</v>
      </c>
      <c r="N21" s="13" t="s">
        <v>5</v>
      </c>
      <c r="P21" s="41">
        <f t="shared" si="0"/>
        <v>14.694800000000001</v>
      </c>
      <c r="R21" s="4">
        <f t="shared" si="1"/>
        <v>1.4476</v>
      </c>
      <c r="T21" s="41">
        <f t="shared" si="2"/>
        <v>1.3813888137923269</v>
      </c>
      <c r="U21" s="41">
        <f t="shared" si="3"/>
        <v>1.4476</v>
      </c>
      <c r="V21" s="48">
        <f t="shared" si="9"/>
        <v>-4.5738592295988589E-2</v>
      </c>
      <c r="W21" s="44">
        <f t="shared" si="4"/>
        <v>4.5738592295988589E-2</v>
      </c>
      <c r="X21" s="46">
        <f t="shared" si="7"/>
        <v>840</v>
      </c>
      <c r="Y21" s="47">
        <f t="shared" si="5"/>
        <v>3186</v>
      </c>
      <c r="Z21" s="4">
        <f t="shared" si="8"/>
        <v>0</v>
      </c>
    </row>
    <row r="22" spans="1:26" s="4" customFormat="1" x14ac:dyDescent="0.3">
      <c r="A22" s="4" t="s">
        <v>15</v>
      </c>
      <c r="B22" s="14">
        <v>2615</v>
      </c>
      <c r="C22" s="30">
        <v>156</v>
      </c>
      <c r="D22" s="20">
        <v>743</v>
      </c>
      <c r="E22" s="19">
        <v>0.89798317631224767</v>
      </c>
      <c r="F22" s="13">
        <v>40.68</v>
      </c>
      <c r="G22" s="31">
        <v>1.3936999999999999</v>
      </c>
      <c r="H22" s="13" t="s">
        <v>5</v>
      </c>
      <c r="I22" s="32">
        <v>0.38100000000000001</v>
      </c>
      <c r="J22" s="32"/>
      <c r="K22" s="6">
        <v>1.37521E-5</v>
      </c>
      <c r="L22" s="14">
        <v>6575</v>
      </c>
      <c r="M22" s="31">
        <v>1.3373999999999999</v>
      </c>
      <c r="N22" s="13" t="s">
        <v>5</v>
      </c>
      <c r="P22" s="41">
        <f t="shared" si="0"/>
        <v>13.7521</v>
      </c>
      <c r="R22" s="4">
        <f t="shared" si="1"/>
        <v>1.3936999999999999</v>
      </c>
      <c r="T22" s="41">
        <f t="shared" si="2"/>
        <v>1.319831088487619</v>
      </c>
      <c r="U22" s="41">
        <f t="shared" si="3"/>
        <v>1.3936999999999999</v>
      </c>
      <c r="V22" s="48">
        <f t="shared" si="9"/>
        <v>-5.3002017300983681E-2</v>
      </c>
      <c r="W22" s="44">
        <f t="shared" si="4"/>
        <v>5.3002017300983681E-2</v>
      </c>
      <c r="X22" s="46">
        <f t="shared" si="7"/>
        <v>743</v>
      </c>
      <c r="Y22" s="47">
        <f t="shared" si="5"/>
        <v>3960</v>
      </c>
      <c r="Z22" s="4">
        <f t="shared" si="8"/>
        <v>0</v>
      </c>
    </row>
    <row r="23" spans="1:26" s="4" customFormat="1" x14ac:dyDescent="0.3">
      <c r="A23" s="4" t="s">
        <v>15</v>
      </c>
      <c r="B23" s="14">
        <v>2965</v>
      </c>
      <c r="C23" s="30">
        <v>164</v>
      </c>
      <c r="D23" s="20">
        <v>975</v>
      </c>
      <c r="E23" s="19">
        <v>0.86339910857758939</v>
      </c>
      <c r="F23" s="13">
        <v>40.47</v>
      </c>
      <c r="G23" s="31">
        <v>1.5153000000000001</v>
      </c>
      <c r="H23" s="13" t="s">
        <v>5</v>
      </c>
      <c r="I23" s="32">
        <v>0.36799999999999999</v>
      </c>
      <c r="J23" s="32"/>
      <c r="K23" s="6">
        <v>1.6968699999999999E-5</v>
      </c>
      <c r="L23" s="14">
        <v>8323</v>
      </c>
      <c r="M23" s="31">
        <v>1.4247000000000001</v>
      </c>
      <c r="N23" s="13" t="s">
        <v>5</v>
      </c>
      <c r="P23" s="41">
        <f t="shared" si="0"/>
        <v>16.968699999999998</v>
      </c>
      <c r="R23" s="4">
        <f t="shared" si="1"/>
        <v>1.5153000000000001</v>
      </c>
      <c r="T23" s="41">
        <f t="shared" si="2"/>
        <v>1.3836087810163511</v>
      </c>
      <c r="U23" s="41">
        <f t="shared" si="3"/>
        <v>1.5153000000000001</v>
      </c>
      <c r="V23" s="48">
        <f t="shared" si="9"/>
        <v>-8.6907687575825898E-2</v>
      </c>
      <c r="W23" s="44">
        <f t="shared" si="4"/>
        <v>8.6907687575825898E-2</v>
      </c>
      <c r="X23" s="46">
        <f t="shared" si="7"/>
        <v>975</v>
      </c>
      <c r="Y23" s="47">
        <f t="shared" si="5"/>
        <v>5358</v>
      </c>
      <c r="Z23" s="4">
        <f t="shared" si="8"/>
        <v>0</v>
      </c>
    </row>
    <row r="24" spans="1:26" s="4" customFormat="1" x14ac:dyDescent="0.3">
      <c r="A24" s="4" t="s">
        <v>15</v>
      </c>
      <c r="B24" s="14">
        <v>4280</v>
      </c>
      <c r="C24" s="30">
        <v>170</v>
      </c>
      <c r="D24" s="20">
        <v>2124</v>
      </c>
      <c r="E24" s="19">
        <v>0.78740556732153377</v>
      </c>
      <c r="F24" s="13">
        <v>46.5</v>
      </c>
      <c r="G24" s="31">
        <v>2.1372361680955811</v>
      </c>
      <c r="H24" s="13" t="s">
        <v>5</v>
      </c>
      <c r="I24" s="32">
        <v>0.16700000000000001</v>
      </c>
      <c r="J24" s="32"/>
      <c r="K24" s="23">
        <v>3.7546883008720921E-5</v>
      </c>
      <c r="L24" s="14">
        <v>8000</v>
      </c>
      <c r="M24" s="31">
        <v>1.9788422467159459</v>
      </c>
      <c r="N24" s="13" t="s">
        <v>5</v>
      </c>
      <c r="P24" s="41">
        <f t="shared" si="0"/>
        <v>37.546883008720918</v>
      </c>
      <c r="R24" s="4">
        <f t="shared" si="1"/>
        <v>2.1372361680955811</v>
      </c>
      <c r="T24" s="41">
        <f t="shared" si="2"/>
        <v>1.8586289258889628</v>
      </c>
      <c r="U24" s="41">
        <f t="shared" si="3"/>
        <v>2.1372361680955811</v>
      </c>
      <c r="V24" s="48">
        <f t="shared" si="9"/>
        <v>-0.13035865963978882</v>
      </c>
      <c r="W24" s="44">
        <f t="shared" si="4"/>
        <v>0.13035865963978882</v>
      </c>
      <c r="X24" s="46">
        <f t="shared" si="7"/>
        <v>2124</v>
      </c>
      <c r="Y24" s="47">
        <f t="shared" si="5"/>
        <v>3720</v>
      </c>
      <c r="Z24" s="4">
        <f t="shared" si="8"/>
        <v>0</v>
      </c>
    </row>
    <row r="25" spans="1:26" s="4" customFormat="1" x14ac:dyDescent="0.3">
      <c r="A25" s="4" t="s">
        <v>15</v>
      </c>
      <c r="B25" s="14">
        <v>5187</v>
      </c>
      <c r="C25" s="30">
        <v>161</v>
      </c>
      <c r="D25" s="20">
        <f>(4380*1.1125+99)</f>
        <v>4971.75</v>
      </c>
      <c r="E25" s="19">
        <f>(4380*1.1125*0.7706+34*0.9715+65*1.4022)/(4380*1.1125+99)</f>
        <v>0.78023133705435699</v>
      </c>
      <c r="F25" s="13">
        <v>47.21</v>
      </c>
      <c r="G25" s="31" t="s">
        <v>5</v>
      </c>
      <c r="H25" s="34">
        <v>6.4415557599999899E-4</v>
      </c>
      <c r="I25" s="32" t="s">
        <v>5</v>
      </c>
      <c r="J25" s="32"/>
      <c r="K25" s="23">
        <v>4.5710145927484643E-5</v>
      </c>
      <c r="L25" s="14">
        <v>6115</v>
      </c>
      <c r="M25" s="31" t="s">
        <v>5</v>
      </c>
      <c r="N25" s="34">
        <v>6.2070164113513899E-4</v>
      </c>
      <c r="P25" s="41">
        <f t="shared" si="0"/>
        <v>45.710145927484639</v>
      </c>
      <c r="R25" s="4">
        <f t="shared" si="1"/>
        <v>3.6169335592399943E-3</v>
      </c>
      <c r="T25" s="41">
        <f t="shared" si="2"/>
        <v>5.9492271241185066E-4</v>
      </c>
      <c r="U25" s="41">
        <f t="shared" si="3"/>
        <v>6.2070164113513899E-4</v>
      </c>
      <c r="V25" s="48">
        <f t="shared" si="9"/>
        <v>-4.1531916487515377E-2</v>
      </c>
      <c r="W25" s="44">
        <f t="shared" si="4"/>
        <v>4.1531916487515377E-2</v>
      </c>
      <c r="X25" s="46">
        <f t="shared" si="7"/>
        <v>4971.75</v>
      </c>
      <c r="Y25" s="47">
        <f t="shared" si="5"/>
        <v>928</v>
      </c>
      <c r="Z25" s="4">
        <f t="shared" si="8"/>
        <v>1</v>
      </c>
    </row>
    <row r="26" spans="1:26" s="4" customFormat="1" x14ac:dyDescent="0.3">
      <c r="A26" s="4" t="s">
        <v>15</v>
      </c>
      <c r="B26" s="14">
        <v>4375</v>
      </c>
      <c r="C26" s="30">
        <v>167</v>
      </c>
      <c r="D26" s="20">
        <v>2645</v>
      </c>
      <c r="E26" s="19">
        <v>0.80427641371235392</v>
      </c>
      <c r="F26" s="13">
        <v>47.52</v>
      </c>
      <c r="G26" s="31">
        <v>2.3553999999999999</v>
      </c>
      <c r="H26" s="13" t="s">
        <v>5</v>
      </c>
      <c r="I26" s="32">
        <v>0.17699999999999999</v>
      </c>
      <c r="J26" s="32"/>
      <c r="K26" s="6">
        <v>3.3244699999999997E-5</v>
      </c>
      <c r="L26" s="14">
        <v>11083</v>
      </c>
      <c r="M26" s="31">
        <v>2.0859999999999999</v>
      </c>
      <c r="N26" s="13" t="s">
        <v>5</v>
      </c>
      <c r="P26" s="41">
        <f t="shared" si="0"/>
        <v>33.244699999999995</v>
      </c>
      <c r="R26" s="4">
        <f t="shared" si="1"/>
        <v>2.3553999999999999</v>
      </c>
      <c r="T26" s="41">
        <f t="shared" si="2"/>
        <v>1.8845802495610615</v>
      </c>
      <c r="U26" s="41">
        <f t="shared" si="3"/>
        <v>2.3553999999999999</v>
      </c>
      <c r="V26" s="48">
        <f t="shared" si="9"/>
        <v>-0.19988950939922664</v>
      </c>
      <c r="W26" s="44">
        <f t="shared" si="4"/>
        <v>0.19988950939922664</v>
      </c>
      <c r="X26" s="46">
        <f t="shared" si="7"/>
        <v>2645</v>
      </c>
      <c r="Y26" s="47">
        <f t="shared" si="5"/>
        <v>6708</v>
      </c>
      <c r="Z26" s="4">
        <f t="shared" si="8"/>
        <v>0</v>
      </c>
    </row>
    <row r="27" spans="1:26" s="4" customFormat="1" x14ac:dyDescent="0.3">
      <c r="A27" s="4" t="s">
        <v>15</v>
      </c>
      <c r="B27" s="14">
        <v>5183</v>
      </c>
      <c r="C27" s="30">
        <v>157</v>
      </c>
      <c r="D27" s="20">
        <f>(3845*1.1132+109)</f>
        <v>4389.2539999999999</v>
      </c>
      <c r="E27" s="19">
        <f>(3845*1.1132*0.738+57*0.934+52*1.3185)/(3845*1.1132+109)</f>
        <v>0.74742255791075196</v>
      </c>
      <c r="F27" s="13">
        <v>47.57</v>
      </c>
      <c r="G27" s="31" t="s">
        <v>5</v>
      </c>
      <c r="H27" s="34">
        <v>6.4164260506897658E-4</v>
      </c>
      <c r="I27" s="32" t="s">
        <v>5</v>
      </c>
      <c r="J27" s="32"/>
      <c r="K27" s="23">
        <f>(1-0.98539)/0.98539*(1/(5515-5183))</f>
        <v>4.4658484555745014E-5</v>
      </c>
      <c r="L27" s="14">
        <v>5715</v>
      </c>
      <c r="M27" s="31" t="s">
        <v>5</v>
      </c>
      <c r="N27" s="34">
        <v>6.2735650788273449E-4</v>
      </c>
      <c r="P27" s="41">
        <f t="shared" si="0"/>
        <v>44.658484555745012</v>
      </c>
      <c r="R27" s="4">
        <f t="shared" si="1"/>
        <v>3.6028232274623036E-3</v>
      </c>
      <c r="T27" s="41">
        <f t="shared" si="2"/>
        <v>6.1262723923799999E-4</v>
      </c>
      <c r="U27" s="41">
        <f t="shared" si="3"/>
        <v>6.2735650788273449E-4</v>
      </c>
      <c r="V27" s="48">
        <f t="shared" si="9"/>
        <v>-2.3478306927020343E-2</v>
      </c>
      <c r="W27" s="44">
        <f t="shared" si="4"/>
        <v>2.3478306927020343E-2</v>
      </c>
      <c r="X27" s="46">
        <f t="shared" si="7"/>
        <v>4389.2539999999999</v>
      </c>
      <c r="Y27" s="47">
        <f t="shared" si="5"/>
        <v>532</v>
      </c>
      <c r="Z27" s="4">
        <f t="shared" si="8"/>
        <v>1</v>
      </c>
    </row>
    <row r="28" spans="1:26" s="4" customFormat="1" x14ac:dyDescent="0.3">
      <c r="A28" s="4" t="s">
        <v>15</v>
      </c>
      <c r="B28" s="14">
        <v>4088</v>
      </c>
      <c r="C28" s="30">
        <v>148</v>
      </c>
      <c r="D28" s="20">
        <v>2393</v>
      </c>
      <c r="E28" s="19">
        <v>0.80163309653155035</v>
      </c>
      <c r="F28" s="13">
        <v>47.6</v>
      </c>
      <c r="G28" s="31">
        <v>2.2130739781586799</v>
      </c>
      <c r="H28" s="13" t="s">
        <v>5</v>
      </c>
      <c r="I28" s="32">
        <v>0.14699999999999999</v>
      </c>
      <c r="J28" s="32"/>
      <c r="K28" s="23">
        <v>3.2993586346309899E-5</v>
      </c>
      <c r="L28" s="14">
        <v>6177</v>
      </c>
      <c r="M28" s="31">
        <v>2.1040654680209947</v>
      </c>
      <c r="N28" s="13" t="s">
        <v>5</v>
      </c>
      <c r="P28" s="41">
        <f t="shared" si="0"/>
        <v>32.993586346309897</v>
      </c>
      <c r="R28" s="4">
        <f t="shared" si="1"/>
        <v>2.2130739781586799</v>
      </c>
      <c r="T28" s="41">
        <f t="shared" si="2"/>
        <v>2.0656787967559889</v>
      </c>
      <c r="U28" s="41">
        <f t="shared" si="3"/>
        <v>2.2130739781586799</v>
      </c>
      <c r="V28" s="48">
        <f t="shared" si="9"/>
        <v>-6.6602012791875428E-2</v>
      </c>
      <c r="W28" s="44">
        <f t="shared" si="4"/>
        <v>6.6602012791875428E-2</v>
      </c>
      <c r="X28" s="46">
        <f t="shared" si="7"/>
        <v>2393</v>
      </c>
      <c r="Y28" s="47">
        <f t="shared" si="5"/>
        <v>2089</v>
      </c>
      <c r="Z28" s="4">
        <f t="shared" si="8"/>
        <v>0</v>
      </c>
    </row>
    <row r="29" spans="1:26" s="4" customFormat="1" x14ac:dyDescent="0.3">
      <c r="A29" s="4" t="s">
        <v>15</v>
      </c>
      <c r="B29" s="14">
        <v>4328.6499999999996</v>
      </c>
      <c r="C29" s="30">
        <v>143</v>
      </c>
      <c r="D29" s="20">
        <v>2261</v>
      </c>
      <c r="E29" s="19">
        <v>0.8055714285714286</v>
      </c>
      <c r="F29" s="13">
        <v>45.352893388326464</v>
      </c>
      <c r="G29" s="31">
        <v>2.1920000000000002</v>
      </c>
      <c r="H29" s="13" t="s">
        <v>5</v>
      </c>
      <c r="I29" s="32">
        <v>0.16600000000000001</v>
      </c>
      <c r="J29" s="32"/>
      <c r="K29" s="6">
        <v>2.97878E-5</v>
      </c>
      <c r="L29" s="14">
        <v>7114.65</v>
      </c>
      <c r="M29" s="31">
        <v>2.0699999999999998</v>
      </c>
      <c r="N29" s="13" t="s">
        <v>5</v>
      </c>
      <c r="P29" s="41">
        <f t="shared" si="0"/>
        <v>29.787800000000001</v>
      </c>
      <c r="R29" s="4">
        <f t="shared" si="1"/>
        <v>2.1920000000000002</v>
      </c>
      <c r="T29" s="41">
        <f t="shared" si="2"/>
        <v>2.0174322880335818</v>
      </c>
      <c r="U29" s="41">
        <f t="shared" si="3"/>
        <v>2.1920000000000002</v>
      </c>
      <c r="V29" s="48">
        <f t="shared" si="9"/>
        <v>-7.9638554729205474E-2</v>
      </c>
      <c r="W29" s="44">
        <f t="shared" si="4"/>
        <v>7.9638554729205474E-2</v>
      </c>
      <c r="X29" s="46">
        <f t="shared" si="7"/>
        <v>2261</v>
      </c>
      <c r="Y29" s="47">
        <f t="shared" si="5"/>
        <v>2786</v>
      </c>
      <c r="Z29" s="4">
        <f t="shared" si="8"/>
        <v>0</v>
      </c>
    </row>
    <row r="30" spans="1:26" s="4" customFormat="1" x14ac:dyDescent="0.3">
      <c r="A30" s="4" t="s">
        <v>15</v>
      </c>
      <c r="B30" s="14">
        <v>3565</v>
      </c>
      <c r="C30" s="30">
        <v>142</v>
      </c>
      <c r="D30" s="20">
        <v>1598</v>
      </c>
      <c r="E30" s="19">
        <v>0.83444602876798013</v>
      </c>
      <c r="F30" s="13">
        <v>44.32</v>
      </c>
      <c r="G30" s="31">
        <v>1.8241000000000001</v>
      </c>
      <c r="H30" s="13" t="s">
        <v>5</v>
      </c>
      <c r="I30" s="32">
        <v>0.25900000000000001</v>
      </c>
      <c r="J30" s="32"/>
      <c r="K30" s="6">
        <v>2.1097100000000002E-5</v>
      </c>
      <c r="L30" s="14">
        <v>4731</v>
      </c>
      <c r="M30" s="31">
        <v>1.7854000000000001</v>
      </c>
      <c r="N30" s="13" t="s">
        <v>5</v>
      </c>
      <c r="P30" s="41">
        <f t="shared" si="0"/>
        <v>21.097100000000001</v>
      </c>
      <c r="R30" s="4">
        <f t="shared" si="1"/>
        <v>1.8241000000000001</v>
      </c>
      <c r="T30" s="41">
        <f t="shared" si="2"/>
        <v>1.7797759687154959</v>
      </c>
      <c r="U30" s="41">
        <f t="shared" si="3"/>
        <v>1.8241000000000001</v>
      </c>
      <c r="V30" s="48">
        <f t="shared" si="9"/>
        <v>-2.4299123559291775E-2</v>
      </c>
      <c r="W30" s="44">
        <f t="shared" si="4"/>
        <v>2.4299123559291775E-2</v>
      </c>
      <c r="X30" s="46">
        <f t="shared" si="7"/>
        <v>1598</v>
      </c>
      <c r="Y30" s="47">
        <f t="shared" si="5"/>
        <v>1166</v>
      </c>
      <c r="Z30" s="4">
        <f t="shared" si="8"/>
        <v>0</v>
      </c>
    </row>
    <row r="31" spans="1:26" s="4" customFormat="1" x14ac:dyDescent="0.3">
      <c r="A31" s="4" t="s">
        <v>15</v>
      </c>
      <c r="B31" s="14">
        <v>4451</v>
      </c>
      <c r="C31" s="30">
        <v>151</v>
      </c>
      <c r="D31" s="20">
        <v>2689</v>
      </c>
      <c r="E31" s="19">
        <v>0.86693904456452753</v>
      </c>
      <c r="F31" s="13">
        <v>46.13</v>
      </c>
      <c r="G31" s="31">
        <v>2.4154</v>
      </c>
      <c r="H31" s="13" t="s">
        <v>5</v>
      </c>
      <c r="I31" s="32">
        <v>0.186</v>
      </c>
      <c r="J31" s="32"/>
      <c r="K31" s="6">
        <v>3.8010199999999997E-5</v>
      </c>
      <c r="L31" s="14">
        <v>6961</v>
      </c>
      <c r="M31" s="31">
        <v>2.2726000000000002</v>
      </c>
      <c r="N31" s="13" t="s">
        <v>5</v>
      </c>
      <c r="P31" s="41">
        <f t="shared" si="0"/>
        <v>38.010199999999998</v>
      </c>
      <c r="R31" s="4">
        <f t="shared" si="1"/>
        <v>2.4154</v>
      </c>
      <c r="T31" s="41">
        <f t="shared" si="2"/>
        <v>2.1956086620225479</v>
      </c>
      <c r="U31" s="41">
        <f t="shared" si="3"/>
        <v>2.4154</v>
      </c>
      <c r="V31" s="48">
        <f t="shared" si="9"/>
        <v>-9.0995834221020158E-2</v>
      </c>
      <c r="W31" s="44">
        <f t="shared" si="4"/>
        <v>9.0995834221020158E-2</v>
      </c>
      <c r="X31" s="46">
        <f t="shared" si="7"/>
        <v>2689</v>
      </c>
      <c r="Y31" s="47">
        <f t="shared" si="5"/>
        <v>2510</v>
      </c>
      <c r="Z31" s="4">
        <f t="shared" si="8"/>
        <v>0</v>
      </c>
    </row>
    <row r="32" spans="1:26" s="4" customFormat="1" x14ac:dyDescent="0.3">
      <c r="A32" s="4" t="s">
        <v>15</v>
      </c>
      <c r="B32" s="14">
        <v>3995</v>
      </c>
      <c r="C32" s="30">
        <v>162</v>
      </c>
      <c r="D32" s="20">
        <v>2072</v>
      </c>
      <c r="E32" s="19">
        <v>0.84604101208844851</v>
      </c>
      <c r="F32" s="13">
        <v>44.89</v>
      </c>
      <c r="G32" s="31">
        <v>2.1619999999999999</v>
      </c>
      <c r="H32" s="13" t="s">
        <v>5</v>
      </c>
      <c r="I32" s="32">
        <v>0.151</v>
      </c>
      <c r="J32" s="32"/>
      <c r="K32" s="6">
        <v>2.9722599999999999E-5</v>
      </c>
      <c r="L32" s="14">
        <v>7154</v>
      </c>
      <c r="M32" s="31">
        <v>2.0295999999999998</v>
      </c>
      <c r="N32" s="13" t="s">
        <v>5</v>
      </c>
      <c r="P32" s="41">
        <f t="shared" si="0"/>
        <v>29.7226</v>
      </c>
      <c r="R32" s="4">
        <f t="shared" si="1"/>
        <v>2.1619999999999999</v>
      </c>
      <c r="T32" s="41">
        <f t="shared" si="2"/>
        <v>1.9682405578049795</v>
      </c>
      <c r="U32" s="41">
        <f t="shared" si="3"/>
        <v>2.1619999999999999</v>
      </c>
      <c r="V32" s="48">
        <f t="shared" si="9"/>
        <v>-8.9620463549963184E-2</v>
      </c>
      <c r="W32" s="44">
        <f t="shared" si="4"/>
        <v>8.9620463549963184E-2</v>
      </c>
      <c r="X32" s="46">
        <f t="shared" si="7"/>
        <v>2072</v>
      </c>
      <c r="Y32" s="47">
        <f t="shared" si="5"/>
        <v>3159</v>
      </c>
      <c r="Z32" s="4">
        <f t="shared" si="8"/>
        <v>0</v>
      </c>
    </row>
    <row r="33" spans="1:26" s="4" customFormat="1" x14ac:dyDescent="0.3">
      <c r="A33" s="4" t="s">
        <v>15</v>
      </c>
      <c r="B33" s="14">
        <v>3955</v>
      </c>
      <c r="C33" s="30">
        <v>140</v>
      </c>
      <c r="D33" s="20">
        <v>1776</v>
      </c>
      <c r="E33" s="19">
        <v>0.83418704954954959</v>
      </c>
      <c r="F33" s="13">
        <v>44.12</v>
      </c>
      <c r="G33" s="31">
        <v>1.901</v>
      </c>
      <c r="H33" s="13" t="s">
        <v>5</v>
      </c>
      <c r="I33" s="32">
        <v>0.21299999999999999</v>
      </c>
      <c r="J33" s="32"/>
      <c r="K33" s="6">
        <v>2.2328200000000001E-5</v>
      </c>
      <c r="L33" s="14">
        <v>3726</v>
      </c>
      <c r="M33" s="31">
        <v>1.901</v>
      </c>
      <c r="N33" s="13" t="s">
        <v>5</v>
      </c>
      <c r="P33" s="41">
        <f t="shared" si="0"/>
        <v>22.328200000000002</v>
      </c>
      <c r="R33" s="4">
        <f t="shared" si="1"/>
        <v>1.901</v>
      </c>
      <c r="T33" s="41">
        <f t="shared" si="2"/>
        <v>1.9107450056221336</v>
      </c>
      <c r="U33" s="41">
        <f t="shared" si="3"/>
        <v>1.901</v>
      </c>
      <c r="V33" s="41"/>
      <c r="W33" s="44">
        <f t="shared" si="4"/>
        <v>5.1262522999124356E-3</v>
      </c>
      <c r="X33" s="46">
        <f t="shared" si="7"/>
        <v>1776</v>
      </c>
      <c r="Y33" s="47">
        <f t="shared" si="5"/>
        <v>-229</v>
      </c>
      <c r="Z33" s="4">
        <f t="shared" si="8"/>
        <v>0</v>
      </c>
    </row>
    <row r="34" spans="1:26" s="4" customFormat="1" x14ac:dyDescent="0.3">
      <c r="A34" s="4" t="s">
        <v>15</v>
      </c>
      <c r="B34" s="14">
        <v>3865</v>
      </c>
      <c r="C34" s="30">
        <v>147</v>
      </c>
      <c r="D34" s="20">
        <v>1786</v>
      </c>
      <c r="E34" s="19">
        <v>0.84211125419932797</v>
      </c>
      <c r="F34" s="13">
        <v>43.8</v>
      </c>
      <c r="G34" s="31">
        <v>1.9545999999999999</v>
      </c>
      <c r="H34" s="13" t="s">
        <v>5</v>
      </c>
      <c r="I34" s="32">
        <v>0.20799999999999999</v>
      </c>
      <c r="J34" s="32"/>
      <c r="K34" s="6">
        <v>2.40754E-5</v>
      </c>
      <c r="L34" s="14">
        <v>4774</v>
      </c>
      <c r="M34" s="31">
        <v>1.9172</v>
      </c>
      <c r="N34" s="13" t="s">
        <v>5</v>
      </c>
      <c r="P34" s="41">
        <f t="shared" si="0"/>
        <v>24.075399999999998</v>
      </c>
      <c r="R34" s="4">
        <f t="shared" si="1"/>
        <v>1.9545999999999999</v>
      </c>
      <c r="T34" s="41">
        <f t="shared" si="2"/>
        <v>1.9122891462669349</v>
      </c>
      <c r="U34" s="41">
        <f t="shared" si="3"/>
        <v>1.9545999999999999</v>
      </c>
      <c r="V34" s="48">
        <f t="shared" ref="V34:V45" si="10">((T34-U34)/U34)</f>
        <v>-2.1646809440839548E-2</v>
      </c>
      <c r="W34" s="44">
        <f t="shared" si="4"/>
        <v>2.1646809440839548E-2</v>
      </c>
      <c r="X34" s="46">
        <f t="shared" si="7"/>
        <v>1786</v>
      </c>
      <c r="Y34" s="47">
        <f t="shared" si="5"/>
        <v>909</v>
      </c>
      <c r="Z34" s="4">
        <f t="shared" si="8"/>
        <v>0</v>
      </c>
    </row>
    <row r="35" spans="1:26" s="4" customFormat="1" x14ac:dyDescent="0.3">
      <c r="A35" s="4" t="s">
        <v>15</v>
      </c>
      <c r="B35" s="14">
        <v>4217</v>
      </c>
      <c r="C35" s="30">
        <v>146</v>
      </c>
      <c r="D35" s="20">
        <v>2247</v>
      </c>
      <c r="E35" s="19">
        <v>0.8427257117437722</v>
      </c>
      <c r="F35" s="13">
        <v>46.89</v>
      </c>
      <c r="G35" s="31">
        <v>2.1732999999999998</v>
      </c>
      <c r="H35" s="13" t="s">
        <v>5</v>
      </c>
      <c r="I35" s="32">
        <v>0.21099999999999999</v>
      </c>
      <c r="J35" s="32"/>
      <c r="K35" s="6">
        <v>3.1637200000000003E-5</v>
      </c>
      <c r="L35" s="14">
        <v>6728</v>
      </c>
      <c r="M35" s="31">
        <v>2.0609999999999999</v>
      </c>
      <c r="N35" s="13" t="s">
        <v>5</v>
      </c>
      <c r="P35" s="41">
        <f t="shared" si="0"/>
        <v>31.637200000000004</v>
      </c>
      <c r="R35" s="4">
        <f t="shared" si="1"/>
        <v>2.1732999999999998</v>
      </c>
      <c r="T35" s="41">
        <f t="shared" si="2"/>
        <v>2.0073305213384898</v>
      </c>
      <c r="U35" s="41">
        <f t="shared" si="3"/>
        <v>2.1732999999999998</v>
      </c>
      <c r="V35" s="48">
        <f t="shared" si="10"/>
        <v>-7.6367495818115319E-2</v>
      </c>
      <c r="W35" s="44">
        <f t="shared" si="4"/>
        <v>7.6367495818115319E-2</v>
      </c>
      <c r="X35" s="46">
        <f t="shared" si="7"/>
        <v>2247</v>
      </c>
      <c r="Y35" s="47">
        <f t="shared" si="5"/>
        <v>2511</v>
      </c>
      <c r="Z35" s="4">
        <f t="shared" si="8"/>
        <v>0</v>
      </c>
    </row>
    <row r="36" spans="1:26" s="4" customFormat="1" x14ac:dyDescent="0.3">
      <c r="A36" s="4" t="s">
        <v>15</v>
      </c>
      <c r="B36" s="14">
        <v>4145</v>
      </c>
      <c r="C36" s="30">
        <v>158</v>
      </c>
      <c r="D36" s="20">
        <v>2196</v>
      </c>
      <c r="E36" s="19">
        <v>0.82779175398633253</v>
      </c>
      <c r="F36" s="13">
        <v>47.32</v>
      </c>
      <c r="G36" s="31">
        <v>2.1798999999999999</v>
      </c>
      <c r="H36" s="13" t="s">
        <v>5</v>
      </c>
      <c r="I36" s="32">
        <v>0.185</v>
      </c>
      <c r="J36" s="32"/>
      <c r="K36" s="6">
        <v>3.0255000000000001E-5</v>
      </c>
      <c r="L36" s="14">
        <v>5823</v>
      </c>
      <c r="M36" s="31">
        <v>2.0948000000000002</v>
      </c>
      <c r="N36" s="13" t="s">
        <v>5</v>
      </c>
      <c r="P36" s="41">
        <f t="shared" si="0"/>
        <v>30.255000000000003</v>
      </c>
      <c r="R36" s="4">
        <f t="shared" si="1"/>
        <v>2.1798999999999999</v>
      </c>
      <c r="T36" s="41">
        <f t="shared" si="2"/>
        <v>2.0719933484596917</v>
      </c>
      <c r="U36" s="41">
        <f t="shared" si="3"/>
        <v>2.1798999999999999</v>
      </c>
      <c r="V36" s="48">
        <f t="shared" si="10"/>
        <v>-4.9500734685218685E-2</v>
      </c>
      <c r="W36" s="44">
        <f t="shared" si="4"/>
        <v>4.9500734685218685E-2</v>
      </c>
      <c r="X36" s="46">
        <f t="shared" si="7"/>
        <v>2196</v>
      </c>
      <c r="Y36" s="47">
        <f t="shared" si="5"/>
        <v>1678</v>
      </c>
      <c r="Z36" s="4">
        <f t="shared" si="8"/>
        <v>0</v>
      </c>
    </row>
    <row r="37" spans="1:26" s="4" customFormat="1" x14ac:dyDescent="0.3">
      <c r="A37" s="4" t="s">
        <v>15</v>
      </c>
      <c r="B37" s="14">
        <v>3465</v>
      </c>
      <c r="C37" s="30">
        <v>140</v>
      </c>
      <c r="D37" s="20">
        <v>1455</v>
      </c>
      <c r="E37" s="19">
        <v>0.80935814432989683</v>
      </c>
      <c r="F37" s="13">
        <v>43.88</v>
      </c>
      <c r="G37" s="31">
        <v>1.7339</v>
      </c>
      <c r="H37" s="13" t="s">
        <v>5</v>
      </c>
      <c r="I37" s="32">
        <v>0.434</v>
      </c>
      <c r="J37" s="32"/>
      <c r="K37" s="6">
        <v>2.06329E-5</v>
      </c>
      <c r="L37" s="14">
        <v>4865</v>
      </c>
      <c r="M37" s="31">
        <v>1.6921999999999999</v>
      </c>
      <c r="N37" s="13" t="s">
        <v>5</v>
      </c>
      <c r="P37" s="41">
        <f t="shared" si="0"/>
        <v>20.632899999999999</v>
      </c>
      <c r="R37" s="4">
        <f t="shared" si="1"/>
        <v>1.7339</v>
      </c>
      <c r="T37" s="41">
        <f t="shared" si="2"/>
        <v>1.6845309322589201</v>
      </c>
      <c r="U37" s="41">
        <f t="shared" si="3"/>
        <v>1.7339</v>
      </c>
      <c r="V37" s="48">
        <f t="shared" si="10"/>
        <v>-2.8472846035572902E-2</v>
      </c>
      <c r="W37" s="44">
        <f t="shared" si="4"/>
        <v>2.8472846035572902E-2</v>
      </c>
      <c r="X37" s="46">
        <f t="shared" si="7"/>
        <v>1455</v>
      </c>
      <c r="Y37" s="47">
        <f t="shared" si="5"/>
        <v>1400</v>
      </c>
      <c r="Z37" s="4">
        <f t="shared" si="8"/>
        <v>0</v>
      </c>
    </row>
    <row r="38" spans="1:26" s="4" customFormat="1" x14ac:dyDescent="0.3">
      <c r="A38" s="4" t="s">
        <v>15</v>
      </c>
      <c r="B38" s="14">
        <v>2515</v>
      </c>
      <c r="C38" s="30">
        <v>149</v>
      </c>
      <c r="D38" s="20">
        <v>761</v>
      </c>
      <c r="E38" s="19">
        <v>0.88659053876478311</v>
      </c>
      <c r="F38" s="13">
        <v>40.659999999999997</v>
      </c>
      <c r="G38" s="31">
        <v>1.4036</v>
      </c>
      <c r="H38" s="13" t="s">
        <v>5</v>
      </c>
      <c r="I38" s="32">
        <v>0.41199999999999998</v>
      </c>
      <c r="J38" s="32"/>
      <c r="K38" s="6">
        <v>1.3774100000000001E-5</v>
      </c>
      <c r="L38" s="14">
        <v>5309</v>
      </c>
      <c r="M38" s="31">
        <v>1.3613999999999999</v>
      </c>
      <c r="N38" s="13" t="s">
        <v>5</v>
      </c>
      <c r="P38" s="41">
        <f t="shared" si="0"/>
        <v>13.774100000000001</v>
      </c>
      <c r="R38" s="4">
        <f t="shared" si="1"/>
        <v>1.4036</v>
      </c>
      <c r="T38" s="41">
        <f t="shared" si="2"/>
        <v>1.3506089020612684</v>
      </c>
      <c r="U38" s="41">
        <f t="shared" si="3"/>
        <v>1.4036</v>
      </c>
      <c r="V38" s="48">
        <f t="shared" si="10"/>
        <v>-3.7753703290632358E-2</v>
      </c>
      <c r="W38" s="44">
        <f t="shared" si="4"/>
        <v>3.7753703290632358E-2</v>
      </c>
      <c r="X38" s="46">
        <f t="shared" si="7"/>
        <v>761</v>
      </c>
      <c r="Y38" s="47">
        <f t="shared" si="5"/>
        <v>2794</v>
      </c>
      <c r="Z38" s="4">
        <f t="shared" si="8"/>
        <v>0</v>
      </c>
    </row>
    <row r="39" spans="1:26" s="4" customFormat="1" x14ac:dyDescent="0.3">
      <c r="A39" s="4" t="s">
        <v>15</v>
      </c>
      <c r="B39" s="14">
        <v>2215</v>
      </c>
      <c r="C39" s="30">
        <v>157</v>
      </c>
      <c r="D39" s="20">
        <v>694</v>
      </c>
      <c r="E39" s="19">
        <v>0.91650691642651272</v>
      </c>
      <c r="F39" s="13">
        <v>40.619999999999997</v>
      </c>
      <c r="G39" s="31">
        <v>1.3705000000000001</v>
      </c>
      <c r="H39" s="33" t="s">
        <v>5</v>
      </c>
      <c r="I39" s="32">
        <v>0.45300000000000001</v>
      </c>
      <c r="J39" s="32"/>
      <c r="K39" s="6">
        <v>1.46343E-5</v>
      </c>
      <c r="L39" s="14">
        <v>5916</v>
      </c>
      <c r="M39" s="31">
        <v>1.3181</v>
      </c>
      <c r="N39" s="13" t="s">
        <v>5</v>
      </c>
      <c r="P39" s="41">
        <f t="shared" si="0"/>
        <v>14.6343</v>
      </c>
      <c r="R39" s="4">
        <f t="shared" si="1"/>
        <v>1.3705000000000001</v>
      </c>
      <c r="T39" s="41">
        <f t="shared" si="2"/>
        <v>1.2982459607849621</v>
      </c>
      <c r="U39" s="41">
        <f t="shared" si="3"/>
        <v>1.3705000000000001</v>
      </c>
      <c r="V39" s="48">
        <f t="shared" si="10"/>
        <v>-5.2720933392949962E-2</v>
      </c>
      <c r="W39" s="44">
        <f t="shared" si="4"/>
        <v>5.2720933392949962E-2</v>
      </c>
      <c r="X39" s="46">
        <f t="shared" si="7"/>
        <v>694</v>
      </c>
      <c r="Y39" s="47">
        <f t="shared" si="5"/>
        <v>3701</v>
      </c>
      <c r="Z39" s="4">
        <f t="shared" si="8"/>
        <v>0</v>
      </c>
    </row>
    <row r="40" spans="1:26" s="4" customFormat="1" x14ac:dyDescent="0.3">
      <c r="A40" s="4" t="s">
        <v>15</v>
      </c>
      <c r="B40" s="14">
        <v>3165</v>
      </c>
      <c r="C40" s="30">
        <v>169</v>
      </c>
      <c r="D40" s="20">
        <v>1193</v>
      </c>
      <c r="E40" s="19">
        <v>0.92319242033006776</v>
      </c>
      <c r="F40" s="13">
        <v>43.95</v>
      </c>
      <c r="G40" s="31">
        <v>1.6789000000000001</v>
      </c>
      <c r="H40" s="13" t="s">
        <v>5</v>
      </c>
      <c r="I40" s="32">
        <v>0.23499999999999999</v>
      </c>
      <c r="J40" s="32"/>
      <c r="K40" s="6">
        <v>2.0536100000000001E-5</v>
      </c>
      <c r="L40" s="14">
        <v>6972</v>
      </c>
      <c r="M40" s="31">
        <v>1.5885</v>
      </c>
      <c r="N40" s="13" t="s">
        <v>5</v>
      </c>
      <c r="P40" s="41">
        <f t="shared" si="0"/>
        <v>20.536100000000001</v>
      </c>
      <c r="R40" s="4">
        <f t="shared" si="1"/>
        <v>1.6789000000000001</v>
      </c>
      <c r="T40" s="41">
        <f t="shared" si="2"/>
        <v>1.5526418266304503</v>
      </c>
      <c r="U40" s="41">
        <f t="shared" si="3"/>
        <v>1.6789000000000001</v>
      </c>
      <c r="V40" s="48">
        <f t="shared" si="10"/>
        <v>-7.5202914628357737E-2</v>
      </c>
      <c r="W40" s="44">
        <f t="shared" si="4"/>
        <v>7.5202914628357737E-2</v>
      </c>
      <c r="X40" s="46">
        <f t="shared" si="7"/>
        <v>1193</v>
      </c>
      <c r="Y40" s="47">
        <f t="shared" si="5"/>
        <v>3807</v>
      </c>
      <c r="Z40" s="4">
        <f t="shared" si="8"/>
        <v>0</v>
      </c>
    </row>
    <row r="41" spans="1:26" s="4" customFormat="1" x14ac:dyDescent="0.3">
      <c r="A41" s="4" t="s">
        <v>15</v>
      </c>
      <c r="B41" s="14">
        <v>5655</v>
      </c>
      <c r="C41" s="30">
        <v>165</v>
      </c>
      <c r="D41" s="20">
        <v>2539</v>
      </c>
      <c r="E41" s="19">
        <v>0.77590107505608719</v>
      </c>
      <c r="F41" s="13">
        <v>41.67</v>
      </c>
      <c r="G41" s="31">
        <v>2.2337833825723759</v>
      </c>
      <c r="H41" s="13" t="s">
        <v>5</v>
      </c>
      <c r="I41" s="32">
        <v>0.249</v>
      </c>
      <c r="J41" s="32"/>
      <c r="K41" s="6">
        <v>2.70824E-5</v>
      </c>
      <c r="L41" s="14">
        <v>6515</v>
      </c>
      <c r="M41" s="31">
        <v>2.1887727105337955</v>
      </c>
      <c r="N41" s="13" t="s">
        <v>5</v>
      </c>
      <c r="P41" s="41">
        <f t="shared" si="0"/>
        <v>27.0824</v>
      </c>
      <c r="R41" s="4">
        <f t="shared" si="1"/>
        <v>2.2337833825723759</v>
      </c>
      <c r="T41" s="41">
        <f t="shared" si="2"/>
        <v>2.1823578350101061</v>
      </c>
      <c r="U41" s="41">
        <f t="shared" si="3"/>
        <v>2.2337833825723759</v>
      </c>
      <c r="V41" s="48">
        <f t="shared" si="10"/>
        <v>-2.3021725366695705E-2</v>
      </c>
      <c r="W41" s="44">
        <f t="shared" si="4"/>
        <v>2.3021725366695705E-2</v>
      </c>
      <c r="X41" s="46">
        <f t="shared" si="7"/>
        <v>2539</v>
      </c>
      <c r="Y41" s="47">
        <f t="shared" si="5"/>
        <v>860</v>
      </c>
      <c r="Z41" s="4">
        <f t="shared" si="8"/>
        <v>0</v>
      </c>
    </row>
    <row r="42" spans="1:26" s="4" customFormat="1" x14ac:dyDescent="0.3">
      <c r="A42" s="4" t="s">
        <v>15</v>
      </c>
      <c r="B42" s="14">
        <v>3865</v>
      </c>
      <c r="C42" s="30">
        <v>165</v>
      </c>
      <c r="D42" s="20">
        <v>1311</v>
      </c>
      <c r="E42" s="19">
        <v>0.80779518026477171</v>
      </c>
      <c r="F42" s="13">
        <v>41.31</v>
      </c>
      <c r="G42" s="31">
        <v>1.7010000000000001</v>
      </c>
      <c r="H42" s="13" t="s">
        <v>5</v>
      </c>
      <c r="I42" s="32">
        <v>0.36599999999999999</v>
      </c>
      <c r="J42" s="32"/>
      <c r="K42" s="6">
        <v>2.0366100000000001E-5</v>
      </c>
      <c r="L42" s="14">
        <v>7215</v>
      </c>
      <c r="M42" s="31">
        <v>1.6188</v>
      </c>
      <c r="N42" s="13" t="s">
        <v>5</v>
      </c>
      <c r="P42" s="41">
        <f t="shared" si="0"/>
        <v>20.366100000000003</v>
      </c>
      <c r="R42" s="4">
        <f t="shared" si="1"/>
        <v>1.7010000000000001</v>
      </c>
      <c r="T42" s="41">
        <f t="shared" si="2"/>
        <v>1.5888172609837128</v>
      </c>
      <c r="U42" s="41">
        <f t="shared" si="3"/>
        <v>1.7010000000000001</v>
      </c>
      <c r="V42" s="48">
        <f t="shared" si="10"/>
        <v>-6.5951051743849076E-2</v>
      </c>
      <c r="W42" s="44">
        <f t="shared" si="4"/>
        <v>6.5951051743849076E-2</v>
      </c>
      <c r="X42" s="46">
        <f t="shared" si="7"/>
        <v>1311</v>
      </c>
      <c r="Y42" s="47">
        <f t="shared" si="5"/>
        <v>3350</v>
      </c>
      <c r="Z42" s="4">
        <f t="shared" si="8"/>
        <v>0</v>
      </c>
    </row>
    <row r="43" spans="1:26" s="4" customFormat="1" x14ac:dyDescent="0.3">
      <c r="A43" s="4" t="s">
        <v>15</v>
      </c>
      <c r="B43" s="14">
        <v>4820</v>
      </c>
      <c r="C43" s="30">
        <v>176</v>
      </c>
      <c r="D43" s="20">
        <v>7104</v>
      </c>
      <c r="E43" s="19">
        <v>0.75817891207484189</v>
      </c>
      <c r="F43" s="13">
        <v>52.3</v>
      </c>
      <c r="G43" s="31">
        <v>5.1120000000000001</v>
      </c>
      <c r="H43" s="34" t="s">
        <v>5</v>
      </c>
      <c r="I43" s="32">
        <v>5.0999999999999997E-2</v>
      </c>
      <c r="J43" s="32"/>
      <c r="K43" s="23">
        <v>7.5153502924252676E-5</v>
      </c>
      <c r="L43" s="14">
        <v>7596</v>
      </c>
      <c r="M43" s="31" t="s">
        <v>5</v>
      </c>
      <c r="N43" s="34" t="s">
        <v>5</v>
      </c>
      <c r="P43" s="41">
        <f t="shared" si="0"/>
        <v>75.153502924252678</v>
      </c>
      <c r="R43" s="4">
        <f t="shared" si="1"/>
        <v>5.1120000000000001</v>
      </c>
      <c r="T43" s="41" t="e">
        <f t="shared" si="2"/>
        <v>#VALUE!</v>
      </c>
      <c r="U43" s="41" t="str">
        <f t="shared" si="3"/>
        <v>N/A</v>
      </c>
      <c r="V43" s="48" t="e">
        <f t="shared" si="10"/>
        <v>#VALUE!</v>
      </c>
      <c r="W43" s="44" t="e">
        <f t="shared" si="4"/>
        <v>#VALUE!</v>
      </c>
      <c r="X43" s="46">
        <f t="shared" si="7"/>
        <v>7104</v>
      </c>
      <c r="Y43" s="47">
        <f t="shared" si="5"/>
        <v>2776</v>
      </c>
      <c r="Z43" s="4">
        <f t="shared" ref="Z43:Z45" si="11">IF(H43&lt;&gt;"N/A",1,0)</f>
        <v>0</v>
      </c>
    </row>
    <row r="44" spans="1:26" s="4" customFormat="1" x14ac:dyDescent="0.3">
      <c r="A44" s="4" t="s">
        <v>15</v>
      </c>
      <c r="B44" s="14">
        <v>3815</v>
      </c>
      <c r="C44" s="30">
        <v>149</v>
      </c>
      <c r="D44" s="20">
        <v>1583</v>
      </c>
      <c r="E44" s="19">
        <v>0.82023585858585857</v>
      </c>
      <c r="F44" s="13">
        <v>44.41</v>
      </c>
      <c r="G44" s="31">
        <v>1.8231999999999999</v>
      </c>
      <c r="H44" s="13" t="s">
        <v>5</v>
      </c>
      <c r="I44" s="32">
        <v>0.254</v>
      </c>
      <c r="J44" s="32"/>
      <c r="K44" s="6">
        <v>2.1942399999999998E-5</v>
      </c>
      <c r="L44" s="14">
        <v>5215</v>
      </c>
      <c r="M44" s="31">
        <v>1.7758</v>
      </c>
      <c r="N44" s="13" t="s">
        <v>5</v>
      </c>
      <c r="P44" s="41">
        <f t="shared" si="0"/>
        <v>21.942399999999999</v>
      </c>
      <c r="R44" s="4">
        <f t="shared" si="1"/>
        <v>1.8231999999999999</v>
      </c>
      <c r="T44" s="41">
        <f t="shared" si="2"/>
        <v>1.7680439790764915</v>
      </c>
      <c r="U44" s="41">
        <f t="shared" si="3"/>
        <v>1.8231999999999999</v>
      </c>
      <c r="V44" s="48">
        <f t="shared" si="10"/>
        <v>-3.0252315118203414E-2</v>
      </c>
      <c r="W44" s="44">
        <f t="shared" si="4"/>
        <v>3.0252315118203414E-2</v>
      </c>
      <c r="X44" s="46">
        <f t="shared" si="7"/>
        <v>1583</v>
      </c>
      <c r="Y44" s="47">
        <f t="shared" si="5"/>
        <v>1400</v>
      </c>
      <c r="Z44" s="4">
        <f t="shared" si="11"/>
        <v>0</v>
      </c>
    </row>
    <row r="45" spans="1:26" s="4" customFormat="1" x14ac:dyDescent="0.3">
      <c r="A45" s="4" t="s">
        <v>15</v>
      </c>
      <c r="B45" s="14">
        <v>3565</v>
      </c>
      <c r="C45" s="30">
        <v>152</v>
      </c>
      <c r="D45" s="20">
        <v>1562</v>
      </c>
      <c r="E45" s="19">
        <v>0.82400711082639333</v>
      </c>
      <c r="F45" s="13">
        <v>46.69</v>
      </c>
      <c r="G45" s="31">
        <v>1.8395999999999999</v>
      </c>
      <c r="H45" s="13" t="s">
        <v>5</v>
      </c>
      <c r="I45" s="32">
        <v>0.29299999999999998</v>
      </c>
      <c r="J45" s="32"/>
      <c r="K45" s="6">
        <v>2.3057500000000001E-5</v>
      </c>
      <c r="L45" s="14">
        <v>7315</v>
      </c>
      <c r="M45" s="31">
        <v>1.7322</v>
      </c>
      <c r="N45" s="13" t="s">
        <v>5</v>
      </c>
      <c r="P45" s="41">
        <f t="shared" si="0"/>
        <v>23.057500000000001</v>
      </c>
      <c r="R45" s="4">
        <f t="shared" si="1"/>
        <v>1.8395999999999999</v>
      </c>
      <c r="T45" s="41">
        <f t="shared" si="2"/>
        <v>1.6872205527540125</v>
      </c>
      <c r="U45" s="41">
        <f t="shared" si="3"/>
        <v>1.8395999999999999</v>
      </c>
      <c r="V45" s="48">
        <f t="shared" si="10"/>
        <v>-8.2832924138936406E-2</v>
      </c>
      <c r="W45" s="44">
        <f t="shared" si="4"/>
        <v>8.2832924138936406E-2</v>
      </c>
      <c r="X45" s="46">
        <f t="shared" si="7"/>
        <v>1562</v>
      </c>
      <c r="Y45" s="47">
        <f t="shared" si="5"/>
        <v>3750</v>
      </c>
      <c r="Z45" s="4">
        <f t="shared" si="11"/>
        <v>0</v>
      </c>
    </row>
    <row r="46" spans="1:26" s="4" customFormat="1" x14ac:dyDescent="0.3">
      <c r="A46" s="4" t="s">
        <v>15</v>
      </c>
      <c r="B46" s="14">
        <v>4271</v>
      </c>
      <c r="C46" s="30">
        <v>129</v>
      </c>
      <c r="D46" s="20">
        <v>1992</v>
      </c>
      <c r="E46" s="19">
        <v>0.84911701807228912</v>
      </c>
      <c r="F46" s="13">
        <v>46.91</v>
      </c>
      <c r="G46" s="31">
        <v>1.9789000000000001</v>
      </c>
      <c r="H46" s="13" t="s">
        <v>5</v>
      </c>
      <c r="I46" s="32">
        <v>0.504</v>
      </c>
      <c r="J46" s="32"/>
      <c r="K46" s="6">
        <v>2.2232000608155799E-5</v>
      </c>
      <c r="L46" s="14">
        <v>4215</v>
      </c>
      <c r="M46" s="31" t="s">
        <v>5</v>
      </c>
      <c r="N46" s="13" t="s">
        <v>5</v>
      </c>
      <c r="P46" s="41">
        <f t="shared" si="0"/>
        <v>22.232000608155797</v>
      </c>
      <c r="R46" s="4">
        <f t="shared" si="1"/>
        <v>1.9789000000000001</v>
      </c>
      <c r="T46" s="41" t="e">
        <f t="shared" si="2"/>
        <v>#VALUE!</v>
      </c>
      <c r="U46" s="41" t="str">
        <f t="shared" si="3"/>
        <v>N/A</v>
      </c>
      <c r="V46" s="41"/>
      <c r="W46" s="44" t="e">
        <f t="shared" si="4"/>
        <v>#VALUE!</v>
      </c>
      <c r="X46" s="46">
        <f t="shared" si="7"/>
        <v>1992</v>
      </c>
      <c r="Y46" s="47">
        <f t="shared" si="5"/>
        <v>-56</v>
      </c>
    </row>
    <row r="47" spans="1:26" s="4" customFormat="1" x14ac:dyDescent="0.3">
      <c r="A47" s="4" t="s">
        <v>15</v>
      </c>
      <c r="B47" s="14">
        <v>5335</v>
      </c>
      <c r="C47" s="30">
        <v>189</v>
      </c>
      <c r="D47" s="20">
        <f>(9000*1.0501+39)</f>
        <v>9489.9</v>
      </c>
      <c r="E47" s="19">
        <f>(9000*1.0501*0.7561+14*0.8875+25*1.3218)/(9000*1.0501+39)</f>
        <v>0.75778411679785873</v>
      </c>
      <c r="F47" s="13">
        <v>49.47</v>
      </c>
      <c r="G47" s="31" t="s">
        <v>5</v>
      </c>
      <c r="H47" s="34">
        <v>6.5025002113312563E-4</v>
      </c>
      <c r="I47" s="32" t="s">
        <v>5</v>
      </c>
      <c r="J47" s="32"/>
      <c r="K47" s="23">
        <v>6.6363559345965624E-5</v>
      </c>
      <c r="L47" s="14">
        <v>7765</v>
      </c>
      <c r="M47" s="31" t="s">
        <v>5</v>
      </c>
      <c r="N47" s="34">
        <v>5.7769407632494139E-4</v>
      </c>
      <c r="P47" s="41">
        <f t="shared" si="0"/>
        <v>66.363559345965626</v>
      </c>
      <c r="R47" s="4">
        <f t="shared" si="1"/>
        <v>3.6511538686625007E-3</v>
      </c>
      <c r="T47" s="41">
        <f t="shared" si="2"/>
        <v>4.9165684303042253E-4</v>
      </c>
      <c r="U47" s="41">
        <f t="shared" si="3"/>
        <v>5.7769407632494139E-4</v>
      </c>
      <c r="V47" s="48">
        <f t="shared" ref="V47:V103" si="12">((T47-U47)/U47)</f>
        <v>-0.14893217157747804</v>
      </c>
      <c r="W47" s="44">
        <f t="shared" si="4"/>
        <v>0.14893217157747804</v>
      </c>
      <c r="X47" s="46">
        <f t="shared" si="7"/>
        <v>9489.9</v>
      </c>
      <c r="Y47" s="47">
        <f t="shared" si="5"/>
        <v>2430</v>
      </c>
      <c r="Z47" s="4">
        <f t="shared" ref="Z47:Z64" si="13">IF(H47&lt;&gt;"N/A",1,0)</f>
        <v>1</v>
      </c>
    </row>
    <row r="48" spans="1:26" s="4" customFormat="1" x14ac:dyDescent="0.3">
      <c r="A48" s="4" t="s">
        <v>15</v>
      </c>
      <c r="B48" s="14">
        <v>3615</v>
      </c>
      <c r="C48" s="30">
        <v>143</v>
      </c>
      <c r="D48" s="20">
        <v>1537</v>
      </c>
      <c r="E48" s="19">
        <v>0.83229050097592716</v>
      </c>
      <c r="F48" s="13">
        <v>44.76</v>
      </c>
      <c r="G48" s="31">
        <v>1.7962</v>
      </c>
      <c r="H48" s="13" t="s">
        <v>5</v>
      </c>
      <c r="I48" s="32">
        <v>0.23799999999999999</v>
      </c>
      <c r="J48" s="32"/>
      <c r="K48" s="6">
        <v>2.0970200000000001E-5</v>
      </c>
      <c r="L48" s="14">
        <v>5365</v>
      </c>
      <c r="M48" s="31">
        <v>1.7427999999999999</v>
      </c>
      <c r="N48" s="13" t="s">
        <v>5</v>
      </c>
      <c r="P48" s="41">
        <f t="shared" si="0"/>
        <v>20.970200000000002</v>
      </c>
      <c r="R48" s="4">
        <f t="shared" si="1"/>
        <v>1.7962</v>
      </c>
      <c r="T48" s="41">
        <f t="shared" si="2"/>
        <v>1.7314781614110772</v>
      </c>
      <c r="U48" s="41">
        <f t="shared" si="3"/>
        <v>1.7962</v>
      </c>
      <c r="V48" s="48">
        <f t="shared" si="12"/>
        <v>-3.6032645912995646E-2</v>
      </c>
      <c r="W48" s="44">
        <f t="shared" si="4"/>
        <v>3.6032645912995646E-2</v>
      </c>
      <c r="X48" s="46">
        <f t="shared" si="7"/>
        <v>1537</v>
      </c>
      <c r="Y48" s="47">
        <f t="shared" si="5"/>
        <v>1750</v>
      </c>
      <c r="Z48" s="4">
        <f t="shared" si="13"/>
        <v>0</v>
      </c>
    </row>
    <row r="49" spans="1:26" s="4" customFormat="1" x14ac:dyDescent="0.3">
      <c r="A49" s="4" t="s">
        <v>15</v>
      </c>
      <c r="B49" s="14">
        <v>3992</v>
      </c>
      <c r="C49" s="30">
        <v>169</v>
      </c>
      <c r="D49" s="20">
        <v>1902.8279498619736</v>
      </c>
      <c r="E49" s="19">
        <v>0.83751465827147997</v>
      </c>
      <c r="F49" s="13">
        <v>46.98</v>
      </c>
      <c r="G49" s="31">
        <v>2.0244</v>
      </c>
      <c r="H49" s="13" t="s">
        <v>5</v>
      </c>
      <c r="I49" s="32">
        <v>0.188</v>
      </c>
      <c r="J49" s="32"/>
      <c r="K49" s="6">
        <v>2.8958600000000001E-5</v>
      </c>
      <c r="L49" s="14">
        <v>7108</v>
      </c>
      <c r="M49" s="31">
        <v>1.9049</v>
      </c>
      <c r="N49" s="13" t="s">
        <v>5</v>
      </c>
      <c r="P49" s="41">
        <f t="shared" si="0"/>
        <v>28.958600000000001</v>
      </c>
      <c r="R49" s="4">
        <f t="shared" si="1"/>
        <v>2.0244</v>
      </c>
      <c r="T49" s="41">
        <f t="shared" si="2"/>
        <v>1.8497275588475313</v>
      </c>
      <c r="U49" s="41">
        <f t="shared" si="3"/>
        <v>2.0244</v>
      </c>
      <c r="V49" s="48">
        <f t="shared" si="12"/>
        <v>-8.6283561130442957E-2</v>
      </c>
      <c r="W49" s="44">
        <f t="shared" si="4"/>
        <v>8.6283561130442957E-2</v>
      </c>
      <c r="X49" s="46">
        <f t="shared" si="7"/>
        <v>1902.8279498619736</v>
      </c>
      <c r="Y49" s="47">
        <f t="shared" si="5"/>
        <v>3116</v>
      </c>
      <c r="Z49" s="4">
        <f t="shared" si="13"/>
        <v>0</v>
      </c>
    </row>
    <row r="50" spans="1:26" s="4" customFormat="1" x14ac:dyDescent="0.3">
      <c r="A50" s="4" t="s">
        <v>15</v>
      </c>
      <c r="B50" s="14">
        <v>3865</v>
      </c>
      <c r="C50" s="30">
        <v>154</v>
      </c>
      <c r="D50" s="20">
        <v>1611</v>
      </c>
      <c r="E50" s="19">
        <v>0.8241312228429547</v>
      </c>
      <c r="F50" s="13">
        <v>44.43</v>
      </c>
      <c r="G50" s="31">
        <v>1.8481000000000001</v>
      </c>
      <c r="H50" s="13" t="s">
        <v>5</v>
      </c>
      <c r="I50" s="32">
        <v>0.21</v>
      </c>
      <c r="J50" s="32"/>
      <c r="K50" s="6">
        <v>2.41219E-5</v>
      </c>
      <c r="L50" s="14">
        <v>5180</v>
      </c>
      <c r="M50" s="31">
        <v>1.7997000000000001</v>
      </c>
      <c r="N50" s="13" t="s">
        <v>5</v>
      </c>
      <c r="P50" s="41">
        <f t="shared" si="0"/>
        <v>24.1219</v>
      </c>
      <c r="R50" s="4">
        <f t="shared" si="1"/>
        <v>1.8481000000000001</v>
      </c>
      <c r="T50" s="41">
        <f t="shared" si="2"/>
        <v>1.7903977212412929</v>
      </c>
      <c r="U50" s="41">
        <f t="shared" si="3"/>
        <v>1.8481000000000001</v>
      </c>
      <c r="V50" s="48">
        <f t="shared" si="12"/>
        <v>-3.1222487288949271E-2</v>
      </c>
      <c r="W50" s="44">
        <f t="shared" si="4"/>
        <v>3.1222487288949271E-2</v>
      </c>
      <c r="X50" s="46">
        <f t="shared" si="7"/>
        <v>1611</v>
      </c>
      <c r="Y50" s="47">
        <f t="shared" si="5"/>
        <v>1315</v>
      </c>
      <c r="Z50" s="4">
        <f t="shared" si="13"/>
        <v>0</v>
      </c>
    </row>
    <row r="51" spans="1:26" s="4" customFormat="1" x14ac:dyDescent="0.3">
      <c r="A51" s="4" t="s">
        <v>15</v>
      </c>
      <c r="B51" s="14">
        <v>6058</v>
      </c>
      <c r="C51" s="30">
        <v>145</v>
      </c>
      <c r="D51" s="20">
        <f>(6523*1.0697+53)</f>
        <v>7030.6531000000004</v>
      </c>
      <c r="E51" s="19">
        <f>(6523*1.0697*0.7366+14*0.9432+39*1.248)/(6523*1.0697+53)</f>
        <v>0.73984820463692058</v>
      </c>
      <c r="F51" s="13">
        <v>48.64</v>
      </c>
      <c r="G51" s="31" t="s">
        <v>5</v>
      </c>
      <c r="H51" s="34">
        <v>5.9443490046187587E-4</v>
      </c>
      <c r="I51" s="32" t="s">
        <v>5</v>
      </c>
      <c r="J51" s="32"/>
      <c r="K51" s="23">
        <v>3.8767352612879179E-5</v>
      </c>
      <c r="L51" s="14">
        <v>7750</v>
      </c>
      <c r="M51" s="31" t="s">
        <v>5</v>
      </c>
      <c r="N51" s="34">
        <v>5.6165260662974735E-4</v>
      </c>
      <c r="P51" s="41">
        <f t="shared" si="0"/>
        <v>38.767352612879179</v>
      </c>
      <c r="R51" s="4">
        <f t="shared" si="1"/>
        <v>3.337751966093433E-3</v>
      </c>
      <c r="T51" s="41">
        <f t="shared" si="2"/>
        <v>5.2599366054925634E-4</v>
      </c>
      <c r="U51" s="41">
        <f t="shared" si="3"/>
        <v>5.6165260662974735E-4</v>
      </c>
      <c r="V51" s="48">
        <f t="shared" si="12"/>
        <v>-6.3489327138471024E-2</v>
      </c>
      <c r="W51" s="44">
        <f t="shared" si="4"/>
        <v>6.3489327138471024E-2</v>
      </c>
      <c r="X51" s="46">
        <f t="shared" si="7"/>
        <v>7030.6531000000004</v>
      </c>
      <c r="Y51" s="47">
        <f t="shared" si="5"/>
        <v>1692</v>
      </c>
      <c r="Z51" s="4">
        <f t="shared" si="13"/>
        <v>1</v>
      </c>
    </row>
    <row r="52" spans="1:26" s="4" customFormat="1" x14ac:dyDescent="0.3">
      <c r="A52" s="4" t="s">
        <v>15</v>
      </c>
      <c r="B52" s="14">
        <v>3365</v>
      </c>
      <c r="C52" s="30">
        <v>129</v>
      </c>
      <c r="D52" s="20">
        <v>1106</v>
      </c>
      <c r="E52" s="19">
        <v>0.83125307414104888</v>
      </c>
      <c r="F52" s="13">
        <v>38.78</v>
      </c>
      <c r="G52" s="31">
        <v>1.5330965401161434</v>
      </c>
      <c r="H52" s="13" t="s">
        <v>5</v>
      </c>
      <c r="I52" s="32">
        <v>0.45</v>
      </c>
      <c r="J52" s="32"/>
      <c r="K52" s="6">
        <v>1.6000600000000001E-5</v>
      </c>
      <c r="L52" s="14">
        <v>4960</v>
      </c>
      <c r="M52" s="35">
        <v>1.5794999999999999</v>
      </c>
      <c r="N52" s="13" t="s">
        <v>5</v>
      </c>
      <c r="P52" s="41">
        <f t="shared" si="0"/>
        <v>16.000600000000002</v>
      </c>
      <c r="R52" s="4">
        <f t="shared" si="1"/>
        <v>1.5330965401161434</v>
      </c>
      <c r="T52" s="41">
        <f t="shared" si="2"/>
        <v>1.49446549657857</v>
      </c>
      <c r="U52" s="41">
        <f t="shared" si="3"/>
        <v>1.5330965401161434</v>
      </c>
      <c r="V52" s="48">
        <f t="shared" si="12"/>
        <v>-2.5198050172787437E-2</v>
      </c>
      <c r="W52" s="44">
        <f t="shared" si="4"/>
        <v>2.5198050172787437E-2</v>
      </c>
      <c r="X52" s="46">
        <f t="shared" si="7"/>
        <v>1106</v>
      </c>
      <c r="Y52" s="47">
        <f t="shared" si="5"/>
        <v>1595</v>
      </c>
      <c r="Z52" s="4">
        <f t="shared" si="13"/>
        <v>0</v>
      </c>
    </row>
    <row r="53" spans="1:26" s="4" customFormat="1" x14ac:dyDescent="0.3">
      <c r="A53" s="4" t="s">
        <v>15</v>
      </c>
      <c r="B53" s="14">
        <v>2415</v>
      </c>
      <c r="C53" s="30">
        <v>137</v>
      </c>
      <c r="D53" s="20">
        <v>716</v>
      </c>
      <c r="E53" s="19">
        <v>0.8440983240223463</v>
      </c>
      <c r="F53" s="13">
        <v>37.92</v>
      </c>
      <c r="G53" s="31">
        <v>1.3903466158085649</v>
      </c>
      <c r="H53" s="13" t="s">
        <v>5</v>
      </c>
      <c r="I53" s="32">
        <v>0.56000000000000005</v>
      </c>
      <c r="J53" s="32"/>
      <c r="K53" s="6">
        <v>1.4001E-5</v>
      </c>
      <c r="L53" s="14">
        <v>4815</v>
      </c>
      <c r="M53" s="31">
        <v>1.352737733274451</v>
      </c>
      <c r="N53" s="13" t="s">
        <v>5</v>
      </c>
      <c r="P53" s="41">
        <f t="shared" si="0"/>
        <v>14.000999999999999</v>
      </c>
      <c r="R53" s="4">
        <f t="shared" si="1"/>
        <v>1.3903466158085649</v>
      </c>
      <c r="T53" s="41">
        <f t="shared" si="2"/>
        <v>1.3444038491286936</v>
      </c>
      <c r="U53" s="41">
        <f t="shared" si="3"/>
        <v>1.3903466158085649</v>
      </c>
      <c r="V53" s="48">
        <f t="shared" si="12"/>
        <v>-3.3044110121527491E-2</v>
      </c>
      <c r="W53" s="44">
        <f t="shared" si="4"/>
        <v>3.3044110121527491E-2</v>
      </c>
      <c r="X53" s="46">
        <f t="shared" si="7"/>
        <v>716</v>
      </c>
      <c r="Y53" s="47">
        <f t="shared" si="5"/>
        <v>2400</v>
      </c>
      <c r="Z53" s="4">
        <f t="shared" si="13"/>
        <v>0</v>
      </c>
    </row>
    <row r="54" spans="1:26" s="4" customFormat="1" x14ac:dyDescent="0.3">
      <c r="A54" s="4" t="s">
        <v>15</v>
      </c>
      <c r="B54" s="14">
        <v>5435</v>
      </c>
      <c r="C54" s="30">
        <v>192</v>
      </c>
      <c r="D54" s="20">
        <f>(7889*1.0674+47)</f>
        <v>8467.7186000000002</v>
      </c>
      <c r="E54" s="19">
        <f>(7889*1.0674*0.7451+26*0.9251+21*1.3754)/(7889*1.0674+47)</f>
        <v>0.7472158355451255</v>
      </c>
      <c r="F54" s="13">
        <v>51.74</v>
      </c>
      <c r="G54" s="31" t="s">
        <v>5</v>
      </c>
      <c r="H54" s="34">
        <v>6.4655033071049411E-4</v>
      </c>
      <c r="I54" s="32" t="s">
        <v>5</v>
      </c>
      <c r="J54" s="32"/>
      <c r="K54" s="23">
        <v>6.1927960315292786E-5</v>
      </c>
      <c r="L54" s="14">
        <v>9144</v>
      </c>
      <c r="M54" s="31" t="s">
        <v>5</v>
      </c>
      <c r="N54" s="34">
        <v>5.5389080596651176E-4</v>
      </c>
      <c r="P54" s="41">
        <f t="shared" si="0"/>
        <v>61.927960315292786</v>
      </c>
      <c r="R54" s="4">
        <f t="shared" si="1"/>
        <v>3.6303801069394247E-3</v>
      </c>
      <c r="T54" s="41">
        <f t="shared" si="2"/>
        <v>4.4022095061801151E-4</v>
      </c>
      <c r="U54" s="41">
        <f t="shared" si="3"/>
        <v>5.5389080596651176E-4</v>
      </c>
      <c r="V54" s="48">
        <f t="shared" si="12"/>
        <v>-0.20522069354473585</v>
      </c>
      <c r="W54" s="44">
        <f t="shared" si="4"/>
        <v>0.20522069354473585</v>
      </c>
      <c r="X54" s="46">
        <f t="shared" si="7"/>
        <v>8467.7186000000002</v>
      </c>
      <c r="Y54" s="47">
        <f t="shared" si="5"/>
        <v>3709</v>
      </c>
      <c r="Z54" s="4">
        <f t="shared" si="13"/>
        <v>1</v>
      </c>
    </row>
    <row r="55" spans="1:26" s="4" customFormat="1" x14ac:dyDescent="0.3">
      <c r="A55" s="4" t="s">
        <v>15</v>
      </c>
      <c r="B55" s="14">
        <v>4535</v>
      </c>
      <c r="C55" s="30">
        <v>177</v>
      </c>
      <c r="D55" s="20">
        <v>2583</v>
      </c>
      <c r="E55" s="19">
        <v>0.78466681175390973</v>
      </c>
      <c r="F55" s="13">
        <v>47.68</v>
      </c>
      <c r="G55" s="31">
        <v>2.4142999999999999</v>
      </c>
      <c r="H55" s="13" t="s">
        <v>5</v>
      </c>
      <c r="I55" s="32">
        <v>0.125</v>
      </c>
      <c r="J55" s="32"/>
      <c r="K55" s="6">
        <v>3.9792000000000001E-5</v>
      </c>
      <c r="L55" s="14">
        <v>7617</v>
      </c>
      <c r="M55" s="31">
        <v>2.2368000000000001</v>
      </c>
      <c r="N55" s="13" t="s">
        <v>5</v>
      </c>
      <c r="P55" s="41">
        <f t="shared" si="0"/>
        <v>39.792000000000002</v>
      </c>
      <c r="R55" s="4">
        <f t="shared" si="1"/>
        <v>2.4142999999999999</v>
      </c>
      <c r="T55" s="41">
        <f t="shared" si="2"/>
        <v>2.1356487101149053</v>
      </c>
      <c r="U55" s="41">
        <f t="shared" si="3"/>
        <v>2.4142999999999999</v>
      </c>
      <c r="V55" s="48">
        <f t="shared" si="12"/>
        <v>-0.11541701109435223</v>
      </c>
      <c r="W55" s="44">
        <f t="shared" si="4"/>
        <v>0.11541701109435223</v>
      </c>
      <c r="X55" s="46">
        <f t="shared" si="7"/>
        <v>2583</v>
      </c>
      <c r="Y55" s="47">
        <f t="shared" si="5"/>
        <v>3082</v>
      </c>
      <c r="Z55" s="4">
        <f t="shared" si="13"/>
        <v>0</v>
      </c>
    </row>
    <row r="56" spans="1:26" s="4" customFormat="1" x14ac:dyDescent="0.3">
      <c r="A56" s="4" t="s">
        <v>15</v>
      </c>
      <c r="B56" s="14">
        <v>4575</v>
      </c>
      <c r="C56" s="30">
        <v>176</v>
      </c>
      <c r="D56" s="20">
        <v>2592.8721580424876</v>
      </c>
      <c r="E56" s="19">
        <v>0.79100877299711558</v>
      </c>
      <c r="F56" s="13">
        <v>48.11</v>
      </c>
      <c r="G56" s="31">
        <v>2.4289999999999998</v>
      </c>
      <c r="H56" s="13" t="s">
        <v>5</v>
      </c>
      <c r="I56" s="32">
        <v>0.127</v>
      </c>
      <c r="J56" s="32"/>
      <c r="K56" s="6">
        <v>3.7751499999999999E-5</v>
      </c>
      <c r="L56" s="14">
        <v>7449</v>
      </c>
      <c r="M56" s="31">
        <v>2.2591000000000001</v>
      </c>
      <c r="N56" s="13" t="s">
        <v>5</v>
      </c>
      <c r="P56" s="41">
        <f t="shared" si="0"/>
        <v>37.7515</v>
      </c>
      <c r="R56" s="4">
        <f t="shared" si="1"/>
        <v>2.4289999999999998</v>
      </c>
      <c r="T56" s="41">
        <f t="shared" si="2"/>
        <v>2.1792523058884985</v>
      </c>
      <c r="U56" s="41">
        <f t="shared" si="3"/>
        <v>2.4289999999999998</v>
      </c>
      <c r="V56" s="48">
        <f t="shared" si="12"/>
        <v>-0.10281914125627886</v>
      </c>
      <c r="W56" s="44">
        <f t="shared" si="4"/>
        <v>0.10281914125627886</v>
      </c>
      <c r="X56" s="46">
        <f t="shared" si="7"/>
        <v>2592.8721580424876</v>
      </c>
      <c r="Y56" s="47">
        <f t="shared" si="5"/>
        <v>2874</v>
      </c>
      <c r="Z56" s="4">
        <f t="shared" si="13"/>
        <v>0</v>
      </c>
    </row>
    <row r="57" spans="1:26" s="4" customFormat="1" x14ac:dyDescent="0.3">
      <c r="A57" s="4" t="s">
        <v>15</v>
      </c>
      <c r="B57" s="14">
        <v>5238</v>
      </c>
      <c r="C57" s="30">
        <v>180</v>
      </c>
      <c r="D57" s="20">
        <f>(3780*1.0517+34)</f>
        <v>4009.4260000000004</v>
      </c>
      <c r="E57" s="19">
        <f>(3708*1.0517*0.7831+10*0.8186+12*0.9849+13*1.2101)/(3780*1.0517+34)</f>
        <v>0.77058261934750771</v>
      </c>
      <c r="F57" s="13">
        <v>47.23</v>
      </c>
      <c r="G57" s="31" t="s">
        <v>5</v>
      </c>
      <c r="H57" s="34">
        <v>6.8991210519779773E-4</v>
      </c>
      <c r="I57" s="32" t="s">
        <v>5</v>
      </c>
      <c r="J57" s="32"/>
      <c r="K57" s="23">
        <v>4.7141591724124223E-5</v>
      </c>
      <c r="L57" s="14">
        <v>7498</v>
      </c>
      <c r="M57" s="31" t="s">
        <v>5</v>
      </c>
      <c r="N57" s="34">
        <v>6.4085310365158106E-4</v>
      </c>
      <c r="P57" s="41">
        <f t="shared" si="0"/>
        <v>47.141591724124225</v>
      </c>
      <c r="R57" s="4">
        <f t="shared" si="1"/>
        <v>3.8738564706856343E-3</v>
      </c>
      <c r="T57" s="41">
        <f t="shared" si="2"/>
        <v>5.7608790729979029E-4</v>
      </c>
      <c r="U57" s="41">
        <f t="shared" si="3"/>
        <v>6.4085310365158106E-4</v>
      </c>
      <c r="V57" s="48">
        <f t="shared" si="12"/>
        <v>-0.10106090769126136</v>
      </c>
      <c r="W57" s="44">
        <f t="shared" si="4"/>
        <v>0.10106090769126136</v>
      </c>
      <c r="X57" s="46">
        <f t="shared" si="7"/>
        <v>4009.4260000000004</v>
      </c>
      <c r="Y57" s="47">
        <f t="shared" si="5"/>
        <v>2260</v>
      </c>
      <c r="Z57" s="4">
        <f t="shared" si="13"/>
        <v>1</v>
      </c>
    </row>
    <row r="58" spans="1:26" s="4" customFormat="1" x14ac:dyDescent="0.3">
      <c r="A58" s="4" t="s">
        <v>15</v>
      </c>
      <c r="B58" s="14">
        <v>5055</v>
      </c>
      <c r="C58" s="30">
        <v>182</v>
      </c>
      <c r="D58" s="20">
        <f>(3692*1.0563+41)</f>
        <v>3940.8596000000002</v>
      </c>
      <c r="E58" s="19">
        <v>0.77850099024655151</v>
      </c>
      <c r="F58" s="13">
        <v>48.62</v>
      </c>
      <c r="G58" s="31" t="s">
        <v>5</v>
      </c>
      <c r="H58" s="34">
        <v>7.0605014368120415E-4</v>
      </c>
      <c r="I58" s="32" t="s">
        <v>5</v>
      </c>
      <c r="J58" s="32"/>
      <c r="K58" s="23">
        <v>4.4855980263368582E-5</v>
      </c>
      <c r="L58" s="14">
        <v>7608</v>
      </c>
      <c r="M58" s="31" t="s">
        <v>5</v>
      </c>
      <c r="N58" s="34">
        <v>6.4908090144355588E-4</v>
      </c>
      <c r="P58" s="41">
        <f t="shared" si="0"/>
        <v>44.855980263368579</v>
      </c>
      <c r="R58" s="4">
        <f t="shared" si="1"/>
        <v>3.9644715567699615E-3</v>
      </c>
      <c r="T58" s="41">
        <f t="shared" si="2"/>
        <v>5.7884807255321558E-4</v>
      </c>
      <c r="U58" s="41">
        <f t="shared" si="3"/>
        <v>6.4908090144355588E-4</v>
      </c>
      <c r="V58" s="48">
        <f t="shared" si="12"/>
        <v>-0.10820350550161389</v>
      </c>
      <c r="W58" s="44">
        <f t="shared" si="4"/>
        <v>0.10820350550161389</v>
      </c>
      <c r="X58" s="46">
        <f t="shared" si="7"/>
        <v>3940.8596000000002</v>
      </c>
      <c r="Y58" s="47">
        <f t="shared" si="5"/>
        <v>2553</v>
      </c>
      <c r="Z58" s="4">
        <f t="shared" si="13"/>
        <v>1</v>
      </c>
    </row>
    <row r="59" spans="1:26" s="4" customFormat="1" x14ac:dyDescent="0.3">
      <c r="A59" s="4" t="s">
        <v>15</v>
      </c>
      <c r="B59" s="14">
        <v>5210</v>
      </c>
      <c r="C59" s="30">
        <v>195</v>
      </c>
      <c r="D59" s="20">
        <f>(11314*1.0606+39)</f>
        <v>12038.6284</v>
      </c>
      <c r="E59" s="19">
        <f>(11314*1.0606*0.7582+9*0.7775+21*0.9886+9*1.1347)/(11314*1.0606+39)</f>
        <v>0.75889780374647986</v>
      </c>
      <c r="F59" s="13">
        <v>52.72</v>
      </c>
      <c r="G59" s="31" t="s">
        <v>5</v>
      </c>
      <c r="H59" s="34">
        <v>6.4738327679519383E-4</v>
      </c>
      <c r="I59" s="32" t="s">
        <v>5</v>
      </c>
      <c r="J59" s="32"/>
      <c r="K59" s="23">
        <v>7.6181920712299812E-5</v>
      </c>
      <c r="L59" s="14">
        <v>9155</v>
      </c>
      <c r="M59" s="31" t="s">
        <v>5</v>
      </c>
      <c r="N59" s="34">
        <v>5.3544369541820829E-4</v>
      </c>
      <c r="P59" s="41">
        <f t="shared" si="0"/>
        <v>76.181920712299814</v>
      </c>
      <c r="R59" s="4">
        <f t="shared" si="1"/>
        <v>3.6350570992050133E-3</v>
      </c>
      <c r="T59" s="41">
        <f t="shared" si="2"/>
        <v>3.9645322453434062E-4</v>
      </c>
      <c r="U59" s="41">
        <f t="shared" si="3"/>
        <v>5.3544369541820829E-4</v>
      </c>
      <c r="V59" s="48">
        <f t="shared" si="12"/>
        <v>-0.2595799933274201</v>
      </c>
      <c r="W59" s="44">
        <f t="shared" si="4"/>
        <v>0.2595799933274201</v>
      </c>
      <c r="X59" s="46">
        <f t="shared" si="7"/>
        <v>12038.6284</v>
      </c>
      <c r="Y59" s="47">
        <f t="shared" si="5"/>
        <v>3945</v>
      </c>
      <c r="Z59" s="4">
        <f t="shared" si="13"/>
        <v>1</v>
      </c>
    </row>
    <row r="60" spans="1:26" s="4" customFormat="1" x14ac:dyDescent="0.3">
      <c r="A60" s="4" t="s">
        <v>15</v>
      </c>
      <c r="B60" s="14">
        <v>5019</v>
      </c>
      <c r="C60" s="30">
        <v>182</v>
      </c>
      <c r="D60" s="20">
        <f>(3422*1.1688+249)</f>
        <v>4248.6336000000001</v>
      </c>
      <c r="E60" s="19">
        <f>(3422*1.1688*0.7252+175*0.9668+52*1.4082+221.5793)/(3422*1.1688+249)</f>
        <v>0.79190871783342287</v>
      </c>
      <c r="F60" s="13">
        <v>50.99</v>
      </c>
      <c r="G60" s="31" t="s">
        <v>5</v>
      </c>
      <c r="H60" s="34">
        <v>6.8240753377917288E-4</v>
      </c>
      <c r="I60" s="32" t="s">
        <v>5</v>
      </c>
      <c r="J60" s="32"/>
      <c r="K60" s="23">
        <v>5.428996110097987E-5</v>
      </c>
      <c r="L60" s="14">
        <v>7897</v>
      </c>
      <c r="M60" s="31" t="s">
        <v>5</v>
      </c>
      <c r="N60" s="34">
        <v>6.0055371052110038E-4</v>
      </c>
      <c r="P60" s="41">
        <f t="shared" si="0"/>
        <v>54.289961100979873</v>
      </c>
      <c r="R60" s="4">
        <f t="shared" si="1"/>
        <v>3.8317183021700559E-3</v>
      </c>
      <c r="T60" s="41">
        <f t="shared" si="2"/>
        <v>5.136826038429032E-4</v>
      </c>
      <c r="U60" s="41">
        <f t="shared" si="3"/>
        <v>6.0055371052110038E-4</v>
      </c>
      <c r="V60" s="48">
        <f t="shared" si="12"/>
        <v>-0.14465168586306648</v>
      </c>
      <c r="W60" s="44">
        <f t="shared" si="4"/>
        <v>0.14465168586306648</v>
      </c>
      <c r="X60" s="46">
        <f t="shared" si="7"/>
        <v>4248.6336000000001</v>
      </c>
      <c r="Y60" s="47">
        <f t="shared" si="5"/>
        <v>2878</v>
      </c>
      <c r="Z60" s="4">
        <f t="shared" si="13"/>
        <v>1</v>
      </c>
    </row>
    <row r="61" spans="1:26" s="4" customFormat="1" x14ac:dyDescent="0.3">
      <c r="A61" s="4" t="s">
        <v>15</v>
      </c>
      <c r="B61" s="14">
        <v>4786</v>
      </c>
      <c r="C61" s="30">
        <v>184</v>
      </c>
      <c r="D61" s="20">
        <f>3444*1.1903+272</f>
        <v>4371.3931999999995</v>
      </c>
      <c r="E61" s="19">
        <v>0.74776942167439542</v>
      </c>
      <c r="F61" s="13">
        <v>52.67</v>
      </c>
      <c r="G61" s="31" t="s">
        <v>5</v>
      </c>
      <c r="H61" s="34">
        <v>6.9102292123029714E-4</v>
      </c>
      <c r="I61" s="32" t="s">
        <v>5</v>
      </c>
      <c r="J61" s="32"/>
      <c r="K61" s="23">
        <v>6.0875900129307919E-5</v>
      </c>
      <c r="L61" s="14">
        <v>8361</v>
      </c>
      <c r="M61" s="31" t="s">
        <v>5</v>
      </c>
      <c r="N61" s="34">
        <v>6.0933996295213034E-4</v>
      </c>
      <c r="P61" s="41">
        <f t="shared" si="0"/>
        <v>60.875900129307915</v>
      </c>
      <c r="R61" s="4">
        <f t="shared" si="1"/>
        <v>3.8800937027081185E-3</v>
      </c>
      <c r="T61" s="41">
        <f t="shared" si="2"/>
        <v>4.9016643683588257E-4</v>
      </c>
      <c r="U61" s="41">
        <f t="shared" si="3"/>
        <v>6.0933996295213034E-4</v>
      </c>
      <c r="V61" s="48">
        <f t="shared" si="12"/>
        <v>-0.19557805717989651</v>
      </c>
      <c r="W61" s="44">
        <f t="shared" si="4"/>
        <v>0.19557805717989651</v>
      </c>
      <c r="X61" s="46">
        <f t="shared" si="7"/>
        <v>4371.3931999999995</v>
      </c>
      <c r="Y61" s="47">
        <f t="shared" si="5"/>
        <v>3575</v>
      </c>
      <c r="Z61" s="4">
        <f t="shared" si="13"/>
        <v>1</v>
      </c>
    </row>
    <row r="62" spans="1:26" s="4" customFormat="1" x14ac:dyDescent="0.3">
      <c r="A62" s="4" t="s">
        <v>15</v>
      </c>
      <c r="B62" s="14">
        <v>5326</v>
      </c>
      <c r="C62" s="30">
        <v>182</v>
      </c>
      <c r="D62" s="20">
        <f>6022*1.0868+73</f>
        <v>6617.7096000000001</v>
      </c>
      <c r="E62" s="19">
        <v>0.76577585543240156</v>
      </c>
      <c r="F62" s="13">
        <v>51.08</v>
      </c>
      <c r="G62" s="31" t="s">
        <v>5</v>
      </c>
      <c r="H62" s="34">
        <v>6.5113068800000005E-4</v>
      </c>
      <c r="I62" s="32" t="s">
        <v>5</v>
      </c>
      <c r="J62" s="32"/>
      <c r="K62" s="23">
        <v>5.7696592598665659E-5</v>
      </c>
      <c r="L62" s="14">
        <v>8917</v>
      </c>
      <c r="M62" s="31" t="s">
        <v>5</v>
      </c>
      <c r="N62" s="34">
        <v>5.7037907393253553E-4</v>
      </c>
      <c r="P62" s="41">
        <f t="shared" si="0"/>
        <v>57.69659259866566</v>
      </c>
      <c r="R62" s="4">
        <f t="shared" si="1"/>
        <v>3.6560988131200006E-3</v>
      </c>
      <c r="T62" s="41">
        <f t="shared" si="2"/>
        <v>4.6364200697705566E-4</v>
      </c>
      <c r="U62" s="41">
        <f t="shared" si="3"/>
        <v>5.7037907393253553E-4</v>
      </c>
      <c r="V62" s="48">
        <f t="shared" si="12"/>
        <v>-0.18713356052768643</v>
      </c>
      <c r="W62" s="44">
        <f t="shared" si="4"/>
        <v>0.18713356052768643</v>
      </c>
      <c r="X62" s="46">
        <f t="shared" si="7"/>
        <v>6617.7096000000001</v>
      </c>
      <c r="Y62" s="47">
        <f t="shared" si="5"/>
        <v>3591</v>
      </c>
      <c r="Z62" s="4">
        <f t="shared" si="13"/>
        <v>1</v>
      </c>
    </row>
    <row r="63" spans="1:26" s="4" customFormat="1" x14ac:dyDescent="0.3">
      <c r="A63" s="4" t="s">
        <v>15</v>
      </c>
      <c r="B63" s="14">
        <v>5217</v>
      </c>
      <c r="C63" s="30">
        <v>186</v>
      </c>
      <c r="D63" s="20">
        <f>(4400*1.1237+129)</f>
        <v>5073.28</v>
      </c>
      <c r="E63" s="19">
        <f>(4400*1.1237*0.7604+75.8464+42*1.295+12*1.3607)/(4400*1.1237+129)</f>
        <v>0.76995460766998858</v>
      </c>
      <c r="F63" s="13">
        <v>51.01</v>
      </c>
      <c r="G63" s="31" t="s">
        <v>5</v>
      </c>
      <c r="H63" s="34">
        <v>6.7575786244272957E-4</v>
      </c>
      <c r="I63" s="32" t="s">
        <v>5</v>
      </c>
      <c r="J63" s="32"/>
      <c r="K63" s="23">
        <v>5.8237185326586588E-5</v>
      </c>
      <c r="L63" s="14">
        <v>8444</v>
      </c>
      <c r="M63" s="31" t="s">
        <v>5</v>
      </c>
      <c r="N63" s="34">
        <v>6.0055371052110038E-4</v>
      </c>
      <c r="P63" s="41">
        <f t="shared" si="0"/>
        <v>58.237185326586591</v>
      </c>
      <c r="R63" s="4">
        <f t="shared" si="1"/>
        <v>3.7943803976159267E-3</v>
      </c>
      <c r="T63" s="41">
        <f t="shared" si="2"/>
        <v>4.9766177691642815E-4</v>
      </c>
      <c r="U63" s="41">
        <f t="shared" si="3"/>
        <v>6.0055371052110038E-4</v>
      </c>
      <c r="V63" s="48">
        <f t="shared" si="12"/>
        <v>-0.17132844540314787</v>
      </c>
      <c r="W63" s="44">
        <f t="shared" si="4"/>
        <v>0.17132844540314787</v>
      </c>
      <c r="X63" s="46">
        <f t="shared" si="7"/>
        <v>5073.28</v>
      </c>
      <c r="Y63" s="47">
        <f t="shared" si="5"/>
        <v>3227</v>
      </c>
      <c r="Z63" s="4">
        <f t="shared" si="13"/>
        <v>1</v>
      </c>
    </row>
    <row r="64" spans="1:26" s="4" customFormat="1" x14ac:dyDescent="0.3">
      <c r="A64" s="4" t="s">
        <v>15</v>
      </c>
      <c r="B64" s="14">
        <v>5179</v>
      </c>
      <c r="C64" s="30">
        <v>203</v>
      </c>
      <c r="D64" s="20">
        <f>(10226*1.0717+91)</f>
        <v>11050.2042</v>
      </c>
      <c r="E64" s="19">
        <f>(10226*1.0717*0.7267+59*1.0275+32*1.5444)/(10226*1.0717+91)</f>
        <v>0.73067400800973437</v>
      </c>
      <c r="F64" s="13">
        <v>54.78</v>
      </c>
      <c r="G64" s="31" t="s">
        <v>5</v>
      </c>
      <c r="H64" s="34">
        <v>6.6808746601105021E-4</v>
      </c>
      <c r="I64" s="32" t="s">
        <v>5</v>
      </c>
      <c r="J64" s="32"/>
      <c r="K64" s="23">
        <v>7.5223557651672528E-5</v>
      </c>
      <c r="L64" s="14">
        <v>9680</v>
      </c>
      <c r="M64" s="31" t="s">
        <v>5</v>
      </c>
      <c r="N64" s="34">
        <v>5.4414957583540568E-4</v>
      </c>
      <c r="P64" s="41">
        <f t="shared" si="0"/>
        <v>75.223557651672522</v>
      </c>
      <c r="R64" s="4">
        <f t="shared" si="1"/>
        <v>3.7513111216520472E-3</v>
      </c>
      <c r="T64" s="41">
        <f t="shared" si="2"/>
        <v>3.8785941118401468E-4</v>
      </c>
      <c r="U64" s="41">
        <f t="shared" si="3"/>
        <v>5.4414957583540568E-4</v>
      </c>
      <c r="V64" s="48">
        <f t="shared" si="12"/>
        <v>-0.28721912428480079</v>
      </c>
      <c r="W64" s="44">
        <f t="shared" si="4"/>
        <v>0.28721912428480079</v>
      </c>
      <c r="X64" s="46">
        <f t="shared" si="7"/>
        <v>11050.2042</v>
      </c>
      <c r="Y64" s="47">
        <f t="shared" si="5"/>
        <v>4501</v>
      </c>
      <c r="Z64" s="4">
        <f t="shared" si="13"/>
        <v>1</v>
      </c>
    </row>
    <row r="65" spans="1:26" s="4" customFormat="1" x14ac:dyDescent="0.3">
      <c r="A65" s="4" t="s">
        <v>15</v>
      </c>
      <c r="B65" s="14">
        <v>4756.0249999999996</v>
      </c>
      <c r="C65" s="30">
        <v>157</v>
      </c>
      <c r="D65" s="20">
        <f>(2213*1.1661+63)</f>
        <v>2643.5792999999999</v>
      </c>
      <c r="E65" s="19">
        <f>(2213*0.7641*1.1661+19*0.939+15*1.247+29*1.457)/(2213*1.1661+63)</f>
        <v>0.77569817675981945</v>
      </c>
      <c r="F65" s="13">
        <v>46.15</v>
      </c>
      <c r="G65" s="31" t="s">
        <v>5</v>
      </c>
      <c r="H65" s="31" t="s">
        <v>5</v>
      </c>
      <c r="I65" s="32" t="s">
        <v>5</v>
      </c>
      <c r="J65" s="32"/>
      <c r="K65" s="6">
        <v>3.76003E-5</v>
      </c>
      <c r="L65" s="31" t="s">
        <v>5</v>
      </c>
      <c r="M65" s="31" t="s">
        <v>5</v>
      </c>
      <c r="N65" s="13" t="s">
        <v>5</v>
      </c>
      <c r="P65" s="41">
        <f t="shared" si="0"/>
        <v>37.600299999999997</v>
      </c>
      <c r="R65" s="4" t="e">
        <f t="shared" si="1"/>
        <v>#VALUE!</v>
      </c>
      <c r="T65" s="41" t="e">
        <f t="shared" si="2"/>
        <v>#VALUE!</v>
      </c>
      <c r="U65" s="41" t="str">
        <f t="shared" si="3"/>
        <v>N/A</v>
      </c>
      <c r="V65" s="48" t="e">
        <f t="shared" si="12"/>
        <v>#VALUE!</v>
      </c>
      <c r="W65" s="44" t="e">
        <f t="shared" si="4"/>
        <v>#VALUE!</v>
      </c>
      <c r="X65" s="46">
        <f t="shared" si="7"/>
        <v>2643.5792999999999</v>
      </c>
      <c r="Y65" s="47" t="e">
        <f t="shared" si="5"/>
        <v>#VALUE!</v>
      </c>
      <c r="Z65" s="4">
        <f t="shared" ref="Z65:Z110" si="14">IF(H65&lt;&gt;"N/A",1,0)</f>
        <v>0</v>
      </c>
    </row>
    <row r="66" spans="1:26" s="4" customFormat="1" x14ac:dyDescent="0.3">
      <c r="A66" s="4" t="s">
        <v>15</v>
      </c>
      <c r="B66" s="14">
        <v>5249.65</v>
      </c>
      <c r="C66" s="30">
        <v>143</v>
      </c>
      <c r="D66" s="20">
        <v>1964</v>
      </c>
      <c r="E66" s="19">
        <v>0.69889205702647672</v>
      </c>
      <c r="F66" s="13">
        <v>44.34</v>
      </c>
      <c r="G66" s="31">
        <v>1.9510000000000001</v>
      </c>
      <c r="H66" s="13" t="s">
        <v>5</v>
      </c>
      <c r="I66" s="32">
        <v>0.223</v>
      </c>
      <c r="J66" s="32"/>
      <c r="K66" s="6">
        <v>2.46257E-5</v>
      </c>
      <c r="L66" s="14">
        <v>5594.65</v>
      </c>
      <c r="M66" s="31">
        <v>1.9350000000000001</v>
      </c>
      <c r="N66" s="13" t="s">
        <v>5</v>
      </c>
      <c r="P66" s="41">
        <f t="shared" si="0"/>
        <v>24.625700000000002</v>
      </c>
      <c r="R66" s="4">
        <f t="shared" si="1"/>
        <v>1.9510000000000001</v>
      </c>
      <c r="T66" s="41">
        <f t="shared" si="2"/>
        <v>1.9344947768232819</v>
      </c>
      <c r="U66" s="41">
        <f t="shared" si="3"/>
        <v>1.9510000000000001</v>
      </c>
      <c r="V66" s="48">
        <f t="shared" si="12"/>
        <v>-8.4598786144122039E-3</v>
      </c>
      <c r="W66" s="44">
        <f t="shared" si="4"/>
        <v>8.4598786144122039E-3</v>
      </c>
      <c r="X66" s="46">
        <f t="shared" si="7"/>
        <v>1964</v>
      </c>
      <c r="Y66" s="47">
        <f t="shared" si="5"/>
        <v>345</v>
      </c>
      <c r="Z66" s="4">
        <f t="shared" si="14"/>
        <v>0</v>
      </c>
    </row>
    <row r="67" spans="1:26" s="4" customFormat="1" x14ac:dyDescent="0.3">
      <c r="A67" s="4" t="s">
        <v>15</v>
      </c>
      <c r="B67" s="14">
        <v>4315.0249999999996</v>
      </c>
      <c r="C67" s="30">
        <v>165</v>
      </c>
      <c r="D67" s="20">
        <v>1928</v>
      </c>
      <c r="E67" s="19">
        <v>0.76893049792531121</v>
      </c>
      <c r="F67" s="13">
        <v>45.91</v>
      </c>
      <c r="G67" s="31">
        <v>1.99082731299834</v>
      </c>
      <c r="H67" s="13" t="s">
        <v>5</v>
      </c>
      <c r="I67" s="32">
        <v>0.33200000000000002</v>
      </c>
      <c r="J67" s="32"/>
      <c r="K67" s="6">
        <v>3.0369200000000001E-5</v>
      </c>
      <c r="L67" s="14">
        <v>6213.0249999999996</v>
      </c>
      <c r="M67" s="31">
        <v>1.9061399734829223</v>
      </c>
      <c r="N67" s="13" t="s">
        <v>5</v>
      </c>
      <c r="P67" s="41">
        <f t="shared" si="0"/>
        <v>30.369199999999999</v>
      </c>
      <c r="R67" s="4">
        <f t="shared" si="1"/>
        <v>1.99082731299834</v>
      </c>
      <c r="T67" s="41">
        <f t="shared" si="2"/>
        <v>1.8793191291859261</v>
      </c>
      <c r="U67" s="41">
        <f t="shared" si="3"/>
        <v>1.99082731299834</v>
      </c>
      <c r="V67" s="48">
        <f t="shared" si="12"/>
        <v>-5.6010977488787785E-2</v>
      </c>
      <c r="W67" s="44">
        <f t="shared" si="4"/>
        <v>5.6010977488787785E-2</v>
      </c>
      <c r="X67" s="46">
        <f t="shared" si="7"/>
        <v>1928</v>
      </c>
      <c r="Y67" s="47">
        <f t="shared" si="5"/>
        <v>1898</v>
      </c>
      <c r="Z67" s="4">
        <f t="shared" si="14"/>
        <v>0</v>
      </c>
    </row>
    <row r="68" spans="1:26" s="4" customFormat="1" x14ac:dyDescent="0.3">
      <c r="A68" s="4" t="s">
        <v>15</v>
      </c>
      <c r="B68" s="14">
        <v>2965</v>
      </c>
      <c r="C68" s="30">
        <v>147</v>
      </c>
      <c r="D68" s="20">
        <v>1022</v>
      </c>
      <c r="E68" s="19">
        <v>0.85086647116324532</v>
      </c>
      <c r="F68" s="13">
        <v>41.15</v>
      </c>
      <c r="G68" s="31">
        <v>1.5425604341844183</v>
      </c>
      <c r="H68" s="13" t="s">
        <v>5</v>
      </c>
      <c r="I68" s="32">
        <v>0.33800000000000002</v>
      </c>
      <c r="J68" s="32"/>
      <c r="K68" s="6">
        <v>1.72767E-5</v>
      </c>
      <c r="L68" s="14">
        <v>4253</v>
      </c>
      <c r="M68" s="31">
        <v>1.5130603680982628</v>
      </c>
      <c r="N68" s="13" t="s">
        <v>5</v>
      </c>
      <c r="P68" s="41">
        <f t="shared" ref="P68:P131" si="15">K68*(10^6)</f>
        <v>17.276700000000002</v>
      </c>
      <c r="R68" s="4">
        <f t="shared" ref="R68:R131" si="16">IF(G68&lt;&gt;"N/A",G68,5.615*H68)</f>
        <v>1.5425604341844183</v>
      </c>
      <c r="T68" s="41">
        <f t="shared" ref="T68:T131" si="17">IF(M68&lt;&gt;"N/A", G68*EXP(-K68*(L68-B68)),N68*EXP(-K68*(L68-B68)))</f>
        <v>1.5086138752109637</v>
      </c>
      <c r="U68" s="41">
        <f t="shared" ref="U68:U131" si="18">IF(M68&lt;&gt;"N/A",G68,N68)</f>
        <v>1.5425604341844183</v>
      </c>
      <c r="V68" s="48">
        <f t="shared" si="12"/>
        <v>-2.2006631455838466E-2</v>
      </c>
      <c r="W68" s="44">
        <f t="shared" ref="W68:W131" si="19">ABS((T68-U68)/U68)</f>
        <v>2.2006631455838466E-2</v>
      </c>
      <c r="X68" s="46">
        <f t="shared" si="7"/>
        <v>1022</v>
      </c>
      <c r="Y68" s="47">
        <f t="shared" ref="Y68:Y131" si="20">L68-B68</f>
        <v>1288</v>
      </c>
      <c r="Z68" s="4">
        <f t="shared" si="14"/>
        <v>0</v>
      </c>
    </row>
    <row r="69" spans="1:26" s="4" customFormat="1" x14ac:dyDescent="0.3">
      <c r="A69" s="4" t="s">
        <v>15</v>
      </c>
      <c r="B69" s="14">
        <v>3169.6959999999999</v>
      </c>
      <c r="C69" s="30">
        <v>157.9</v>
      </c>
      <c r="D69" s="20">
        <v>1190</v>
      </c>
      <c r="E69" s="19">
        <v>0.8476117647058824</v>
      </c>
      <c r="F69" s="13">
        <v>42.3</v>
      </c>
      <c r="G69" s="31">
        <v>1.639</v>
      </c>
      <c r="H69" s="13" t="s">
        <v>5</v>
      </c>
      <c r="I69" s="32">
        <v>0.28499999999999998</v>
      </c>
      <c r="J69" s="32"/>
      <c r="K69" s="23">
        <v>2.0018016214593399E-5</v>
      </c>
      <c r="L69" s="14">
        <v>7514.6959999999999</v>
      </c>
      <c r="M69" s="31">
        <v>1.544</v>
      </c>
      <c r="N69" s="13" t="s">
        <v>5</v>
      </c>
      <c r="P69" s="41">
        <f t="shared" si="15"/>
        <v>20.018016214593398</v>
      </c>
      <c r="R69" s="4">
        <f t="shared" si="16"/>
        <v>1.639</v>
      </c>
      <c r="T69" s="41">
        <f t="shared" si="17"/>
        <v>1.5024663922786654</v>
      </c>
      <c r="U69" s="41">
        <f t="shared" si="18"/>
        <v>1.639</v>
      </c>
      <c r="V69" s="48">
        <f t="shared" si="12"/>
        <v>-8.3302994338825265E-2</v>
      </c>
      <c r="W69" s="44">
        <f t="shared" si="19"/>
        <v>8.3302994338825265E-2</v>
      </c>
      <c r="X69" s="46">
        <f t="shared" ref="X69:X132" si="21">D69</f>
        <v>1190</v>
      </c>
      <c r="Y69" s="47">
        <f t="shared" si="20"/>
        <v>4345</v>
      </c>
      <c r="Z69" s="4">
        <f t="shared" si="14"/>
        <v>0</v>
      </c>
    </row>
    <row r="70" spans="1:26" s="4" customFormat="1" x14ac:dyDescent="0.3">
      <c r="A70" s="4" t="s">
        <v>15</v>
      </c>
      <c r="B70" s="14">
        <v>4115.0249999999996</v>
      </c>
      <c r="C70" s="30">
        <v>147</v>
      </c>
      <c r="D70" s="20">
        <v>1858</v>
      </c>
      <c r="E70" s="19">
        <v>0.82734391819160391</v>
      </c>
      <c r="F70" s="13">
        <v>45.53</v>
      </c>
      <c r="G70" s="31">
        <v>2.0020581987014658</v>
      </c>
      <c r="H70" s="13" t="s">
        <v>5</v>
      </c>
      <c r="I70" s="32">
        <v>0.215</v>
      </c>
      <c r="J70" s="32"/>
      <c r="K70" s="6">
        <v>2.4649699999999999E-5</v>
      </c>
      <c r="L70" s="14">
        <v>5637.0249999999996</v>
      </c>
      <c r="M70" s="31">
        <v>1.9392476670579872</v>
      </c>
      <c r="N70" s="13" t="s">
        <v>5</v>
      </c>
      <c r="P70" s="41">
        <f t="shared" si="15"/>
        <v>24.649699999999999</v>
      </c>
      <c r="R70" s="4">
        <f t="shared" si="16"/>
        <v>2.0020581987014658</v>
      </c>
      <c r="T70" s="41">
        <f t="shared" si="17"/>
        <v>1.9283388008861604</v>
      </c>
      <c r="U70" s="41">
        <f t="shared" si="18"/>
        <v>2.0020581987014658</v>
      </c>
      <c r="V70" s="48">
        <f t="shared" si="12"/>
        <v>-3.6821805611405217E-2</v>
      </c>
      <c r="W70" s="44">
        <f t="shared" si="19"/>
        <v>3.6821805611405217E-2</v>
      </c>
      <c r="X70" s="46">
        <f t="shared" si="21"/>
        <v>1858</v>
      </c>
      <c r="Y70" s="47">
        <f t="shared" si="20"/>
        <v>1522</v>
      </c>
      <c r="Z70" s="4">
        <f t="shared" si="14"/>
        <v>0</v>
      </c>
    </row>
    <row r="71" spans="1:26" s="4" customFormat="1" x14ac:dyDescent="0.3">
      <c r="A71" s="4" t="s">
        <v>15</v>
      </c>
      <c r="B71" s="14">
        <v>3005.6959999999999</v>
      </c>
      <c r="C71" s="30">
        <v>156</v>
      </c>
      <c r="D71" s="20">
        <v>1235</v>
      </c>
      <c r="E71" s="19">
        <v>0.86626456310679611</v>
      </c>
      <c r="F71" s="13">
        <v>42.3</v>
      </c>
      <c r="G71" s="31">
        <v>1.657</v>
      </c>
      <c r="H71" s="13" t="s">
        <v>5</v>
      </c>
      <c r="I71" s="32">
        <v>0.29399999999999998</v>
      </c>
      <c r="J71" s="32"/>
      <c r="K71" s="23">
        <v>1.9306598903568971E-5</v>
      </c>
      <c r="L71" s="14">
        <v>7609.6959999999999</v>
      </c>
      <c r="M71" s="31">
        <v>1.556</v>
      </c>
      <c r="N71" s="13" t="s">
        <v>5</v>
      </c>
      <c r="P71" s="41">
        <f t="shared" si="15"/>
        <v>19.306598903568972</v>
      </c>
      <c r="R71" s="4">
        <f t="shared" si="16"/>
        <v>1.657</v>
      </c>
      <c r="T71" s="41">
        <f t="shared" si="17"/>
        <v>1.5160695403211677</v>
      </c>
      <c r="U71" s="41">
        <f t="shared" si="18"/>
        <v>1.657</v>
      </c>
      <c r="V71" s="48">
        <f t="shared" si="12"/>
        <v>-8.5051574941962776E-2</v>
      </c>
      <c r="W71" s="44">
        <f t="shared" si="19"/>
        <v>8.5051574941962776E-2</v>
      </c>
      <c r="X71" s="46">
        <f t="shared" si="21"/>
        <v>1235</v>
      </c>
      <c r="Y71" s="47">
        <f t="shared" si="20"/>
        <v>4604</v>
      </c>
      <c r="Z71" s="4">
        <f t="shared" si="14"/>
        <v>0</v>
      </c>
    </row>
    <row r="72" spans="1:26" s="4" customFormat="1" x14ac:dyDescent="0.3">
      <c r="A72" s="4" t="s">
        <v>15</v>
      </c>
      <c r="B72" s="14">
        <v>1265.0250000000001</v>
      </c>
      <c r="C72" s="30">
        <v>157</v>
      </c>
      <c r="D72" s="20">
        <v>338</v>
      </c>
      <c r="E72" s="19">
        <v>0.82463204747774488</v>
      </c>
      <c r="F72" s="13">
        <v>43.65</v>
      </c>
      <c r="G72" s="31">
        <v>1.2838000000000001</v>
      </c>
      <c r="H72" s="13" t="s">
        <v>5</v>
      </c>
      <c r="I72" s="32">
        <v>0.56599999999999995</v>
      </c>
      <c r="J72" s="32"/>
      <c r="K72" s="6">
        <v>1.36184E-5</v>
      </c>
      <c r="L72" s="14">
        <v>3165.0250000000001</v>
      </c>
      <c r="M72" s="31">
        <v>1.2577</v>
      </c>
      <c r="N72" s="13" t="s">
        <v>5</v>
      </c>
      <c r="P72" s="41">
        <f t="shared" si="15"/>
        <v>13.618399999999999</v>
      </c>
      <c r="R72" s="4">
        <f t="shared" si="16"/>
        <v>1.2838000000000001</v>
      </c>
      <c r="T72" s="41">
        <f t="shared" si="17"/>
        <v>1.2510078042762123</v>
      </c>
      <c r="U72" s="41">
        <f t="shared" si="18"/>
        <v>1.2838000000000001</v>
      </c>
      <c r="V72" s="48">
        <f t="shared" si="12"/>
        <v>-2.5543071914463138E-2</v>
      </c>
      <c r="W72" s="44">
        <f t="shared" si="19"/>
        <v>2.5543071914463138E-2</v>
      </c>
      <c r="X72" s="46">
        <f t="shared" si="21"/>
        <v>338</v>
      </c>
      <c r="Y72" s="47">
        <f t="shared" si="20"/>
        <v>1900</v>
      </c>
      <c r="Z72" s="4">
        <f t="shared" si="14"/>
        <v>0</v>
      </c>
    </row>
    <row r="73" spans="1:26" s="4" customFormat="1" x14ac:dyDescent="0.3">
      <c r="A73" s="4" t="s">
        <v>15</v>
      </c>
      <c r="B73" s="14">
        <v>5276</v>
      </c>
      <c r="C73" s="30">
        <v>170</v>
      </c>
      <c r="D73" s="20">
        <f>(7187*1.2099+263)</f>
        <v>8958.5512999999992</v>
      </c>
      <c r="E73" s="19">
        <f>(7187*1.2099*0.7258+263*1.2356)/(7187*1.2099+263)</f>
        <v>0.74076641538459465</v>
      </c>
      <c r="F73" s="13">
        <v>51.27</v>
      </c>
      <c r="G73" s="31" t="s">
        <v>5</v>
      </c>
      <c r="H73" s="34">
        <v>6.2776609435324395E-4</v>
      </c>
      <c r="I73" s="32" t="s">
        <v>5</v>
      </c>
      <c r="J73" s="32"/>
      <c r="K73" s="23">
        <v>5.8542578969883249E-5</v>
      </c>
      <c r="L73" s="14">
        <v>9715</v>
      </c>
      <c r="M73" s="31" t="s">
        <v>5</v>
      </c>
      <c r="N73" s="34">
        <v>5.3098566869680191E-4</v>
      </c>
      <c r="P73" s="41">
        <f t="shared" si="15"/>
        <v>58.542578969883252</v>
      </c>
      <c r="R73" s="4">
        <f t="shared" si="16"/>
        <v>3.5249066197934648E-3</v>
      </c>
      <c r="T73" s="41">
        <f t="shared" si="17"/>
        <v>4.0947036157143875E-4</v>
      </c>
      <c r="U73" s="41">
        <f t="shared" si="18"/>
        <v>5.3098566869680191E-4</v>
      </c>
      <c r="V73" s="48">
        <f t="shared" si="12"/>
        <v>-0.22884856275612517</v>
      </c>
      <c r="W73" s="44">
        <f t="shared" si="19"/>
        <v>0.22884856275612517</v>
      </c>
      <c r="X73" s="46">
        <f t="shared" si="21"/>
        <v>8958.5512999999992</v>
      </c>
      <c r="Y73" s="47">
        <f t="shared" si="20"/>
        <v>4439</v>
      </c>
      <c r="Z73" s="4">
        <f t="shared" si="14"/>
        <v>1</v>
      </c>
    </row>
    <row r="74" spans="1:26" s="4" customFormat="1" x14ac:dyDescent="0.3">
      <c r="A74" s="4" t="s">
        <v>15</v>
      </c>
      <c r="B74" s="14">
        <v>4925</v>
      </c>
      <c r="C74" s="30">
        <v>174</v>
      </c>
      <c r="D74" s="20">
        <f>3423*1.1713+201</f>
        <v>4210.3598999999995</v>
      </c>
      <c r="E74" s="19">
        <f>(3423*1.1713*0.7514+106*0.8642+95*1.4455)/(3423*1.1713+201)</f>
        <v>0.76990110248294918</v>
      </c>
      <c r="F74" s="13">
        <v>48.39</v>
      </c>
      <c r="G74" s="31" t="s">
        <v>5</v>
      </c>
      <c r="H74" s="34">
        <v>6.8674243724890977E-4</v>
      </c>
      <c r="I74" s="32" t="s">
        <v>5</v>
      </c>
      <c r="J74" s="32"/>
      <c r="K74" s="23">
        <v>4.9084457480247505E-5</v>
      </c>
      <c r="L74" s="14">
        <v>8620</v>
      </c>
      <c r="M74" s="31" t="s">
        <v>5</v>
      </c>
      <c r="N74" s="34">
        <v>6.1396776669224863E-4</v>
      </c>
      <c r="P74" s="41">
        <f t="shared" si="15"/>
        <v>49.084457480247508</v>
      </c>
      <c r="R74" s="4">
        <f t="shared" si="16"/>
        <v>3.8560587851526286E-3</v>
      </c>
      <c r="T74" s="41">
        <f t="shared" si="17"/>
        <v>5.1212839195270026E-4</v>
      </c>
      <c r="U74" s="41">
        <f t="shared" si="18"/>
        <v>6.1396776669224863E-4</v>
      </c>
      <c r="V74" s="48">
        <f t="shared" si="12"/>
        <v>-0.16587088160703942</v>
      </c>
      <c r="W74" s="44">
        <f t="shared" si="19"/>
        <v>0.16587088160703942</v>
      </c>
      <c r="X74" s="46">
        <f t="shared" si="21"/>
        <v>4210.3598999999995</v>
      </c>
      <c r="Y74" s="47">
        <f t="shared" si="20"/>
        <v>3695</v>
      </c>
      <c r="Z74" s="4">
        <f t="shared" si="14"/>
        <v>1</v>
      </c>
    </row>
    <row r="75" spans="1:26" s="4" customFormat="1" x14ac:dyDescent="0.3">
      <c r="A75" s="4" t="s">
        <v>15</v>
      </c>
      <c r="B75" s="14">
        <v>4884</v>
      </c>
      <c r="C75" s="30">
        <v>178</v>
      </c>
      <c r="D75" s="20">
        <f>(4003*1.2158+288)</f>
        <v>5154.8473999999997</v>
      </c>
      <c r="E75" s="19">
        <f>(4003*1.2158*0.7362+288*1.2696)/(4003*1.2158+288)</f>
        <v>0.7660009209739167</v>
      </c>
      <c r="F75" s="13">
        <v>49.47</v>
      </c>
      <c r="G75" s="31" t="s">
        <v>5</v>
      </c>
      <c r="H75" s="34">
        <v>6.7260803766605007E-4</v>
      </c>
      <c r="I75" s="32" t="s">
        <v>5</v>
      </c>
      <c r="J75" s="32"/>
      <c r="K75" s="23">
        <v>5.5507535049465321E-5</v>
      </c>
      <c r="L75" s="14">
        <v>8960</v>
      </c>
      <c r="M75" s="31" t="s">
        <v>5</v>
      </c>
      <c r="N75" s="34">
        <v>5.8540811726895403E-4</v>
      </c>
      <c r="P75" s="41">
        <f t="shared" si="15"/>
        <v>55.507535049465318</v>
      </c>
      <c r="R75" s="4">
        <f t="shared" si="16"/>
        <v>3.7766941314948711E-3</v>
      </c>
      <c r="T75" s="41">
        <f t="shared" si="17"/>
        <v>4.6687451986843253E-4</v>
      </c>
      <c r="U75" s="41">
        <f t="shared" si="18"/>
        <v>5.8540811726895403E-4</v>
      </c>
      <c r="V75" s="48">
        <f t="shared" si="12"/>
        <v>-0.20248027641554484</v>
      </c>
      <c r="W75" s="44">
        <f t="shared" si="19"/>
        <v>0.20248027641554484</v>
      </c>
      <c r="X75" s="46">
        <f t="shared" si="21"/>
        <v>5154.8473999999997</v>
      </c>
      <c r="Y75" s="47">
        <f t="shared" si="20"/>
        <v>4076</v>
      </c>
      <c r="Z75" s="4">
        <f t="shared" si="14"/>
        <v>1</v>
      </c>
    </row>
    <row r="76" spans="1:26" s="4" customFormat="1" x14ac:dyDescent="0.3">
      <c r="A76" s="4" t="s">
        <v>15</v>
      </c>
      <c r="B76" s="14">
        <v>3815</v>
      </c>
      <c r="C76" s="30">
        <v>174</v>
      </c>
      <c r="D76" s="20">
        <v>1784</v>
      </c>
      <c r="E76" s="19">
        <v>0.83123413677130042</v>
      </c>
      <c r="F76" s="13">
        <v>48.3</v>
      </c>
      <c r="G76" s="31">
        <v>1.9897</v>
      </c>
      <c r="H76" s="13" t="s">
        <v>5</v>
      </c>
      <c r="I76" s="32">
        <v>0.20899999999999999</v>
      </c>
      <c r="J76" s="32"/>
      <c r="K76" s="6">
        <v>2.88053E-5</v>
      </c>
      <c r="L76" s="14">
        <v>6115</v>
      </c>
      <c r="M76" s="31">
        <v>1.89041397</v>
      </c>
      <c r="N76" s="13" t="s">
        <v>5</v>
      </c>
      <c r="P76" s="41">
        <f t="shared" si="15"/>
        <v>28.805299999999999</v>
      </c>
      <c r="R76" s="4">
        <f t="shared" si="16"/>
        <v>1.9897</v>
      </c>
      <c r="T76" s="41">
        <f t="shared" si="17"/>
        <v>1.8621499058751161</v>
      </c>
      <c r="U76" s="41">
        <f t="shared" si="18"/>
        <v>1.9897</v>
      </c>
      <c r="V76" s="48">
        <f t="shared" si="12"/>
        <v>-6.410518878468309E-2</v>
      </c>
      <c r="W76" s="44">
        <f t="shared" si="19"/>
        <v>6.410518878468309E-2</v>
      </c>
      <c r="X76" s="46">
        <f t="shared" si="21"/>
        <v>1784</v>
      </c>
      <c r="Y76" s="47">
        <f t="shared" si="20"/>
        <v>2300</v>
      </c>
      <c r="Z76" s="4">
        <f t="shared" si="14"/>
        <v>0</v>
      </c>
    </row>
    <row r="77" spans="1:26" s="4" customFormat="1" x14ac:dyDescent="0.3">
      <c r="A77" s="4" t="s">
        <v>15</v>
      </c>
      <c r="B77" s="14">
        <v>4374</v>
      </c>
      <c r="C77" s="30">
        <v>174</v>
      </c>
      <c r="D77" s="20">
        <v>2615</v>
      </c>
      <c r="E77" s="19">
        <v>0.79573762906309753</v>
      </c>
      <c r="F77" s="13">
        <v>47.5</v>
      </c>
      <c r="G77" s="31">
        <v>2.4460000000000002</v>
      </c>
      <c r="H77" s="13" t="s">
        <v>5</v>
      </c>
      <c r="I77" s="32">
        <v>0.14699999999999999</v>
      </c>
      <c r="J77" s="32"/>
      <c r="K77" s="6">
        <v>3.5503000000000002E-5</v>
      </c>
      <c r="L77" s="14">
        <v>6415</v>
      </c>
      <c r="M77" s="31">
        <v>2.3170000000000002</v>
      </c>
      <c r="N77" s="13" t="s">
        <v>5</v>
      </c>
      <c r="P77" s="41">
        <f t="shared" si="15"/>
        <v>35.503</v>
      </c>
      <c r="R77" s="4">
        <f t="shared" si="16"/>
        <v>2.4460000000000002</v>
      </c>
      <c r="T77" s="41">
        <f t="shared" si="17"/>
        <v>2.2750281234100309</v>
      </c>
      <c r="U77" s="41">
        <f t="shared" si="18"/>
        <v>2.4460000000000002</v>
      </c>
      <c r="V77" s="48">
        <f t="shared" si="12"/>
        <v>-6.9898559521655454E-2</v>
      </c>
      <c r="W77" s="44">
        <f t="shared" si="19"/>
        <v>6.9898559521655454E-2</v>
      </c>
      <c r="X77" s="46">
        <f t="shared" si="21"/>
        <v>2615</v>
      </c>
      <c r="Y77" s="47">
        <f t="shared" si="20"/>
        <v>2041</v>
      </c>
      <c r="Z77" s="4">
        <f t="shared" si="14"/>
        <v>0</v>
      </c>
    </row>
    <row r="78" spans="1:26" s="4" customFormat="1" x14ac:dyDescent="0.3">
      <c r="A78" s="4" t="s">
        <v>15</v>
      </c>
      <c r="B78" s="14">
        <v>4161</v>
      </c>
      <c r="C78" s="30">
        <v>169</v>
      </c>
      <c r="D78" s="20">
        <v>2206</v>
      </c>
      <c r="E78" s="19">
        <v>0.81640797824116051</v>
      </c>
      <c r="F78" s="13">
        <v>46.200069761207317</v>
      </c>
      <c r="G78" s="31">
        <v>2.14764883740115</v>
      </c>
      <c r="H78" s="13" t="s">
        <v>5</v>
      </c>
      <c r="I78" s="32">
        <v>0.17599999999999999</v>
      </c>
      <c r="J78" s="32"/>
      <c r="K78" s="23">
        <v>3.2677395172111213E-5</v>
      </c>
      <c r="L78" s="14">
        <v>6365</v>
      </c>
      <c r="M78" s="31">
        <v>2.0428687487688331</v>
      </c>
      <c r="N78" s="13" t="s">
        <v>5</v>
      </c>
      <c r="P78" s="41">
        <f t="shared" si="15"/>
        <v>32.677395172111211</v>
      </c>
      <c r="R78" s="4">
        <f t="shared" si="16"/>
        <v>2.14764883740115</v>
      </c>
      <c r="T78" s="41">
        <f t="shared" si="17"/>
        <v>1.9984116715178286</v>
      </c>
      <c r="U78" s="41">
        <f t="shared" si="18"/>
        <v>2.14764883740115</v>
      </c>
      <c r="V78" s="48">
        <f t="shared" si="12"/>
        <v>-6.9488625553846078E-2</v>
      </c>
      <c r="W78" s="44">
        <f t="shared" si="19"/>
        <v>6.9488625553846078E-2</v>
      </c>
      <c r="X78" s="46">
        <f t="shared" si="21"/>
        <v>2206</v>
      </c>
      <c r="Y78" s="47">
        <f t="shared" si="20"/>
        <v>2204</v>
      </c>
      <c r="Z78" s="4">
        <f t="shared" si="14"/>
        <v>0</v>
      </c>
    </row>
    <row r="79" spans="1:26" s="4" customFormat="1" x14ac:dyDescent="0.3">
      <c r="A79" s="4" t="s">
        <v>15</v>
      </c>
      <c r="B79" s="14">
        <v>5490</v>
      </c>
      <c r="C79" s="30">
        <v>173</v>
      </c>
      <c r="D79" s="20">
        <f>(5372*1.1437+205)</f>
        <v>6348.9564</v>
      </c>
      <c r="E79" s="19">
        <f>(5372*1.1437*0.708+126*0.8667+11*0.8733+25*1.0918+44*1.501)/(5372*1.1437+205)</f>
        <v>0.71855441174552726</v>
      </c>
      <c r="F79" s="13">
        <v>53.3</v>
      </c>
      <c r="G79" s="31" t="s">
        <v>5</v>
      </c>
      <c r="H79" s="34">
        <v>6.4029914776183422E-4</v>
      </c>
      <c r="I79" s="32" t="s">
        <v>5</v>
      </c>
      <c r="J79" s="32"/>
      <c r="K79" s="23">
        <v>5.2520973167628993E-5</v>
      </c>
      <c r="L79" s="14">
        <v>7215</v>
      </c>
      <c r="M79" s="31" t="s">
        <v>5</v>
      </c>
      <c r="N79" s="34">
        <v>5.9466466859338027E-4</v>
      </c>
      <c r="P79" s="41">
        <f t="shared" si="15"/>
        <v>52.520973167628995</v>
      </c>
      <c r="R79" s="4">
        <f t="shared" si="16"/>
        <v>3.5952797146826991E-3</v>
      </c>
      <c r="T79" s="41">
        <f t="shared" si="17"/>
        <v>5.4315731132811938E-4</v>
      </c>
      <c r="U79" s="41">
        <f t="shared" si="18"/>
        <v>5.9466466859338027E-4</v>
      </c>
      <c r="V79" s="48">
        <f t="shared" si="12"/>
        <v>-8.6615802124408017E-2</v>
      </c>
      <c r="W79" s="44">
        <f t="shared" si="19"/>
        <v>8.6615802124408017E-2</v>
      </c>
      <c r="X79" s="46">
        <f t="shared" si="21"/>
        <v>6348.9564</v>
      </c>
      <c r="Y79" s="47">
        <f t="shared" si="20"/>
        <v>1725</v>
      </c>
      <c r="Z79" s="4">
        <f t="shared" si="14"/>
        <v>1</v>
      </c>
    </row>
    <row r="80" spans="1:26" s="4" customFormat="1" x14ac:dyDescent="0.3">
      <c r="A80" s="4" t="s">
        <v>15</v>
      </c>
      <c r="B80" s="14">
        <v>4633</v>
      </c>
      <c r="C80" s="30">
        <v>175</v>
      </c>
      <c r="D80" s="20">
        <v>2870</v>
      </c>
      <c r="E80" s="19">
        <v>0.77762717770034839</v>
      </c>
      <c r="F80" s="13">
        <v>50.2</v>
      </c>
      <c r="G80" s="31">
        <v>2.4930187474406478</v>
      </c>
      <c r="H80" s="13" t="s">
        <v>5</v>
      </c>
      <c r="I80" s="32">
        <v>0.123</v>
      </c>
      <c r="J80" s="32"/>
      <c r="K80" s="23">
        <v>3.9453414659042241E-5</v>
      </c>
      <c r="L80" s="14">
        <v>6900</v>
      </c>
      <c r="M80" s="31">
        <v>2.3387812897176889</v>
      </c>
      <c r="N80" s="13" t="s">
        <v>5</v>
      </c>
      <c r="P80" s="41">
        <f t="shared" si="15"/>
        <v>39.453414659042238</v>
      </c>
      <c r="R80" s="4">
        <f t="shared" si="16"/>
        <v>2.4930187474406478</v>
      </c>
      <c r="T80" s="41">
        <f t="shared" si="17"/>
        <v>2.2797218354170807</v>
      </c>
      <c r="U80" s="41">
        <f t="shared" si="18"/>
        <v>2.4930187474406478</v>
      </c>
      <c r="V80" s="48">
        <f t="shared" si="12"/>
        <v>-8.5557684731628794E-2</v>
      </c>
      <c r="W80" s="44">
        <f t="shared" si="19"/>
        <v>8.5557684731628794E-2</v>
      </c>
      <c r="X80" s="46">
        <f t="shared" si="21"/>
        <v>2870</v>
      </c>
      <c r="Y80" s="47">
        <f t="shared" si="20"/>
        <v>2267</v>
      </c>
      <c r="Z80" s="4">
        <f t="shared" si="14"/>
        <v>0</v>
      </c>
    </row>
    <row r="81" spans="1:26" s="4" customFormat="1" x14ac:dyDescent="0.3">
      <c r="A81" s="4" t="s">
        <v>15</v>
      </c>
      <c r="B81" s="14">
        <v>4618</v>
      </c>
      <c r="C81" s="30">
        <v>205</v>
      </c>
      <c r="D81" s="20">
        <v>3786</v>
      </c>
      <c r="E81" s="19">
        <v>0.7799001584786055</v>
      </c>
      <c r="F81" s="13">
        <v>47.6</v>
      </c>
      <c r="G81" s="31">
        <v>3.1960000000000002</v>
      </c>
      <c r="H81" s="13" t="s">
        <v>5</v>
      </c>
      <c r="I81" s="32">
        <v>9.7000000000000003E-2</v>
      </c>
      <c r="J81" s="32"/>
      <c r="K81" s="23">
        <v>7.0318049317459581E-5</v>
      </c>
      <c r="L81" s="14">
        <v>7362</v>
      </c>
      <c r="M81" s="31">
        <v>2.8834312</v>
      </c>
      <c r="N81" s="13" t="s">
        <v>5</v>
      </c>
      <c r="P81" s="41">
        <f t="shared" si="15"/>
        <v>70.318049317459582</v>
      </c>
      <c r="R81" s="4">
        <f t="shared" si="16"/>
        <v>3.1960000000000002</v>
      </c>
      <c r="T81" s="41">
        <f t="shared" si="17"/>
        <v>2.6351689578843813</v>
      </c>
      <c r="U81" s="41">
        <f t="shared" si="18"/>
        <v>3.1960000000000002</v>
      </c>
      <c r="V81" s="48">
        <f t="shared" si="12"/>
        <v>-0.1754790494729721</v>
      </c>
      <c r="W81" s="44">
        <f t="shared" si="19"/>
        <v>0.1754790494729721</v>
      </c>
      <c r="X81" s="46">
        <f t="shared" si="21"/>
        <v>3786</v>
      </c>
      <c r="Y81" s="47">
        <f t="shared" si="20"/>
        <v>2744</v>
      </c>
      <c r="Z81" s="4">
        <f t="shared" si="14"/>
        <v>0</v>
      </c>
    </row>
    <row r="82" spans="1:26" s="4" customFormat="1" x14ac:dyDescent="0.3">
      <c r="A82" s="4" t="s">
        <v>15</v>
      </c>
      <c r="B82" s="14">
        <v>4856</v>
      </c>
      <c r="C82" s="30">
        <v>165</v>
      </c>
      <c r="D82" s="20">
        <v>3878</v>
      </c>
      <c r="E82" s="19">
        <v>0.81859073191566978</v>
      </c>
      <c r="F82" s="13">
        <v>49.45</v>
      </c>
      <c r="G82" s="31">
        <v>3.048</v>
      </c>
      <c r="H82" s="13" t="s">
        <v>5</v>
      </c>
      <c r="I82" s="32">
        <v>0.11</v>
      </c>
      <c r="J82" s="32"/>
      <c r="K82" s="6">
        <v>5.1286399999999997E-5</v>
      </c>
      <c r="L82" s="14">
        <v>7015</v>
      </c>
      <c r="M82" s="31">
        <v>2.8382000000000001</v>
      </c>
      <c r="N82" s="13" t="s">
        <v>5</v>
      </c>
      <c r="P82" s="41">
        <f t="shared" si="15"/>
        <v>51.2864</v>
      </c>
      <c r="R82" s="4">
        <f t="shared" si="16"/>
        <v>3.048</v>
      </c>
      <c r="T82" s="41">
        <f t="shared" si="17"/>
        <v>2.7285171693592329</v>
      </c>
      <c r="U82" s="41">
        <f t="shared" si="18"/>
        <v>3.048</v>
      </c>
      <c r="V82" s="48">
        <f t="shared" si="12"/>
        <v>-0.10481720165379498</v>
      </c>
      <c r="W82" s="44">
        <f t="shared" si="19"/>
        <v>0.10481720165379498</v>
      </c>
      <c r="X82" s="46">
        <f t="shared" si="21"/>
        <v>3878</v>
      </c>
      <c r="Y82" s="47">
        <f t="shared" si="20"/>
        <v>2159</v>
      </c>
      <c r="Z82" s="4">
        <f t="shared" si="14"/>
        <v>0</v>
      </c>
    </row>
    <row r="83" spans="1:26" s="4" customFormat="1" x14ac:dyDescent="0.3">
      <c r="A83" s="4" t="s">
        <v>15</v>
      </c>
      <c r="B83" s="14">
        <v>5098</v>
      </c>
      <c r="C83" s="30">
        <v>173</v>
      </c>
      <c r="D83" s="20">
        <f>(8735*1.0801+65)</f>
        <v>9499.6735000000008</v>
      </c>
      <c r="E83" s="19">
        <f>(8735*1.0801*0.8086+36*0.8771+29*1.416)/(8735*1.0801+65)</f>
        <v>0.81071382001707748</v>
      </c>
      <c r="F83" s="13">
        <v>50.63</v>
      </c>
      <c r="G83" s="31" t="s">
        <v>5</v>
      </c>
      <c r="H83" s="34">
        <v>6.1843683899999902E-4</v>
      </c>
      <c r="I83" s="32" t="s">
        <v>5</v>
      </c>
      <c r="J83" s="32"/>
      <c r="K83" s="23">
        <v>6.5297767629066359E-5</v>
      </c>
      <c r="L83" s="14">
        <v>7215</v>
      </c>
      <c r="M83" s="31" t="s">
        <v>5</v>
      </c>
      <c r="N83" s="34">
        <v>5.5541978627446625E-4</v>
      </c>
      <c r="P83" s="41">
        <f t="shared" si="15"/>
        <v>65.297767629066357</v>
      </c>
      <c r="R83" s="4">
        <f t="shared" si="16"/>
        <v>3.4725228509849947E-3</v>
      </c>
      <c r="T83" s="41">
        <f t="shared" si="17"/>
        <v>4.8371158262906143E-4</v>
      </c>
      <c r="U83" s="41">
        <f t="shared" si="18"/>
        <v>5.5541978627446625E-4</v>
      </c>
      <c r="V83" s="48">
        <f t="shared" si="12"/>
        <v>-0.12910631817133264</v>
      </c>
      <c r="W83" s="44">
        <f t="shared" si="19"/>
        <v>0.12910631817133264</v>
      </c>
      <c r="X83" s="46">
        <f t="shared" si="21"/>
        <v>9499.6735000000008</v>
      </c>
      <c r="Y83" s="47">
        <f t="shared" si="20"/>
        <v>2117</v>
      </c>
      <c r="Z83" s="4">
        <f t="shared" si="14"/>
        <v>1</v>
      </c>
    </row>
    <row r="84" spans="1:26" s="4" customFormat="1" x14ac:dyDescent="0.3">
      <c r="A84" s="4" t="s">
        <v>15</v>
      </c>
      <c r="B84" s="14">
        <v>4695</v>
      </c>
      <c r="C84" s="30">
        <v>184</v>
      </c>
      <c r="D84" s="20">
        <f>(13859*1.0736+58)</f>
        <v>14937.022400000002</v>
      </c>
      <c r="E84" s="19">
        <f>(13859*1.0736*0.7393+30*1.0133+28*1.3807)/(13859*1.0736+58)</f>
        <v>0.74105263846427649</v>
      </c>
      <c r="F84" s="13">
        <v>54.68</v>
      </c>
      <c r="G84" s="31" t="s">
        <v>5</v>
      </c>
      <c r="H84" s="34">
        <v>6.7487312385271572E-4</v>
      </c>
      <c r="I84" s="32" t="s">
        <v>5</v>
      </c>
      <c r="J84" s="32"/>
      <c r="K84" s="23">
        <v>9.5971359558316165E-5</v>
      </c>
      <c r="L84" s="14">
        <v>8057</v>
      </c>
      <c r="M84" s="31" t="s">
        <v>5</v>
      </c>
      <c r="N84" s="34">
        <v>5.521140446770685E-4</v>
      </c>
      <c r="P84" s="41">
        <f t="shared" si="15"/>
        <v>95.971359558316166</v>
      </c>
      <c r="R84" s="4">
        <f t="shared" si="16"/>
        <v>3.7894125904329987E-3</v>
      </c>
      <c r="T84" s="41">
        <f t="shared" si="17"/>
        <v>3.99853774602053E-4</v>
      </c>
      <c r="U84" s="41">
        <f t="shared" si="18"/>
        <v>5.521140446770685E-4</v>
      </c>
      <c r="V84" s="48">
        <f t="shared" si="12"/>
        <v>-0.27577684636526956</v>
      </c>
      <c r="W84" s="44">
        <f t="shared" si="19"/>
        <v>0.27577684636526956</v>
      </c>
      <c r="X84" s="46">
        <f t="shared" si="21"/>
        <v>14937.022400000002</v>
      </c>
      <c r="Y84" s="47">
        <f t="shared" si="20"/>
        <v>3362</v>
      </c>
      <c r="Z84" s="4">
        <f t="shared" si="14"/>
        <v>1</v>
      </c>
    </row>
    <row r="85" spans="1:26" s="4" customFormat="1" x14ac:dyDescent="0.3">
      <c r="A85" s="4" t="s">
        <v>15</v>
      </c>
      <c r="B85" s="14">
        <v>3658</v>
      </c>
      <c r="C85" s="30">
        <v>165</v>
      </c>
      <c r="D85" s="20">
        <v>1925</v>
      </c>
      <c r="E85" s="19">
        <v>0.81186086770028443</v>
      </c>
      <c r="F85" s="13">
        <v>46.8</v>
      </c>
      <c r="G85" s="31">
        <v>2.0635741274033896</v>
      </c>
      <c r="H85" s="13" t="s">
        <v>5</v>
      </c>
      <c r="I85" s="32">
        <v>0.17435896980184501</v>
      </c>
      <c r="J85" s="32"/>
      <c r="K85" s="6">
        <v>2.7064067788050001E-5</v>
      </c>
      <c r="L85" s="14">
        <v>8330</v>
      </c>
      <c r="M85" s="31">
        <v>1.8912825290639923</v>
      </c>
      <c r="N85" s="13" t="s">
        <v>5</v>
      </c>
      <c r="P85" s="41">
        <f t="shared" si="15"/>
        <v>27.06406778805</v>
      </c>
      <c r="R85" s="4">
        <f t="shared" si="16"/>
        <v>2.0635741274033896</v>
      </c>
      <c r="T85" s="41">
        <f t="shared" si="17"/>
        <v>1.8184712362065549</v>
      </c>
      <c r="U85" s="41">
        <f t="shared" si="18"/>
        <v>2.0635741274033896</v>
      </c>
      <c r="V85" s="48">
        <f t="shared" si="12"/>
        <v>-0.11877590823705929</v>
      </c>
      <c r="W85" s="44">
        <f t="shared" si="19"/>
        <v>0.11877590823705929</v>
      </c>
      <c r="X85" s="46">
        <f t="shared" si="21"/>
        <v>1925</v>
      </c>
      <c r="Y85" s="47">
        <f t="shared" si="20"/>
        <v>4672</v>
      </c>
      <c r="Z85" s="4">
        <f t="shared" si="14"/>
        <v>0</v>
      </c>
    </row>
    <row r="86" spans="1:26" s="9" customFormat="1" x14ac:dyDescent="0.3">
      <c r="A86" s="4" t="s">
        <v>15</v>
      </c>
      <c r="B86" s="14">
        <v>3515</v>
      </c>
      <c r="C86" s="30">
        <v>185</v>
      </c>
      <c r="D86" s="20">
        <v>1573</v>
      </c>
      <c r="E86" s="19">
        <v>0.84594531668754847</v>
      </c>
      <c r="F86" s="13">
        <v>45.82</v>
      </c>
      <c r="G86" s="31">
        <v>1.8840719058200459</v>
      </c>
      <c r="H86" s="13" t="s">
        <v>5</v>
      </c>
      <c r="I86" s="32">
        <v>0.2</v>
      </c>
      <c r="J86" s="32"/>
      <c r="K86" s="6">
        <v>2.7552E-5</v>
      </c>
      <c r="L86" s="14">
        <v>9815</v>
      </c>
      <c r="M86" s="31">
        <v>1.7033262209799349</v>
      </c>
      <c r="N86" s="13" t="s">
        <v>5</v>
      </c>
      <c r="P86" s="41">
        <f t="shared" si="15"/>
        <v>27.552</v>
      </c>
      <c r="R86" s="4">
        <f t="shared" si="16"/>
        <v>1.8840719058200459</v>
      </c>
      <c r="T86" s="41">
        <f t="shared" si="17"/>
        <v>1.5838486538207273</v>
      </c>
      <c r="U86" s="41">
        <f t="shared" si="18"/>
        <v>1.8840719058200459</v>
      </c>
      <c r="V86" s="48">
        <f t="shared" si="12"/>
        <v>-0.15934808595781588</v>
      </c>
      <c r="W86" s="44">
        <f t="shared" si="19"/>
        <v>0.15934808595781588</v>
      </c>
      <c r="X86" s="46">
        <f t="shared" si="21"/>
        <v>1573</v>
      </c>
      <c r="Y86" s="47">
        <f t="shared" si="20"/>
        <v>6300</v>
      </c>
      <c r="Z86" s="4">
        <f t="shared" si="14"/>
        <v>0</v>
      </c>
    </row>
    <row r="87" spans="1:26" x14ac:dyDescent="0.3">
      <c r="A87" s="4" t="s">
        <v>15</v>
      </c>
      <c r="B87" s="14">
        <v>3515</v>
      </c>
      <c r="C87" s="30">
        <v>190</v>
      </c>
      <c r="D87" s="20">
        <v>1303</v>
      </c>
      <c r="E87" s="19">
        <v>0.8405067484662575</v>
      </c>
      <c r="F87" s="13">
        <v>45.31</v>
      </c>
      <c r="G87" s="31">
        <v>1.7521</v>
      </c>
      <c r="H87" s="13" t="s">
        <v>5</v>
      </c>
      <c r="I87" s="32">
        <v>0.28499999999999998</v>
      </c>
      <c r="J87" s="32"/>
      <c r="K87" s="6">
        <v>2.47308E-5</v>
      </c>
      <c r="L87" s="14">
        <v>9015</v>
      </c>
      <c r="M87" s="31">
        <v>1.6107</v>
      </c>
      <c r="N87" s="13" t="s">
        <v>5</v>
      </c>
      <c r="P87" s="41">
        <f t="shared" si="15"/>
        <v>24.730800000000002</v>
      </c>
      <c r="R87" s="4">
        <f t="shared" si="16"/>
        <v>1.7521</v>
      </c>
      <c r="T87" s="41">
        <f t="shared" si="17"/>
        <v>1.5292779081042864</v>
      </c>
      <c r="U87" s="41">
        <f t="shared" si="18"/>
        <v>1.7521</v>
      </c>
      <c r="V87" s="48">
        <f t="shared" si="12"/>
        <v>-0.12717430049410053</v>
      </c>
      <c r="W87" s="44">
        <f t="shared" si="19"/>
        <v>0.12717430049410053</v>
      </c>
      <c r="X87" s="46">
        <f t="shared" si="21"/>
        <v>1303</v>
      </c>
      <c r="Y87" s="47">
        <f t="shared" si="20"/>
        <v>5500</v>
      </c>
      <c r="Z87" s="4">
        <f t="shared" si="14"/>
        <v>0</v>
      </c>
    </row>
    <row r="88" spans="1:26" s="7" customFormat="1" x14ac:dyDescent="0.3">
      <c r="A88" s="4" t="s">
        <v>15</v>
      </c>
      <c r="B88" s="14">
        <v>4815</v>
      </c>
      <c r="C88" s="30">
        <v>171</v>
      </c>
      <c r="D88" s="20">
        <v>3198</v>
      </c>
      <c r="E88" s="19">
        <v>0.82248795518505935</v>
      </c>
      <c r="F88" s="13">
        <v>47.73</v>
      </c>
      <c r="G88" s="31">
        <v>2.7440000000000002</v>
      </c>
      <c r="H88" s="13" t="s">
        <v>5</v>
      </c>
      <c r="I88" s="32">
        <v>0.13600000000000001</v>
      </c>
      <c r="J88" s="32"/>
      <c r="K88" s="6">
        <f>41.7751123876564/10^6</f>
        <v>4.1775112387656397E-5</v>
      </c>
      <c r="L88" s="14">
        <v>8115</v>
      </c>
      <c r="M88" s="31">
        <v>2.5209999999999999</v>
      </c>
      <c r="N88" s="13" t="s">
        <v>5</v>
      </c>
      <c r="P88" s="41">
        <f t="shared" si="15"/>
        <v>41.775112387656399</v>
      </c>
      <c r="R88" s="4">
        <f t="shared" si="16"/>
        <v>2.7440000000000002</v>
      </c>
      <c r="T88" s="41">
        <f t="shared" si="17"/>
        <v>2.390634564794075</v>
      </c>
      <c r="U88" s="41">
        <f t="shared" si="18"/>
        <v>2.7440000000000002</v>
      </c>
      <c r="V88" s="48">
        <f t="shared" si="12"/>
        <v>-0.12877749096425845</v>
      </c>
      <c r="W88" s="44">
        <f t="shared" si="19"/>
        <v>0.12877749096425845</v>
      </c>
      <c r="X88" s="46">
        <f t="shared" si="21"/>
        <v>3198</v>
      </c>
      <c r="Y88" s="47">
        <f t="shared" si="20"/>
        <v>3300</v>
      </c>
      <c r="Z88" s="4">
        <f t="shared" si="14"/>
        <v>0</v>
      </c>
    </row>
    <row r="89" spans="1:26" s="7" customFormat="1" x14ac:dyDescent="0.3">
      <c r="A89" s="4" t="s">
        <v>15</v>
      </c>
      <c r="B89" s="14">
        <v>7295</v>
      </c>
      <c r="C89" s="30">
        <v>181</v>
      </c>
      <c r="D89" s="20">
        <f>(14468*1.0403+39)</f>
        <v>15090.0604</v>
      </c>
      <c r="E89" s="19">
        <f>(14468*1.0403*0.6844+28*0.9129+11*1.3494)/(14468*1.0403+39)</f>
        <v>0.68530874387752616</v>
      </c>
      <c r="F89" s="13">
        <v>51.15</v>
      </c>
      <c r="G89" s="31" t="s">
        <v>5</v>
      </c>
      <c r="H89" s="34">
        <v>5.5811357611273895E-4</v>
      </c>
      <c r="I89" s="32" t="s">
        <v>5</v>
      </c>
      <c r="J89" s="32"/>
      <c r="K89" s="23">
        <v>4.5773174304247885E-5</v>
      </c>
      <c r="L89" s="14">
        <v>8634</v>
      </c>
      <c r="M89" s="31" t="s">
        <v>5</v>
      </c>
      <c r="N89" s="34">
        <v>5.2765993372591233E-4</v>
      </c>
      <c r="P89" s="41">
        <f t="shared" si="15"/>
        <v>45.773174304247888</v>
      </c>
      <c r="R89" s="4">
        <f t="shared" si="16"/>
        <v>3.1338077298730294E-3</v>
      </c>
      <c r="T89" s="41">
        <f t="shared" si="17"/>
        <v>4.9629064399321448E-4</v>
      </c>
      <c r="U89" s="41">
        <f t="shared" si="18"/>
        <v>5.2765993372591233E-4</v>
      </c>
      <c r="V89" s="48">
        <f t="shared" si="12"/>
        <v>-5.9449823129819661E-2</v>
      </c>
      <c r="W89" s="44">
        <f t="shared" si="19"/>
        <v>5.9449823129819661E-2</v>
      </c>
      <c r="X89" s="46">
        <f t="shared" si="21"/>
        <v>15090.0604</v>
      </c>
      <c r="Y89" s="47">
        <f t="shared" si="20"/>
        <v>1339</v>
      </c>
      <c r="Z89" s="4">
        <f t="shared" si="14"/>
        <v>1</v>
      </c>
    </row>
    <row r="90" spans="1:26" s="7" customFormat="1" x14ac:dyDescent="0.3">
      <c r="A90" s="4" t="s">
        <v>15</v>
      </c>
      <c r="B90" s="14">
        <v>4735</v>
      </c>
      <c r="C90" s="30">
        <v>169</v>
      </c>
      <c r="D90" s="20">
        <v>3019.0898226608274</v>
      </c>
      <c r="E90" s="19">
        <v>0.80864126002039083</v>
      </c>
      <c r="F90" s="13">
        <v>47.84</v>
      </c>
      <c r="G90" s="31">
        <v>2.6800771815122393</v>
      </c>
      <c r="H90" s="13" t="s">
        <v>5</v>
      </c>
      <c r="I90" s="32">
        <v>0.13800000000000001</v>
      </c>
      <c r="J90" s="32"/>
      <c r="K90" s="6">
        <v>4.4029273699827716E-5</v>
      </c>
      <c r="L90" s="14">
        <v>7619</v>
      </c>
      <c r="M90" s="31">
        <v>2.4782733289085912</v>
      </c>
      <c r="N90" s="13" t="s">
        <v>5</v>
      </c>
      <c r="P90" s="41">
        <f t="shared" si="15"/>
        <v>44.029273699827719</v>
      </c>
      <c r="R90" s="4">
        <f t="shared" si="16"/>
        <v>2.6800771815122393</v>
      </c>
      <c r="T90" s="41">
        <f t="shared" si="17"/>
        <v>2.3604804240423025</v>
      </c>
      <c r="U90" s="41">
        <f t="shared" si="18"/>
        <v>2.6800771815122393</v>
      </c>
      <c r="V90" s="48">
        <f t="shared" si="12"/>
        <v>-0.11924908718099067</v>
      </c>
      <c r="W90" s="44">
        <f t="shared" si="19"/>
        <v>0.11924908718099067</v>
      </c>
      <c r="X90" s="46">
        <f t="shared" si="21"/>
        <v>3019.0898226608274</v>
      </c>
      <c r="Y90" s="47">
        <f t="shared" si="20"/>
        <v>2884</v>
      </c>
      <c r="Z90" s="4">
        <f t="shared" si="14"/>
        <v>0</v>
      </c>
    </row>
    <row r="91" spans="1:26" s="7" customFormat="1" x14ac:dyDescent="0.3">
      <c r="A91" s="4" t="s">
        <v>15</v>
      </c>
      <c r="B91" s="14">
        <v>2236.6959999999999</v>
      </c>
      <c r="C91" s="30">
        <v>155</v>
      </c>
      <c r="D91" s="20">
        <v>897</v>
      </c>
      <c r="E91" s="19">
        <v>0.8641896139865074</v>
      </c>
      <c r="F91" s="13">
        <v>40.33</v>
      </c>
      <c r="G91" s="31" t="s">
        <v>5</v>
      </c>
      <c r="H91" s="33" t="s">
        <v>5</v>
      </c>
      <c r="I91" s="32">
        <v>0.39649000000000001</v>
      </c>
      <c r="J91" s="32"/>
      <c r="K91" s="6">
        <v>1.8600000000000001E-5</v>
      </c>
      <c r="L91" s="14">
        <v>5014.6959999999999</v>
      </c>
      <c r="M91" s="31" t="s">
        <v>5</v>
      </c>
      <c r="N91" s="13" t="s">
        <v>5</v>
      </c>
      <c r="P91" s="41">
        <f t="shared" si="15"/>
        <v>18.600000000000001</v>
      </c>
      <c r="R91" s="4" t="e">
        <f t="shared" si="16"/>
        <v>#VALUE!</v>
      </c>
      <c r="T91" s="41" t="e">
        <f t="shared" si="17"/>
        <v>#VALUE!</v>
      </c>
      <c r="U91" s="41" t="str">
        <f t="shared" si="18"/>
        <v>N/A</v>
      </c>
      <c r="V91" s="48" t="e">
        <f t="shared" si="12"/>
        <v>#VALUE!</v>
      </c>
      <c r="W91" s="44" t="e">
        <f t="shared" si="19"/>
        <v>#VALUE!</v>
      </c>
      <c r="X91" s="46">
        <f t="shared" si="21"/>
        <v>897</v>
      </c>
      <c r="Y91" s="47">
        <f t="shared" si="20"/>
        <v>2778</v>
      </c>
      <c r="Z91" s="4">
        <f t="shared" si="14"/>
        <v>0</v>
      </c>
    </row>
    <row r="92" spans="1:26" s="7" customFormat="1" x14ac:dyDescent="0.3">
      <c r="A92" s="4" t="s">
        <v>15</v>
      </c>
      <c r="B92" s="14">
        <v>3314.6959999999999</v>
      </c>
      <c r="C92" s="30">
        <v>165</v>
      </c>
      <c r="D92" s="20">
        <v>1230</v>
      </c>
      <c r="E92" s="19">
        <v>0.75937338889354078</v>
      </c>
      <c r="F92" s="13">
        <v>42.16</v>
      </c>
      <c r="G92" s="31" t="s">
        <v>5</v>
      </c>
      <c r="H92" s="13" t="s">
        <v>5</v>
      </c>
      <c r="I92" s="32">
        <v>0.2782</v>
      </c>
      <c r="J92" s="32"/>
      <c r="K92" s="6">
        <v>2.3399999999999996E-5</v>
      </c>
      <c r="L92" s="14">
        <v>5614.6959999999999</v>
      </c>
      <c r="M92" s="31" t="s">
        <v>5</v>
      </c>
      <c r="N92" s="13" t="s">
        <v>5</v>
      </c>
      <c r="P92" s="41">
        <f t="shared" si="15"/>
        <v>23.399999999999995</v>
      </c>
      <c r="R92" s="4" t="e">
        <f t="shared" si="16"/>
        <v>#VALUE!</v>
      </c>
      <c r="T92" s="41" t="e">
        <f t="shared" si="17"/>
        <v>#VALUE!</v>
      </c>
      <c r="U92" s="41" t="str">
        <f t="shared" si="18"/>
        <v>N/A</v>
      </c>
      <c r="V92" s="48" t="e">
        <f t="shared" si="12"/>
        <v>#VALUE!</v>
      </c>
      <c r="W92" s="44" t="e">
        <f t="shared" si="19"/>
        <v>#VALUE!</v>
      </c>
      <c r="X92" s="46">
        <f t="shared" si="21"/>
        <v>1230</v>
      </c>
      <c r="Y92" s="47">
        <f t="shared" si="20"/>
        <v>2300</v>
      </c>
      <c r="Z92" s="4">
        <f t="shared" si="14"/>
        <v>0</v>
      </c>
    </row>
    <row r="93" spans="1:26" s="7" customFormat="1" x14ac:dyDescent="0.3">
      <c r="A93" s="4" t="s">
        <v>15</v>
      </c>
      <c r="B93" s="14">
        <v>4498</v>
      </c>
      <c r="C93" s="30">
        <v>148</v>
      </c>
      <c r="D93" s="20">
        <v>2143</v>
      </c>
      <c r="E93" s="19">
        <v>0.88665790947270184</v>
      </c>
      <c r="F93" s="13">
        <v>44.8</v>
      </c>
      <c r="G93" s="31">
        <v>2.0310990912762636</v>
      </c>
      <c r="H93" s="13" t="s">
        <v>5</v>
      </c>
      <c r="I93" s="32">
        <v>0.188</v>
      </c>
      <c r="J93" s="32"/>
      <c r="K93" s="6">
        <v>2.50258E-5</v>
      </c>
      <c r="L93" s="14">
        <v>5695</v>
      </c>
      <c r="M93" s="31">
        <v>1.9804513013419314</v>
      </c>
      <c r="N93" s="13" t="s">
        <v>5</v>
      </c>
      <c r="P93" s="41">
        <f t="shared" si="15"/>
        <v>25.0258</v>
      </c>
      <c r="R93" s="4">
        <f t="shared" si="16"/>
        <v>2.0310990912762636</v>
      </c>
      <c r="T93" s="41">
        <f t="shared" si="17"/>
        <v>1.9711580017712624</v>
      </c>
      <c r="U93" s="41">
        <f t="shared" si="18"/>
        <v>2.0310990912762636</v>
      </c>
      <c r="V93" s="48">
        <f t="shared" si="12"/>
        <v>-2.9511651973285341E-2</v>
      </c>
      <c r="W93" s="44">
        <f t="shared" si="19"/>
        <v>2.9511651973285341E-2</v>
      </c>
      <c r="X93" s="46">
        <f t="shared" si="21"/>
        <v>2143</v>
      </c>
      <c r="Y93" s="47">
        <f t="shared" si="20"/>
        <v>1197</v>
      </c>
      <c r="Z93" s="4">
        <f t="shared" si="14"/>
        <v>0</v>
      </c>
    </row>
    <row r="94" spans="1:26" s="7" customFormat="1" x14ac:dyDescent="0.3">
      <c r="A94" s="4" t="s">
        <v>15</v>
      </c>
      <c r="B94" s="14">
        <v>3365</v>
      </c>
      <c r="C94" s="30">
        <v>154</v>
      </c>
      <c r="D94" s="20">
        <v>1335</v>
      </c>
      <c r="E94" s="19">
        <v>0.83274397003745326</v>
      </c>
      <c r="F94" s="13">
        <v>44.91</v>
      </c>
      <c r="G94" s="31">
        <v>1.6715649852853085</v>
      </c>
      <c r="H94" s="13" t="s">
        <v>5</v>
      </c>
      <c r="I94" s="32">
        <v>0.39200000000000002</v>
      </c>
      <c r="J94" s="32"/>
      <c r="K94" s="6">
        <v>2.0557999999999999E-5</v>
      </c>
      <c r="L94" s="14">
        <v>5925</v>
      </c>
      <c r="M94" s="31">
        <v>1.6063696848506726</v>
      </c>
      <c r="N94" s="13" t="s">
        <v>5</v>
      </c>
      <c r="P94" s="41">
        <f t="shared" si="15"/>
        <v>20.558</v>
      </c>
      <c r="R94" s="4">
        <f t="shared" si="16"/>
        <v>1.6715649852853085</v>
      </c>
      <c r="T94" s="41">
        <f t="shared" si="17"/>
        <v>1.5858678938169355</v>
      </c>
      <c r="U94" s="41">
        <f t="shared" si="18"/>
        <v>1.6715649852853085</v>
      </c>
      <c r="V94" s="48">
        <f t="shared" si="12"/>
        <v>-5.1267579916281829E-2</v>
      </c>
      <c r="W94" s="44">
        <f t="shared" si="19"/>
        <v>5.1267579916281829E-2</v>
      </c>
      <c r="X94" s="46">
        <f t="shared" si="21"/>
        <v>1335</v>
      </c>
      <c r="Y94" s="47">
        <f t="shared" si="20"/>
        <v>2560</v>
      </c>
      <c r="Z94" s="4">
        <f t="shared" si="14"/>
        <v>0</v>
      </c>
    </row>
    <row r="95" spans="1:26" s="7" customFormat="1" x14ac:dyDescent="0.3">
      <c r="A95" s="4" t="s">
        <v>15</v>
      </c>
      <c r="B95" s="14">
        <v>3955</v>
      </c>
      <c r="C95" s="30">
        <v>159</v>
      </c>
      <c r="D95" s="20">
        <v>1882</v>
      </c>
      <c r="E95" s="19">
        <v>0.83111498405951112</v>
      </c>
      <c r="F95" s="13">
        <v>46.47</v>
      </c>
      <c r="G95" s="31">
        <v>1.9730000000000001</v>
      </c>
      <c r="H95" s="13" t="s">
        <v>5</v>
      </c>
      <c r="I95" s="32">
        <v>0.17299999999999999</v>
      </c>
      <c r="J95" s="32"/>
      <c r="K95" s="6">
        <v>2.7320860476648599E-5</v>
      </c>
      <c r="L95" s="14">
        <v>6115</v>
      </c>
      <c r="M95" s="31">
        <v>1.887</v>
      </c>
      <c r="N95" s="13" t="s">
        <v>5</v>
      </c>
      <c r="P95" s="41">
        <f t="shared" si="15"/>
        <v>27.320860476648598</v>
      </c>
      <c r="R95" s="4">
        <f t="shared" si="16"/>
        <v>1.9730000000000001</v>
      </c>
      <c r="T95" s="41">
        <f t="shared" si="17"/>
        <v>1.8599361671709578</v>
      </c>
      <c r="U95" s="41">
        <f t="shared" si="18"/>
        <v>1.9730000000000001</v>
      </c>
      <c r="V95" s="48">
        <f t="shared" si="12"/>
        <v>-5.7305541221004716E-2</v>
      </c>
      <c r="W95" s="44">
        <f t="shared" si="19"/>
        <v>5.7305541221004716E-2</v>
      </c>
      <c r="X95" s="46">
        <f t="shared" si="21"/>
        <v>1882</v>
      </c>
      <c r="Y95" s="47">
        <f t="shared" si="20"/>
        <v>2160</v>
      </c>
      <c r="Z95" s="4">
        <f t="shared" si="14"/>
        <v>0</v>
      </c>
    </row>
    <row r="96" spans="1:26" s="7" customFormat="1" x14ac:dyDescent="0.3">
      <c r="A96" s="4" t="s">
        <v>15</v>
      </c>
      <c r="B96" s="14">
        <v>4349</v>
      </c>
      <c r="C96" s="30">
        <v>148</v>
      </c>
      <c r="D96" s="20">
        <v>2038</v>
      </c>
      <c r="E96" s="19">
        <v>0.88824140253969686</v>
      </c>
      <c r="F96" s="13">
        <v>44.56</v>
      </c>
      <c r="G96" s="31">
        <v>2.0019999999999998</v>
      </c>
      <c r="H96" s="33" t="s">
        <v>5</v>
      </c>
      <c r="I96" s="32">
        <v>0.188</v>
      </c>
      <c r="J96" s="32"/>
      <c r="K96" s="6">
        <v>2.4738317170880355E-5</v>
      </c>
      <c r="L96" s="14">
        <v>6002</v>
      </c>
      <c r="M96" s="31">
        <v>1.9382999999999999</v>
      </c>
      <c r="N96" s="13" t="s">
        <v>5</v>
      </c>
      <c r="P96" s="41">
        <f t="shared" si="15"/>
        <v>24.738317170880354</v>
      </c>
      <c r="R96" s="4">
        <f t="shared" si="16"/>
        <v>2.0019999999999998</v>
      </c>
      <c r="T96" s="41">
        <f t="shared" si="17"/>
        <v>1.9217846174910937</v>
      </c>
      <c r="U96" s="41">
        <f t="shared" si="18"/>
        <v>2.0019999999999998</v>
      </c>
      <c r="V96" s="48">
        <f t="shared" si="12"/>
        <v>-4.0067623630822197E-2</v>
      </c>
      <c r="W96" s="44">
        <f t="shared" si="19"/>
        <v>4.0067623630822197E-2</v>
      </c>
      <c r="X96" s="46">
        <f t="shared" si="21"/>
        <v>2038</v>
      </c>
      <c r="Y96" s="47">
        <f t="shared" si="20"/>
        <v>1653</v>
      </c>
      <c r="Z96" s="4">
        <f t="shared" si="14"/>
        <v>0</v>
      </c>
    </row>
    <row r="97" spans="1:26" s="7" customFormat="1" x14ac:dyDescent="0.3">
      <c r="A97" s="4" t="s">
        <v>15</v>
      </c>
      <c r="B97" s="14">
        <v>3915</v>
      </c>
      <c r="C97" s="30">
        <v>154</v>
      </c>
      <c r="D97" s="20">
        <v>1759</v>
      </c>
      <c r="E97" s="19">
        <v>0.84009799161896836</v>
      </c>
      <c r="F97" s="13">
        <v>45.09</v>
      </c>
      <c r="G97" s="31">
        <v>1.8997852987184269</v>
      </c>
      <c r="H97" s="13" t="s">
        <v>5</v>
      </c>
      <c r="I97" s="32">
        <v>0.36199999999999999</v>
      </c>
      <c r="J97" s="32"/>
      <c r="K97" s="6">
        <v>2.5837527208457165E-5</v>
      </c>
      <c r="L97" s="14">
        <v>6002</v>
      </c>
      <c r="M97" s="31">
        <v>1.8224080208375946</v>
      </c>
      <c r="N97" s="13" t="s">
        <v>5</v>
      </c>
      <c r="P97" s="41">
        <f t="shared" si="15"/>
        <v>25.837527208457164</v>
      </c>
      <c r="R97" s="4">
        <f t="shared" si="16"/>
        <v>1.8997852987184269</v>
      </c>
      <c r="T97" s="41">
        <f t="shared" si="17"/>
        <v>1.8000563317494258</v>
      </c>
      <c r="U97" s="41">
        <f t="shared" si="18"/>
        <v>1.8997852987184269</v>
      </c>
      <c r="V97" s="48">
        <f t="shared" si="12"/>
        <v>-5.2494861938492274E-2</v>
      </c>
      <c r="W97" s="44">
        <f t="shared" si="19"/>
        <v>5.2494861938492274E-2</v>
      </c>
      <c r="X97" s="46">
        <f t="shared" si="21"/>
        <v>1759</v>
      </c>
      <c r="Y97" s="47">
        <f t="shared" si="20"/>
        <v>2087</v>
      </c>
      <c r="Z97" s="4">
        <f t="shared" si="14"/>
        <v>0</v>
      </c>
    </row>
    <row r="98" spans="1:26" s="7" customFormat="1" x14ac:dyDescent="0.3">
      <c r="A98" s="4" t="s">
        <v>15</v>
      </c>
      <c r="B98" s="14">
        <v>4133</v>
      </c>
      <c r="C98" s="30">
        <v>162</v>
      </c>
      <c r="D98" s="20">
        <v>2163</v>
      </c>
      <c r="E98" s="19">
        <v>0.84338973647711524</v>
      </c>
      <c r="F98" s="13">
        <v>47.21</v>
      </c>
      <c r="G98" s="31">
        <v>2.1421000000000001</v>
      </c>
      <c r="H98" s="13" t="s">
        <v>5</v>
      </c>
      <c r="I98" s="32">
        <v>0.17399999999999999</v>
      </c>
      <c r="J98" s="32"/>
      <c r="K98" s="6">
        <v>3.0348992576962501E-5</v>
      </c>
      <c r="L98" s="14">
        <v>6318</v>
      </c>
      <c r="M98" s="31">
        <v>2.0386000000000002</v>
      </c>
      <c r="N98" s="13" t="s">
        <v>5</v>
      </c>
      <c r="P98" s="41">
        <f t="shared" si="15"/>
        <v>30.348992576962502</v>
      </c>
      <c r="R98" s="4">
        <f t="shared" si="16"/>
        <v>2.1421000000000001</v>
      </c>
      <c r="T98" s="41">
        <f t="shared" si="17"/>
        <v>2.0046592726632442</v>
      </c>
      <c r="U98" s="41">
        <f t="shared" si="18"/>
        <v>2.1421000000000001</v>
      </c>
      <c r="V98" s="48">
        <f t="shared" si="12"/>
        <v>-6.41616765495336E-2</v>
      </c>
      <c r="W98" s="44">
        <f t="shared" si="19"/>
        <v>6.41616765495336E-2</v>
      </c>
      <c r="X98" s="46">
        <f t="shared" si="21"/>
        <v>2163</v>
      </c>
      <c r="Y98" s="47">
        <f t="shared" si="20"/>
        <v>2185</v>
      </c>
      <c r="Z98" s="4">
        <f t="shared" si="14"/>
        <v>0</v>
      </c>
    </row>
    <row r="99" spans="1:26" s="7" customFormat="1" x14ac:dyDescent="0.3">
      <c r="A99" s="4" t="s">
        <v>15</v>
      </c>
      <c r="B99" s="14">
        <v>4397</v>
      </c>
      <c r="C99" s="30">
        <v>162</v>
      </c>
      <c r="D99" s="20">
        <v>2369</v>
      </c>
      <c r="E99" s="19">
        <v>0.80202568367570037</v>
      </c>
      <c r="F99" s="13">
        <v>47.8</v>
      </c>
      <c r="G99" s="31">
        <v>2.2797000000000001</v>
      </c>
      <c r="H99" s="13" t="s">
        <v>5</v>
      </c>
      <c r="I99" s="32">
        <v>0.155</v>
      </c>
      <c r="J99" s="32"/>
      <c r="K99" s="6">
        <v>3.2977396396851703E-5</v>
      </c>
      <c r="L99" s="14">
        <v>6724</v>
      </c>
      <c r="M99" s="31">
        <v>2.1575000000000002</v>
      </c>
      <c r="N99" s="13" t="s">
        <v>5</v>
      </c>
      <c r="P99" s="41">
        <f t="shared" si="15"/>
        <v>32.977396396851702</v>
      </c>
      <c r="R99" s="4">
        <f t="shared" si="16"/>
        <v>2.2797000000000001</v>
      </c>
      <c r="T99" s="41">
        <f t="shared" si="17"/>
        <v>2.1113033409962605</v>
      </c>
      <c r="U99" s="41">
        <f t="shared" si="18"/>
        <v>2.2797000000000001</v>
      </c>
      <c r="V99" s="48">
        <f t="shared" si="12"/>
        <v>-7.3867903234521901E-2</v>
      </c>
      <c r="W99" s="44">
        <f t="shared" si="19"/>
        <v>7.3867903234521901E-2</v>
      </c>
      <c r="X99" s="46">
        <f t="shared" si="21"/>
        <v>2369</v>
      </c>
      <c r="Y99" s="47">
        <f t="shared" si="20"/>
        <v>2327</v>
      </c>
      <c r="Z99" s="4">
        <f t="shared" si="14"/>
        <v>0</v>
      </c>
    </row>
    <row r="100" spans="1:26" s="10" customFormat="1" x14ac:dyDescent="0.3">
      <c r="A100" s="4" t="s">
        <v>15</v>
      </c>
      <c r="B100" s="5">
        <v>5706</v>
      </c>
      <c r="C100" s="5">
        <v>190</v>
      </c>
      <c r="D100" s="20">
        <f>(9115*1.1799+210)</f>
        <v>10964.788499999999</v>
      </c>
      <c r="E100" s="19">
        <f>(9115*1.1799*0.7354+85*0.8537+66*1.0042+31*1.183+27*1.3195)/(9115*1.1799+210)</f>
        <v>0.74057175502290817</v>
      </c>
      <c r="F100" s="17">
        <v>54.83</v>
      </c>
      <c r="G100" s="31" t="s">
        <v>5</v>
      </c>
      <c r="H100" s="5">
        <v>6.2258041928542069E-4</v>
      </c>
      <c r="I100" s="32" t="s">
        <v>5</v>
      </c>
      <c r="J100" s="32"/>
      <c r="K100" s="23">
        <v>5.9073348772862548E-5</v>
      </c>
      <c r="L100" s="5">
        <v>8703</v>
      </c>
      <c r="M100" s="31" t="s">
        <v>5</v>
      </c>
      <c r="N100" s="5">
        <v>5.4474318725192456E-4</v>
      </c>
      <c r="P100" s="41">
        <f t="shared" si="15"/>
        <v>59.073348772862545</v>
      </c>
      <c r="R100" s="4">
        <f t="shared" si="16"/>
        <v>3.4957890542876373E-3</v>
      </c>
      <c r="T100" s="41">
        <f t="shared" si="17"/>
        <v>4.5635528562206856E-4</v>
      </c>
      <c r="U100" s="41">
        <f t="shared" si="18"/>
        <v>5.4474318725192456E-4</v>
      </c>
      <c r="V100" s="48">
        <f t="shared" si="12"/>
        <v>-0.16225609369388902</v>
      </c>
      <c r="W100" s="44">
        <f t="shared" si="19"/>
        <v>0.16225609369388902</v>
      </c>
      <c r="X100" s="46">
        <f t="shared" si="21"/>
        <v>10964.788499999999</v>
      </c>
      <c r="Y100" s="47">
        <f t="shared" si="20"/>
        <v>2997</v>
      </c>
      <c r="Z100" s="4">
        <f t="shared" si="14"/>
        <v>1</v>
      </c>
    </row>
    <row r="101" spans="1:26" s="10" customFormat="1" x14ac:dyDescent="0.3">
      <c r="A101" s="4" t="s">
        <v>15</v>
      </c>
      <c r="B101" s="5">
        <v>4809</v>
      </c>
      <c r="C101" s="5">
        <v>177</v>
      </c>
      <c r="D101" s="20">
        <f>4572*1.2006+231</f>
        <v>5720.1431999999995</v>
      </c>
      <c r="E101" s="19">
        <f>(4572*1.2006*0.7484+163*1.1376+34*1.2528+35*1.3791)/(4572*1.2006+231)</f>
        <v>0.76647858586477324</v>
      </c>
      <c r="F101" s="17">
        <v>52.46</v>
      </c>
      <c r="G101" s="31" t="s">
        <v>5</v>
      </c>
      <c r="H101" s="5">
        <v>6.7563458978845889E-4</v>
      </c>
      <c r="I101" s="32" t="s">
        <v>5</v>
      </c>
      <c r="J101" s="32"/>
      <c r="K101" s="23">
        <v>6.238986000591078E-5</v>
      </c>
      <c r="L101" s="5">
        <v>7549</v>
      </c>
      <c r="M101" s="31" t="s">
        <v>5</v>
      </c>
      <c r="N101" s="5">
        <v>6.0341290338152595E-4</v>
      </c>
      <c r="P101" s="41">
        <f t="shared" si="15"/>
        <v>62.389860005910776</v>
      </c>
      <c r="R101" s="4">
        <f t="shared" si="16"/>
        <v>3.7936882216621968E-3</v>
      </c>
      <c r="T101" s="41">
        <f t="shared" si="17"/>
        <v>5.0859574890978448E-4</v>
      </c>
      <c r="U101" s="41">
        <f t="shared" si="18"/>
        <v>6.0341290338152595E-4</v>
      </c>
      <c r="V101" s="48">
        <f t="shared" si="12"/>
        <v>-0.15713478107674883</v>
      </c>
      <c r="W101" s="44">
        <f t="shared" si="19"/>
        <v>0.15713478107674883</v>
      </c>
      <c r="X101" s="46">
        <f t="shared" si="21"/>
        <v>5720.1431999999995</v>
      </c>
      <c r="Y101" s="47">
        <f t="shared" si="20"/>
        <v>2740</v>
      </c>
      <c r="Z101" s="4">
        <f t="shared" si="14"/>
        <v>1</v>
      </c>
    </row>
    <row r="102" spans="1:26" x14ac:dyDescent="0.3">
      <c r="A102" s="4" t="s">
        <v>15</v>
      </c>
      <c r="B102" s="5">
        <v>4257</v>
      </c>
      <c r="C102" s="5">
        <v>165</v>
      </c>
      <c r="D102" s="22">
        <v>2453</v>
      </c>
      <c r="E102" s="19">
        <v>0.83708334249218064</v>
      </c>
      <c r="F102" s="17">
        <v>47.27</v>
      </c>
      <c r="G102" s="18">
        <v>2.3198206028112054</v>
      </c>
      <c r="H102" s="13" t="s">
        <v>5</v>
      </c>
      <c r="I102" s="36">
        <v>0.1697175980790222</v>
      </c>
      <c r="J102" s="36"/>
      <c r="K102" s="37">
        <v>3.4219600381535102E-5</v>
      </c>
      <c r="L102" s="5">
        <v>7334</v>
      </c>
      <c r="M102" s="18">
        <v>2.1651658959571254</v>
      </c>
      <c r="N102" s="13" t="s">
        <v>5</v>
      </c>
      <c r="P102" s="41">
        <f t="shared" si="15"/>
        <v>34.219600381535102</v>
      </c>
      <c r="R102" s="4">
        <f t="shared" si="16"/>
        <v>2.3198206028112054</v>
      </c>
      <c r="T102" s="41">
        <f t="shared" si="17"/>
        <v>2.0879780258355956</v>
      </c>
      <c r="U102" s="41">
        <f t="shared" si="18"/>
        <v>2.3198206028112054</v>
      </c>
      <c r="V102" s="48">
        <f t="shared" si="12"/>
        <v>-9.9939873236171081E-2</v>
      </c>
      <c r="W102" s="44">
        <f t="shared" si="19"/>
        <v>9.9939873236171081E-2</v>
      </c>
      <c r="X102" s="46">
        <f t="shared" si="21"/>
        <v>2453</v>
      </c>
      <c r="Y102" s="47">
        <f t="shared" si="20"/>
        <v>3077</v>
      </c>
      <c r="Z102" s="4">
        <f t="shared" si="14"/>
        <v>0</v>
      </c>
    </row>
    <row r="103" spans="1:26" x14ac:dyDescent="0.3">
      <c r="A103" s="4" t="s">
        <v>15</v>
      </c>
      <c r="B103" s="5">
        <v>4127</v>
      </c>
      <c r="C103" s="5">
        <v>158</v>
      </c>
      <c r="D103" s="20">
        <v>2179.0347581216583</v>
      </c>
      <c r="E103" s="19">
        <v>0.82586756361566482</v>
      </c>
      <c r="F103" s="17">
        <v>47.86</v>
      </c>
      <c r="G103" s="18">
        <v>2.14110065649654</v>
      </c>
      <c r="H103" s="13" t="s">
        <v>5</v>
      </c>
      <c r="I103" s="36">
        <v>0.21029315067669996</v>
      </c>
      <c r="J103" s="36"/>
      <c r="K103" s="6">
        <v>2.9301800000000001E-5</v>
      </c>
      <c r="L103" s="5">
        <v>7426</v>
      </c>
      <c r="M103" s="18">
        <v>2.0040266297345735</v>
      </c>
      <c r="N103" s="13" t="s">
        <v>5</v>
      </c>
      <c r="P103" s="41">
        <f t="shared" si="15"/>
        <v>29.3018</v>
      </c>
      <c r="R103" s="4">
        <f t="shared" si="16"/>
        <v>2.14110065649654</v>
      </c>
      <c r="T103" s="41">
        <f t="shared" si="17"/>
        <v>1.9438166467593034</v>
      </c>
      <c r="U103" s="41">
        <f t="shared" si="18"/>
        <v>2.14110065649654</v>
      </c>
      <c r="V103" s="48">
        <f t="shared" si="12"/>
        <v>-9.2141398928927656E-2</v>
      </c>
      <c r="W103" s="44">
        <f t="shared" si="19"/>
        <v>9.2141398928927656E-2</v>
      </c>
      <c r="X103" s="46">
        <f t="shared" si="21"/>
        <v>2179.0347581216583</v>
      </c>
      <c r="Y103" s="47">
        <f t="shared" si="20"/>
        <v>3299</v>
      </c>
      <c r="Z103" s="4">
        <f t="shared" si="14"/>
        <v>0</v>
      </c>
    </row>
    <row r="104" spans="1:26" x14ac:dyDescent="0.3">
      <c r="A104" s="4" t="s">
        <v>15</v>
      </c>
      <c r="B104" s="5">
        <v>4503</v>
      </c>
      <c r="C104" s="5">
        <v>143</v>
      </c>
      <c r="D104" s="22">
        <v>2238</v>
      </c>
      <c r="E104" s="19">
        <v>0.80344012511170682</v>
      </c>
      <c r="F104" s="17">
        <v>47.09</v>
      </c>
      <c r="G104" s="5">
        <v>2.1539999999999999</v>
      </c>
      <c r="H104" s="13" t="s">
        <v>5</v>
      </c>
      <c r="I104" s="5">
        <v>0.17400000000000002</v>
      </c>
      <c r="J104" s="5"/>
      <c r="K104" s="21">
        <v>3.4412219858609198E-5</v>
      </c>
      <c r="L104" s="5">
        <v>4476</v>
      </c>
      <c r="M104" s="18">
        <v>2.4873492917847027</v>
      </c>
      <c r="N104" s="13" t="s">
        <v>5</v>
      </c>
      <c r="P104" s="41">
        <f t="shared" si="15"/>
        <v>34.412219858609198</v>
      </c>
      <c r="R104" s="4">
        <f t="shared" si="16"/>
        <v>2.1539999999999999</v>
      </c>
      <c r="T104" s="41">
        <f t="shared" si="17"/>
        <v>2.1560022759257444</v>
      </c>
      <c r="U104" s="41">
        <f t="shared" si="18"/>
        <v>2.1539999999999999</v>
      </c>
      <c r="V104" s="41"/>
      <c r="W104" s="44">
        <f t="shared" si="19"/>
        <v>9.2956171111631132E-4</v>
      </c>
      <c r="X104" s="46">
        <f t="shared" si="21"/>
        <v>2238</v>
      </c>
      <c r="Y104" s="47">
        <f t="shared" si="20"/>
        <v>-27</v>
      </c>
      <c r="Z104" s="4">
        <f t="shared" si="14"/>
        <v>0</v>
      </c>
    </row>
    <row r="105" spans="1:26" x14ac:dyDescent="0.3">
      <c r="A105" s="4" t="s">
        <v>15</v>
      </c>
      <c r="B105" s="5">
        <v>4335</v>
      </c>
      <c r="C105" s="5">
        <v>135</v>
      </c>
      <c r="D105" s="22">
        <v>1973</v>
      </c>
      <c r="E105" s="19">
        <v>0.84994320263829215</v>
      </c>
      <c r="F105" s="17">
        <v>44.46</v>
      </c>
      <c r="G105" s="18">
        <v>2.0062134571101491</v>
      </c>
      <c r="H105" s="13" t="s">
        <v>5</v>
      </c>
      <c r="I105" s="5">
        <v>0.26300000000000001</v>
      </c>
      <c r="J105" s="5"/>
      <c r="K105" s="21">
        <v>2.3988000000000001E-5</v>
      </c>
      <c r="L105" s="5">
        <v>4275</v>
      </c>
      <c r="M105" s="18">
        <v>2.0122722217506217</v>
      </c>
      <c r="N105" s="13" t="s">
        <v>5</v>
      </c>
      <c r="P105" s="41">
        <f t="shared" si="15"/>
        <v>23.988000000000003</v>
      </c>
      <c r="R105" s="4">
        <f t="shared" si="16"/>
        <v>2.0062134571101491</v>
      </c>
      <c r="T105" s="41">
        <f t="shared" si="17"/>
        <v>2.0091030389745708</v>
      </c>
      <c r="U105" s="41">
        <f t="shared" si="18"/>
        <v>2.0062134571101491</v>
      </c>
      <c r="V105" s="41"/>
      <c r="W105" s="44">
        <f t="shared" si="19"/>
        <v>1.4403162605558307E-3</v>
      </c>
      <c r="X105" s="46">
        <f t="shared" si="21"/>
        <v>1973</v>
      </c>
      <c r="Y105" s="47">
        <f t="shared" si="20"/>
        <v>-60</v>
      </c>
      <c r="Z105" s="4">
        <f t="shared" si="14"/>
        <v>0</v>
      </c>
    </row>
    <row r="106" spans="1:26" x14ac:dyDescent="0.3">
      <c r="A106" s="3" t="s">
        <v>14</v>
      </c>
      <c r="B106" s="24">
        <v>2900</v>
      </c>
      <c r="C106" s="5">
        <v>159</v>
      </c>
      <c r="D106" s="24">
        <v>1315</v>
      </c>
      <c r="E106" s="26">
        <v>0.89081440935686729</v>
      </c>
      <c r="F106" s="28">
        <v>43.6</v>
      </c>
      <c r="G106" s="26">
        <v>1.6970000000000001</v>
      </c>
      <c r="H106" s="13" t="s">
        <v>5</v>
      </c>
      <c r="I106" s="26">
        <v>0.316</v>
      </c>
      <c r="J106" s="7"/>
      <c r="K106" s="37">
        <v>1.35736506880662E-5</v>
      </c>
      <c r="L106" s="24">
        <v>4870</v>
      </c>
      <c r="M106" s="18">
        <v>1.6419999999999999</v>
      </c>
      <c r="N106" s="13" t="s">
        <v>5</v>
      </c>
      <c r="P106" s="41">
        <f t="shared" si="15"/>
        <v>13.5736506880662</v>
      </c>
      <c r="R106" s="4">
        <f t="shared" si="16"/>
        <v>1.6970000000000001</v>
      </c>
      <c r="T106" s="41">
        <f t="shared" si="17"/>
        <v>1.6522233973834646</v>
      </c>
      <c r="U106" s="41">
        <f t="shared" si="18"/>
        <v>1.6970000000000001</v>
      </c>
      <c r="V106" s="48">
        <f t="shared" ref="V106:V156" si="22">((T106-U106)/U106)</f>
        <v>-2.6385741082224801E-2</v>
      </c>
      <c r="W106" s="44">
        <f t="shared" si="19"/>
        <v>2.6385741082224801E-2</v>
      </c>
      <c r="X106" s="46">
        <f t="shared" si="21"/>
        <v>1315</v>
      </c>
      <c r="Y106" s="47">
        <f t="shared" si="20"/>
        <v>1970</v>
      </c>
      <c r="Z106" s="4">
        <f t="shared" si="14"/>
        <v>0</v>
      </c>
    </row>
    <row r="107" spans="1:26" x14ac:dyDescent="0.3">
      <c r="A107" s="3" t="s">
        <v>14</v>
      </c>
      <c r="B107" s="24">
        <v>3584.9960000000001</v>
      </c>
      <c r="C107" s="5">
        <v>163</v>
      </c>
      <c r="D107" s="24">
        <v>1883.8370124237647</v>
      </c>
      <c r="E107" s="26">
        <v>0.78564357945546592</v>
      </c>
      <c r="F107" s="29">
        <v>47.771298521831739</v>
      </c>
      <c r="G107" s="26">
        <v>1.99739661192361</v>
      </c>
      <c r="H107" s="13" t="s">
        <v>5</v>
      </c>
      <c r="I107" s="26">
        <v>0.2286</v>
      </c>
      <c r="J107" s="7"/>
      <c r="K107" s="37">
        <v>1.6840000000000001E-5</v>
      </c>
      <c r="L107" s="24">
        <v>6015</v>
      </c>
      <c r="M107" s="18">
        <v>1.8919970656473581</v>
      </c>
      <c r="N107" s="13" t="s">
        <v>5</v>
      </c>
      <c r="P107" s="41">
        <f t="shared" si="15"/>
        <v>16.84</v>
      </c>
      <c r="R107" s="4">
        <f t="shared" si="16"/>
        <v>1.99739661192361</v>
      </c>
      <c r="T107" s="41">
        <f t="shared" si="17"/>
        <v>1.9173104011505187</v>
      </c>
      <c r="U107" s="41">
        <f t="shared" si="18"/>
        <v>1.99739661192361</v>
      </c>
      <c r="V107" s="48">
        <f t="shared" si="22"/>
        <v>-4.0095297195865166E-2</v>
      </c>
      <c r="W107" s="44">
        <f t="shared" si="19"/>
        <v>4.0095297195865166E-2</v>
      </c>
      <c r="X107" s="46">
        <f t="shared" si="21"/>
        <v>1883.8370124237647</v>
      </c>
      <c r="Y107" s="47">
        <f t="shared" si="20"/>
        <v>2430.0039999999999</v>
      </c>
      <c r="Z107" s="4">
        <f t="shared" si="14"/>
        <v>0</v>
      </c>
    </row>
    <row r="108" spans="1:26" x14ac:dyDescent="0.3">
      <c r="A108" s="3" t="s">
        <v>14</v>
      </c>
      <c r="B108" s="24">
        <v>3313</v>
      </c>
      <c r="C108" s="5">
        <v>157</v>
      </c>
      <c r="D108" s="24">
        <v>1077</v>
      </c>
      <c r="E108" s="26">
        <v>0.85875487465181055</v>
      </c>
      <c r="F108" s="28">
        <v>40.200000000000003</v>
      </c>
      <c r="G108" s="26">
        <v>1.5429999999999999</v>
      </c>
      <c r="H108" s="13" t="s">
        <v>5</v>
      </c>
      <c r="I108" s="26">
        <v>0.41899999999999998</v>
      </c>
      <c r="J108" s="7"/>
      <c r="K108" s="37">
        <v>1.2187330891871359E-5</v>
      </c>
      <c r="L108" s="25">
        <v>4526.6959999999999</v>
      </c>
      <c r="M108" s="18">
        <v>1.5166742807596807</v>
      </c>
      <c r="N108" s="13" t="s">
        <v>5</v>
      </c>
      <c r="P108" s="41">
        <f t="shared" si="15"/>
        <v>12.18733089187136</v>
      </c>
      <c r="R108" s="4">
        <f t="shared" si="16"/>
        <v>1.5429999999999999</v>
      </c>
      <c r="T108" s="41">
        <f t="shared" si="17"/>
        <v>1.5203443551292593</v>
      </c>
      <c r="U108" s="41">
        <f t="shared" si="18"/>
        <v>1.5429999999999999</v>
      </c>
      <c r="V108" s="48">
        <f t="shared" si="22"/>
        <v>-1.4682854744485208E-2</v>
      </c>
      <c r="W108" s="44">
        <f t="shared" si="19"/>
        <v>1.4682854744485208E-2</v>
      </c>
      <c r="X108" s="46">
        <f t="shared" si="21"/>
        <v>1077</v>
      </c>
      <c r="Y108" s="47">
        <f t="shared" si="20"/>
        <v>1213.6959999999999</v>
      </c>
      <c r="Z108" s="4">
        <f t="shared" si="14"/>
        <v>0</v>
      </c>
    </row>
    <row r="109" spans="1:26" x14ac:dyDescent="0.3">
      <c r="A109" s="3" t="s">
        <v>14</v>
      </c>
      <c r="B109" s="24">
        <v>2551</v>
      </c>
      <c r="C109" s="5">
        <v>151</v>
      </c>
      <c r="D109" s="24">
        <v>828</v>
      </c>
      <c r="E109" s="26">
        <v>0.89849999999999997</v>
      </c>
      <c r="F109" s="28">
        <v>40.700000000000003</v>
      </c>
      <c r="G109" s="26">
        <v>1.427</v>
      </c>
      <c r="H109" s="13" t="s">
        <v>5</v>
      </c>
      <c r="I109" s="26">
        <v>0.51100000000000001</v>
      </c>
      <c r="J109" s="7"/>
      <c r="K109" s="37">
        <v>1.1764543174783324E-5</v>
      </c>
      <c r="L109" s="24">
        <v>3410</v>
      </c>
      <c r="M109" s="18">
        <v>1.411303</v>
      </c>
      <c r="N109" s="13" t="s">
        <v>5</v>
      </c>
      <c r="P109" s="41">
        <f t="shared" si="15"/>
        <v>11.764543174783324</v>
      </c>
      <c r="R109" s="4">
        <f t="shared" si="16"/>
        <v>1.427</v>
      </c>
      <c r="T109" s="41">
        <f t="shared" si="17"/>
        <v>1.4126517274136228</v>
      </c>
      <c r="U109" s="41">
        <f t="shared" si="18"/>
        <v>1.427</v>
      </c>
      <c r="V109" s="48">
        <f t="shared" si="22"/>
        <v>-1.0054851146725491E-2</v>
      </c>
      <c r="W109" s="44">
        <f t="shared" si="19"/>
        <v>1.0054851146725491E-2</v>
      </c>
      <c r="X109" s="46">
        <f t="shared" si="21"/>
        <v>828</v>
      </c>
      <c r="Y109" s="47">
        <f t="shared" si="20"/>
        <v>859</v>
      </c>
      <c r="Z109" s="4">
        <f t="shared" si="14"/>
        <v>0</v>
      </c>
    </row>
    <row r="110" spans="1:26" x14ac:dyDescent="0.3">
      <c r="A110" s="3" t="s">
        <v>14</v>
      </c>
      <c r="B110" s="24">
        <v>2528</v>
      </c>
      <c r="C110" s="5">
        <v>153</v>
      </c>
      <c r="D110" s="24">
        <v>824</v>
      </c>
      <c r="E110" s="27">
        <v>0.87901334951456311</v>
      </c>
      <c r="F110" s="28">
        <v>39.299999999999997</v>
      </c>
      <c r="G110" s="26">
        <v>1.45</v>
      </c>
      <c r="H110" s="13" t="s">
        <v>5</v>
      </c>
      <c r="I110" s="26">
        <v>0.48899999999999999</v>
      </c>
      <c r="J110" s="7"/>
      <c r="K110" s="37">
        <v>1.11352235969781E-5</v>
      </c>
      <c r="L110" s="24">
        <v>3515</v>
      </c>
      <c r="M110" s="18">
        <v>1.4324304762790159</v>
      </c>
      <c r="N110" s="13" t="s">
        <v>5</v>
      </c>
      <c r="P110" s="41">
        <f t="shared" si="15"/>
        <v>11.135223596978101</v>
      </c>
      <c r="R110" s="4">
        <f t="shared" si="16"/>
        <v>1.45</v>
      </c>
      <c r="T110" s="41">
        <f t="shared" si="17"/>
        <v>1.4341510777997513</v>
      </c>
      <c r="U110" s="41">
        <f t="shared" si="18"/>
        <v>1.45</v>
      </c>
      <c r="V110" s="48">
        <f t="shared" si="22"/>
        <v>-1.0930291172585307E-2</v>
      </c>
      <c r="W110" s="44">
        <f t="shared" si="19"/>
        <v>1.0930291172585307E-2</v>
      </c>
      <c r="X110" s="46">
        <f t="shared" si="21"/>
        <v>824</v>
      </c>
      <c r="Y110" s="47">
        <f t="shared" si="20"/>
        <v>987</v>
      </c>
      <c r="Z110" s="4">
        <f t="shared" si="14"/>
        <v>0</v>
      </c>
    </row>
    <row r="111" spans="1:26" x14ac:dyDescent="0.3">
      <c r="A111" s="3" t="s">
        <v>14</v>
      </c>
      <c r="B111" s="24">
        <v>2562</v>
      </c>
      <c r="C111" s="5">
        <v>153</v>
      </c>
      <c r="D111" s="24">
        <v>878</v>
      </c>
      <c r="E111" s="27">
        <v>0.86815831435079716</v>
      </c>
      <c r="F111" s="28">
        <v>42.6</v>
      </c>
      <c r="G111" s="26">
        <v>1.4550000000000001</v>
      </c>
      <c r="H111" s="13" t="s">
        <v>5</v>
      </c>
      <c r="I111" s="26">
        <v>0.41299999999999998</v>
      </c>
      <c r="J111" s="7"/>
      <c r="K111" s="37">
        <v>1.23589010327442E-5</v>
      </c>
      <c r="L111" s="24">
        <v>3635</v>
      </c>
      <c r="M111" s="18">
        <v>1.4338039390944741</v>
      </c>
      <c r="N111" s="13" t="s">
        <v>5</v>
      </c>
      <c r="P111" s="41">
        <f t="shared" si="15"/>
        <v>12.3589010327442</v>
      </c>
      <c r="R111" s="4">
        <f t="shared" si="16"/>
        <v>1.4550000000000001</v>
      </c>
      <c r="T111" s="41">
        <f t="shared" si="17"/>
        <v>1.4358324704889109</v>
      </c>
      <c r="U111" s="41">
        <f t="shared" si="18"/>
        <v>1.4550000000000001</v>
      </c>
      <c r="V111" s="48">
        <f t="shared" si="22"/>
        <v>-1.3173559801435829E-2</v>
      </c>
      <c r="W111" s="44">
        <f t="shared" si="19"/>
        <v>1.3173559801435829E-2</v>
      </c>
      <c r="X111" s="46">
        <f t="shared" si="21"/>
        <v>878</v>
      </c>
      <c r="Y111" s="47">
        <f t="shared" si="20"/>
        <v>1073</v>
      </c>
      <c r="Z111" s="4">
        <f t="shared" ref="Z111:Z156" si="23">IF(H111&lt;&gt;"N/A",1,0)</f>
        <v>0</v>
      </c>
    </row>
    <row r="112" spans="1:26" x14ac:dyDescent="0.3">
      <c r="A112" s="3" t="s">
        <v>14</v>
      </c>
      <c r="B112" s="24">
        <v>1714.9959999999999</v>
      </c>
      <c r="C112" s="5">
        <v>170</v>
      </c>
      <c r="D112" s="25">
        <v>461</v>
      </c>
      <c r="E112" s="27">
        <v>0.98686008676789583</v>
      </c>
      <c r="F112" s="29">
        <v>38.33</v>
      </c>
      <c r="G112" s="26">
        <v>1.2956000000000001</v>
      </c>
      <c r="H112" s="13" t="s">
        <v>5</v>
      </c>
      <c r="I112" s="26">
        <v>0.98399999999999999</v>
      </c>
      <c r="J112" s="7"/>
      <c r="K112" s="37">
        <v>8.3399999999999998E-6</v>
      </c>
      <c r="L112" s="24">
        <v>4814.9960000000001</v>
      </c>
      <c r="M112" s="18">
        <v>1.2562137600000001</v>
      </c>
      <c r="N112" s="13" t="s">
        <v>5</v>
      </c>
      <c r="P112" s="41">
        <f t="shared" si="15"/>
        <v>8.34</v>
      </c>
      <c r="R112" s="4">
        <f t="shared" si="16"/>
        <v>1.2956000000000001</v>
      </c>
      <c r="T112" s="41">
        <f t="shared" si="17"/>
        <v>1.2625328584390074</v>
      </c>
      <c r="U112" s="41">
        <f t="shared" si="18"/>
        <v>1.2956000000000001</v>
      </c>
      <c r="V112" s="48">
        <f t="shared" si="22"/>
        <v>-2.552264708319903E-2</v>
      </c>
      <c r="W112" s="44">
        <f t="shared" si="19"/>
        <v>2.552264708319903E-2</v>
      </c>
      <c r="X112" s="46">
        <f t="shared" si="21"/>
        <v>461</v>
      </c>
      <c r="Y112" s="47">
        <f t="shared" si="20"/>
        <v>3100</v>
      </c>
      <c r="Z112" s="4">
        <f t="shared" si="23"/>
        <v>0</v>
      </c>
    </row>
    <row r="113" spans="1:26" x14ac:dyDescent="0.3">
      <c r="A113" s="3" t="s">
        <v>14</v>
      </c>
      <c r="B113" s="24">
        <v>1614.9959999999999</v>
      </c>
      <c r="C113" s="5">
        <v>165</v>
      </c>
      <c r="D113" s="25">
        <v>441</v>
      </c>
      <c r="E113" s="27">
        <v>0.9594061224489796</v>
      </c>
      <c r="F113" s="29">
        <v>37.9</v>
      </c>
      <c r="G113" s="26">
        <v>1.2822</v>
      </c>
      <c r="H113" s="13" t="s">
        <v>5</v>
      </c>
      <c r="I113" s="26">
        <v>0.91500000000000004</v>
      </c>
      <c r="J113" s="7"/>
      <c r="K113" s="37">
        <v>8.8419999999999994E-6</v>
      </c>
      <c r="L113" s="24">
        <v>3964.9960000000001</v>
      </c>
      <c r="M113" s="18">
        <v>1.2518759700000002</v>
      </c>
      <c r="N113" s="13" t="s">
        <v>5</v>
      </c>
      <c r="P113" s="41">
        <f t="shared" si="15"/>
        <v>8.8419999999999987</v>
      </c>
      <c r="R113" s="4">
        <f t="shared" si="16"/>
        <v>1.2822</v>
      </c>
      <c r="T113" s="41">
        <f t="shared" si="17"/>
        <v>1.2558324413411237</v>
      </c>
      <c r="U113" s="41">
        <f t="shared" si="18"/>
        <v>1.2822</v>
      </c>
      <c r="V113" s="48">
        <f t="shared" si="22"/>
        <v>-2.0564310293929418E-2</v>
      </c>
      <c r="W113" s="44">
        <f t="shared" si="19"/>
        <v>2.0564310293929418E-2</v>
      </c>
      <c r="X113" s="46">
        <f t="shared" si="21"/>
        <v>441</v>
      </c>
      <c r="Y113" s="47">
        <f t="shared" si="20"/>
        <v>2350</v>
      </c>
      <c r="Z113" s="4">
        <f t="shared" si="23"/>
        <v>0</v>
      </c>
    </row>
    <row r="114" spans="1:26" x14ac:dyDescent="0.3">
      <c r="A114" s="3" t="s">
        <v>14</v>
      </c>
      <c r="B114" s="24">
        <v>3575</v>
      </c>
      <c r="C114" s="5">
        <v>151</v>
      </c>
      <c r="D114" s="24">
        <v>1428</v>
      </c>
      <c r="E114" s="27">
        <v>0.83362575680739615</v>
      </c>
      <c r="F114" s="28">
        <v>44.7</v>
      </c>
      <c r="G114" s="26">
        <v>1.712</v>
      </c>
      <c r="H114" s="13" t="s">
        <v>5</v>
      </c>
      <c r="I114" s="26">
        <v>0.309</v>
      </c>
      <c r="J114" s="7"/>
      <c r="K114" s="37">
        <v>1.29747949764333E-5</v>
      </c>
      <c r="L114" s="24">
        <v>5518</v>
      </c>
      <c r="M114" s="18">
        <v>1.6586662469385278</v>
      </c>
      <c r="N114" s="13" t="s">
        <v>5</v>
      </c>
      <c r="P114" s="41">
        <f t="shared" si="15"/>
        <v>12.9747949764333</v>
      </c>
      <c r="R114" s="4">
        <f t="shared" si="16"/>
        <v>1.712</v>
      </c>
      <c r="T114" s="41">
        <f t="shared" si="17"/>
        <v>1.6693799183169524</v>
      </c>
      <c r="U114" s="41">
        <f t="shared" si="18"/>
        <v>1.712</v>
      </c>
      <c r="V114" s="48">
        <f t="shared" si="22"/>
        <v>-2.4894907525144592E-2</v>
      </c>
      <c r="W114" s="44">
        <f t="shared" si="19"/>
        <v>2.4894907525144592E-2</v>
      </c>
      <c r="X114" s="46">
        <f t="shared" si="21"/>
        <v>1428</v>
      </c>
      <c r="Y114" s="47">
        <f t="shared" si="20"/>
        <v>1943</v>
      </c>
      <c r="Z114" s="4">
        <f t="shared" si="23"/>
        <v>0</v>
      </c>
    </row>
    <row r="115" spans="1:26" x14ac:dyDescent="0.3">
      <c r="A115" s="3" t="s">
        <v>14</v>
      </c>
      <c r="B115" s="24">
        <v>3131</v>
      </c>
      <c r="C115" s="5">
        <v>161</v>
      </c>
      <c r="D115" s="24">
        <v>1124</v>
      </c>
      <c r="E115" s="27">
        <v>0.85542971530249112</v>
      </c>
      <c r="F115" s="28">
        <v>43.6</v>
      </c>
      <c r="G115" s="26">
        <v>1.5860000000000001</v>
      </c>
      <c r="H115" s="13" t="s">
        <v>5</v>
      </c>
      <c r="I115" s="26">
        <v>0.376</v>
      </c>
      <c r="J115" s="7"/>
      <c r="K115" s="37">
        <v>1.23492033978367E-5</v>
      </c>
      <c r="L115" s="24">
        <v>5009</v>
      </c>
      <c r="M115" s="18">
        <v>1.5429931315257974</v>
      </c>
      <c r="N115" s="13" t="s">
        <v>5</v>
      </c>
      <c r="P115" s="41">
        <f t="shared" si="15"/>
        <v>12.3492033978367</v>
      </c>
      <c r="R115" s="4">
        <f t="shared" si="16"/>
        <v>1.5860000000000001</v>
      </c>
      <c r="T115" s="41">
        <f t="shared" si="17"/>
        <v>1.5496410434364383</v>
      </c>
      <c r="U115" s="41">
        <f t="shared" si="18"/>
        <v>1.5860000000000001</v>
      </c>
      <c r="V115" s="48">
        <f t="shared" si="22"/>
        <v>-2.2924941086735061E-2</v>
      </c>
      <c r="W115" s="44">
        <f t="shared" si="19"/>
        <v>2.2924941086735061E-2</v>
      </c>
      <c r="X115" s="46">
        <f t="shared" si="21"/>
        <v>1124</v>
      </c>
      <c r="Y115" s="47">
        <f t="shared" si="20"/>
        <v>1878</v>
      </c>
      <c r="Z115" s="4">
        <f t="shared" si="23"/>
        <v>0</v>
      </c>
    </row>
    <row r="116" spans="1:26" x14ac:dyDescent="0.3">
      <c r="A116" s="3" t="s">
        <v>14</v>
      </c>
      <c r="B116" s="24">
        <v>2992</v>
      </c>
      <c r="C116" s="5">
        <v>160</v>
      </c>
      <c r="D116" s="24">
        <v>1178</v>
      </c>
      <c r="E116" s="27">
        <v>0.87219552541973877</v>
      </c>
      <c r="F116" s="28">
        <v>44.4</v>
      </c>
      <c r="G116" s="26">
        <v>1.6619999999999999</v>
      </c>
      <c r="H116" s="13" t="s">
        <v>5</v>
      </c>
      <c r="I116" s="26">
        <v>0.313</v>
      </c>
      <c r="J116" s="7"/>
      <c r="K116" s="37">
        <v>1.2937006721061701E-5</v>
      </c>
      <c r="L116" s="24">
        <v>5050</v>
      </c>
      <c r="M116" s="18">
        <v>1.6067700795736513</v>
      </c>
      <c r="N116" s="13" t="s">
        <v>5</v>
      </c>
      <c r="P116" s="41">
        <f t="shared" si="15"/>
        <v>12.937006721061701</v>
      </c>
      <c r="R116" s="4">
        <f t="shared" si="16"/>
        <v>1.6619999999999999</v>
      </c>
      <c r="T116" s="41">
        <f t="shared" si="17"/>
        <v>1.6183341805733469</v>
      </c>
      <c r="U116" s="41">
        <f t="shared" si="18"/>
        <v>1.6619999999999999</v>
      </c>
      <c r="V116" s="48">
        <f t="shared" si="22"/>
        <v>-2.6273056213389316E-2</v>
      </c>
      <c r="W116" s="44">
        <f t="shared" si="19"/>
        <v>2.6273056213389316E-2</v>
      </c>
      <c r="X116" s="46">
        <f t="shared" si="21"/>
        <v>1178</v>
      </c>
      <c r="Y116" s="47">
        <f t="shared" si="20"/>
        <v>2058</v>
      </c>
      <c r="Z116" s="4">
        <f t="shared" si="23"/>
        <v>0</v>
      </c>
    </row>
    <row r="117" spans="1:26" x14ac:dyDescent="0.3">
      <c r="A117" s="3" t="s">
        <v>14</v>
      </c>
      <c r="B117" s="24">
        <v>1614.9959999999999</v>
      </c>
      <c r="C117" s="5">
        <v>175</v>
      </c>
      <c r="D117" s="25">
        <v>440</v>
      </c>
      <c r="E117" s="27">
        <v>0.97651249999999989</v>
      </c>
      <c r="F117" s="29">
        <v>37.82</v>
      </c>
      <c r="G117" s="26">
        <v>1.2887999999999999</v>
      </c>
      <c r="H117" s="13" t="s">
        <v>5</v>
      </c>
      <c r="I117" s="27">
        <v>1.107</v>
      </c>
      <c r="J117" s="7"/>
      <c r="K117" s="37">
        <v>7.8406999999999993E-6</v>
      </c>
      <c r="L117" s="24">
        <v>5514.9960000000001</v>
      </c>
      <c r="M117" s="18">
        <v>1.2410628480000001</v>
      </c>
      <c r="N117" s="13" t="s">
        <v>5</v>
      </c>
      <c r="P117" s="41">
        <f t="shared" si="15"/>
        <v>7.8406999999999991</v>
      </c>
      <c r="R117" s="4">
        <f t="shared" si="16"/>
        <v>1.2887999999999999</v>
      </c>
      <c r="T117" s="41">
        <f t="shared" si="17"/>
        <v>1.2499865895299589</v>
      </c>
      <c r="U117" s="41">
        <f t="shared" si="18"/>
        <v>1.2887999999999999</v>
      </c>
      <c r="V117" s="48">
        <f t="shared" si="22"/>
        <v>-3.011592991157748E-2</v>
      </c>
      <c r="W117" s="44">
        <f t="shared" si="19"/>
        <v>3.011592991157748E-2</v>
      </c>
      <c r="X117" s="46">
        <f t="shared" si="21"/>
        <v>440</v>
      </c>
      <c r="Y117" s="47">
        <f t="shared" si="20"/>
        <v>3900</v>
      </c>
      <c r="Z117" s="4">
        <f t="shared" si="23"/>
        <v>0</v>
      </c>
    </row>
    <row r="118" spans="1:26" x14ac:dyDescent="0.3">
      <c r="A118" s="3" t="s">
        <v>14</v>
      </c>
      <c r="B118" s="40">
        <v>3629</v>
      </c>
      <c r="C118" s="5">
        <v>156</v>
      </c>
      <c r="D118" s="24">
        <v>1477</v>
      </c>
      <c r="E118" s="27">
        <v>0.82269146712161434</v>
      </c>
      <c r="F118" s="28">
        <v>44</v>
      </c>
      <c r="G118" s="26">
        <v>1.7509999999999999</v>
      </c>
      <c r="H118" s="13" t="s">
        <v>5</v>
      </c>
      <c r="I118" s="26">
        <v>0.314</v>
      </c>
      <c r="J118" s="7"/>
      <c r="K118" s="37">
        <v>1.33689711230295E-5</v>
      </c>
      <c r="L118" s="24">
        <v>5723</v>
      </c>
      <c r="M118" s="18">
        <v>1.6913580368436223</v>
      </c>
      <c r="N118" s="13" t="s">
        <v>5</v>
      </c>
      <c r="P118" s="41">
        <f t="shared" si="15"/>
        <v>13.3689711230295</v>
      </c>
      <c r="R118" s="4">
        <f t="shared" si="16"/>
        <v>1.7509999999999999</v>
      </c>
      <c r="T118" s="41">
        <f t="shared" si="17"/>
        <v>1.7026611811430661</v>
      </c>
      <c r="U118" s="41">
        <f t="shared" si="18"/>
        <v>1.7509999999999999</v>
      </c>
      <c r="V118" s="48">
        <f t="shared" si="22"/>
        <v>-2.7606407114182645E-2</v>
      </c>
      <c r="W118" s="44">
        <f t="shared" si="19"/>
        <v>2.7606407114182645E-2</v>
      </c>
      <c r="X118" s="46">
        <f t="shared" si="21"/>
        <v>1477</v>
      </c>
      <c r="Y118" s="47">
        <f t="shared" si="20"/>
        <v>2094</v>
      </c>
      <c r="Z118" s="4">
        <f t="shared" si="23"/>
        <v>0</v>
      </c>
    </row>
    <row r="119" spans="1:26" x14ac:dyDescent="0.3">
      <c r="A119" s="3" t="s">
        <v>14</v>
      </c>
      <c r="B119" s="24">
        <v>2788</v>
      </c>
      <c r="C119" s="5">
        <v>159</v>
      </c>
      <c r="D119" s="24">
        <v>933</v>
      </c>
      <c r="E119" s="27">
        <v>0.84155519828510184</v>
      </c>
      <c r="F119" s="28">
        <v>41.1</v>
      </c>
      <c r="G119" s="26">
        <v>1.488</v>
      </c>
      <c r="H119" s="13" t="s">
        <v>5</v>
      </c>
      <c r="I119" s="26">
        <v>0.47299999999999998</v>
      </c>
      <c r="J119" s="7"/>
      <c r="K119" s="37">
        <v>1.03509031269858E-5</v>
      </c>
      <c r="L119" s="24">
        <v>4765</v>
      </c>
      <c r="M119" s="18">
        <v>1.4520069311395036</v>
      </c>
      <c r="N119" s="13" t="s">
        <v>5</v>
      </c>
      <c r="P119" s="41">
        <f t="shared" si="15"/>
        <v>10.3509031269858</v>
      </c>
      <c r="R119" s="4">
        <f t="shared" si="16"/>
        <v>1.488</v>
      </c>
      <c r="T119" s="41">
        <f t="shared" si="17"/>
        <v>1.4578594079641349</v>
      </c>
      <c r="U119" s="41">
        <f t="shared" si="18"/>
        <v>1.488</v>
      </c>
      <c r="V119" s="48">
        <f t="shared" si="22"/>
        <v>-2.0255774217651245E-2</v>
      </c>
      <c r="W119" s="44">
        <f t="shared" si="19"/>
        <v>2.0255774217651245E-2</v>
      </c>
      <c r="X119" s="46">
        <f t="shared" si="21"/>
        <v>933</v>
      </c>
      <c r="Y119" s="47">
        <f t="shared" si="20"/>
        <v>1977</v>
      </c>
      <c r="Z119" s="4">
        <f t="shared" si="23"/>
        <v>0</v>
      </c>
    </row>
    <row r="120" spans="1:26" x14ac:dyDescent="0.3">
      <c r="A120" s="3" t="s">
        <v>14</v>
      </c>
      <c r="B120" s="24">
        <v>3482</v>
      </c>
      <c r="C120" s="5">
        <v>165</v>
      </c>
      <c r="D120" s="24">
        <v>1482</v>
      </c>
      <c r="E120" s="27">
        <v>0.84429487179487173</v>
      </c>
      <c r="F120" s="28">
        <v>44.3</v>
      </c>
      <c r="G120" s="26">
        <v>1.7769999999999999</v>
      </c>
      <c r="H120" s="13" t="s">
        <v>5</v>
      </c>
      <c r="I120" s="26">
        <v>0.27500000000000002</v>
      </c>
      <c r="J120" s="7"/>
      <c r="K120" s="37">
        <v>1.36840244771081E-5</v>
      </c>
      <c r="L120" s="24">
        <v>5895</v>
      </c>
      <c r="M120" s="18">
        <v>1.7033367934411385</v>
      </c>
      <c r="N120" s="13" t="s">
        <v>5</v>
      </c>
      <c r="P120" s="41">
        <f t="shared" si="15"/>
        <v>13.6840244771081</v>
      </c>
      <c r="R120" s="4">
        <f t="shared" si="16"/>
        <v>1.7769999999999999</v>
      </c>
      <c r="T120" s="41">
        <f t="shared" si="17"/>
        <v>1.7192824062620251</v>
      </c>
      <c r="U120" s="41">
        <f t="shared" si="18"/>
        <v>1.7769999999999999</v>
      </c>
      <c r="V120" s="48">
        <f t="shared" si="22"/>
        <v>-3.2480356633638047E-2</v>
      </c>
      <c r="W120" s="44">
        <f t="shared" si="19"/>
        <v>3.2480356633638047E-2</v>
      </c>
      <c r="X120" s="46">
        <f t="shared" si="21"/>
        <v>1482</v>
      </c>
      <c r="Y120" s="47">
        <f t="shared" si="20"/>
        <v>2413</v>
      </c>
      <c r="Z120" s="4">
        <f t="shared" si="23"/>
        <v>0</v>
      </c>
    </row>
    <row r="121" spans="1:26" x14ac:dyDescent="0.3">
      <c r="A121" s="3" t="s">
        <v>14</v>
      </c>
      <c r="B121" s="24">
        <v>2976</v>
      </c>
      <c r="C121" s="5">
        <v>157</v>
      </c>
      <c r="D121" s="24">
        <v>1010</v>
      </c>
      <c r="E121" s="27">
        <v>0.84965544554455452</v>
      </c>
      <c r="F121" s="28">
        <v>42.2</v>
      </c>
      <c r="G121" s="26">
        <v>1.5229999999999999</v>
      </c>
      <c r="H121" s="13" t="s">
        <v>5</v>
      </c>
      <c r="I121" s="26">
        <v>0.35599999999999998</v>
      </c>
      <c r="J121" s="7"/>
      <c r="K121" s="37">
        <v>1.1999722138184901E-5</v>
      </c>
      <c r="L121" s="24">
        <v>4420</v>
      </c>
      <c r="M121" s="18">
        <v>1.4927313190414608</v>
      </c>
      <c r="N121" s="13" t="s">
        <v>5</v>
      </c>
      <c r="P121" s="41">
        <f t="shared" si="15"/>
        <v>11.9997221381849</v>
      </c>
      <c r="R121" s="4">
        <f t="shared" si="16"/>
        <v>1.5229999999999999</v>
      </c>
      <c r="T121" s="41">
        <f t="shared" si="17"/>
        <v>1.4968373892852522</v>
      </c>
      <c r="U121" s="41">
        <f t="shared" si="18"/>
        <v>1.5229999999999999</v>
      </c>
      <c r="V121" s="48">
        <f t="shared" si="22"/>
        <v>-1.7178339274292635E-2</v>
      </c>
      <c r="W121" s="44">
        <f t="shared" si="19"/>
        <v>1.7178339274292635E-2</v>
      </c>
      <c r="X121" s="46">
        <f t="shared" si="21"/>
        <v>1010</v>
      </c>
      <c r="Y121" s="47">
        <f t="shared" si="20"/>
        <v>1444</v>
      </c>
      <c r="Z121" s="4">
        <f t="shared" si="23"/>
        <v>0</v>
      </c>
    </row>
    <row r="122" spans="1:26" x14ac:dyDescent="0.3">
      <c r="A122" s="3" t="s">
        <v>14</v>
      </c>
      <c r="B122" s="24">
        <v>2814.6959999999999</v>
      </c>
      <c r="C122" s="5">
        <v>159</v>
      </c>
      <c r="D122" s="25">
        <v>872</v>
      </c>
      <c r="E122" s="27">
        <f>(811*0.799+61*1.333)/(872)</f>
        <v>0.83635550458715602</v>
      </c>
      <c r="F122" s="29">
        <v>42.44</v>
      </c>
      <c r="G122" s="26">
        <v>1.4717</v>
      </c>
      <c r="H122" s="13" t="s">
        <v>5</v>
      </c>
      <c r="I122" s="26">
        <v>0.52</v>
      </c>
      <c r="J122" s="7"/>
      <c r="K122" s="37">
        <v>1.2483066538382099E-5</v>
      </c>
      <c r="L122" s="24">
        <v>4264.6959999999999</v>
      </c>
      <c r="M122" s="18">
        <v>1.4417672892184066</v>
      </c>
      <c r="N122" s="13" t="s">
        <v>5</v>
      </c>
      <c r="P122" s="41">
        <f t="shared" si="15"/>
        <v>12.483066538382099</v>
      </c>
      <c r="R122" s="4">
        <f t="shared" si="16"/>
        <v>1.4717</v>
      </c>
      <c r="T122" s="41">
        <f t="shared" si="17"/>
        <v>1.4453012086103971</v>
      </c>
      <c r="U122" s="41">
        <f t="shared" si="18"/>
        <v>1.4717</v>
      </c>
      <c r="V122" s="48">
        <f t="shared" si="22"/>
        <v>-1.7937617306246437E-2</v>
      </c>
      <c r="W122" s="44">
        <f t="shared" si="19"/>
        <v>1.7937617306246437E-2</v>
      </c>
      <c r="X122" s="46">
        <f t="shared" si="21"/>
        <v>872</v>
      </c>
      <c r="Y122" s="47">
        <f t="shared" si="20"/>
        <v>1450</v>
      </c>
      <c r="Z122" s="4">
        <f t="shared" si="23"/>
        <v>0</v>
      </c>
    </row>
    <row r="123" spans="1:26" x14ac:dyDescent="0.3">
      <c r="A123" s="3" t="s">
        <v>14</v>
      </c>
      <c r="B123" s="24">
        <v>2364.6959999999999</v>
      </c>
      <c r="C123" s="5">
        <v>156</v>
      </c>
      <c r="D123" s="25">
        <v>779</v>
      </c>
      <c r="E123" s="27">
        <v>0.83803829145728648</v>
      </c>
      <c r="F123" s="29">
        <v>41.48</v>
      </c>
      <c r="G123" s="26">
        <v>1.4186000000000001</v>
      </c>
      <c r="H123" s="13" t="s">
        <v>5</v>
      </c>
      <c r="I123" s="26">
        <v>0.624</v>
      </c>
      <c r="J123" s="7"/>
      <c r="K123" s="37">
        <v>1.13891928347361E-5</v>
      </c>
      <c r="L123" s="24">
        <v>4087.6959999999999</v>
      </c>
      <c r="M123" s="18">
        <v>1.3859980276738082</v>
      </c>
      <c r="N123" s="13" t="s">
        <v>5</v>
      </c>
      <c r="P123" s="41">
        <f t="shared" si="15"/>
        <v>11.3891928347361</v>
      </c>
      <c r="R123" s="4">
        <f t="shared" si="16"/>
        <v>1.4186000000000001</v>
      </c>
      <c r="T123" s="41">
        <f t="shared" si="17"/>
        <v>1.3910333532279613</v>
      </c>
      <c r="U123" s="41">
        <f t="shared" si="18"/>
        <v>1.4186000000000001</v>
      </c>
      <c r="V123" s="48">
        <f t="shared" si="22"/>
        <v>-1.9432290125503168E-2</v>
      </c>
      <c r="W123" s="44">
        <f t="shared" si="19"/>
        <v>1.9432290125503168E-2</v>
      </c>
      <c r="X123" s="46">
        <f t="shared" si="21"/>
        <v>779</v>
      </c>
      <c r="Y123" s="47">
        <f t="shared" si="20"/>
        <v>1723</v>
      </c>
      <c r="Z123" s="4">
        <f t="shared" si="23"/>
        <v>0</v>
      </c>
    </row>
    <row r="124" spans="1:26" x14ac:dyDescent="0.3">
      <c r="A124" s="3" t="s">
        <v>14</v>
      </c>
      <c r="B124" s="24">
        <v>2988</v>
      </c>
      <c r="C124" s="5">
        <v>165</v>
      </c>
      <c r="D124" s="24">
        <v>1147</v>
      </c>
      <c r="E124" s="27">
        <v>0.87540818768020245</v>
      </c>
      <c r="F124" s="28">
        <v>44</v>
      </c>
      <c r="G124" s="26">
        <v>1.649</v>
      </c>
      <c r="H124" s="13" t="s">
        <v>5</v>
      </c>
      <c r="I124" s="26">
        <v>0.36799999999999999</v>
      </c>
      <c r="J124" s="7"/>
      <c r="K124" s="37">
        <v>1.0355057978956E-5</v>
      </c>
      <c r="L124" s="24">
        <v>6566</v>
      </c>
      <c r="M124" s="18">
        <v>1.5684215927998539</v>
      </c>
      <c r="N124" s="13" t="s">
        <v>5</v>
      </c>
      <c r="P124" s="41">
        <f t="shared" si="15"/>
        <v>10.355057978956001</v>
      </c>
      <c r="R124" s="4">
        <f t="shared" si="16"/>
        <v>1.649</v>
      </c>
      <c r="T124" s="41">
        <f t="shared" si="17"/>
        <v>1.5890218625247676</v>
      </c>
      <c r="U124" s="41">
        <f t="shared" si="18"/>
        <v>1.649</v>
      </c>
      <c r="V124" s="48">
        <f t="shared" si="22"/>
        <v>-3.6372430245744325E-2</v>
      </c>
      <c r="W124" s="44">
        <f t="shared" si="19"/>
        <v>3.6372430245744325E-2</v>
      </c>
      <c r="X124" s="46">
        <f t="shared" si="21"/>
        <v>1147</v>
      </c>
      <c r="Y124" s="47">
        <f t="shared" si="20"/>
        <v>3578</v>
      </c>
      <c r="Z124" s="4">
        <f t="shared" si="23"/>
        <v>0</v>
      </c>
    </row>
    <row r="125" spans="1:26" x14ac:dyDescent="0.3">
      <c r="A125" s="3" t="s">
        <v>14</v>
      </c>
      <c r="B125" s="24">
        <v>2327</v>
      </c>
      <c r="C125" s="5">
        <v>158</v>
      </c>
      <c r="D125" s="24">
        <v>734</v>
      </c>
      <c r="E125" s="27">
        <v>0.8943024523160763</v>
      </c>
      <c r="F125" s="28">
        <v>41.7</v>
      </c>
      <c r="G125" s="26">
        <v>1.4</v>
      </c>
      <c r="H125" s="13" t="s">
        <v>5</v>
      </c>
      <c r="I125" s="26">
        <v>0.55100000000000005</v>
      </c>
      <c r="J125" s="7"/>
      <c r="K125" s="37">
        <v>8.9183311020334792E-6</v>
      </c>
      <c r="L125" s="24">
        <v>4740</v>
      </c>
      <c r="M125" s="18">
        <v>1.364527444861539</v>
      </c>
      <c r="N125" s="13" t="s">
        <v>5</v>
      </c>
      <c r="P125" s="41">
        <f t="shared" si="15"/>
        <v>8.9183311020334788</v>
      </c>
      <c r="R125" s="4">
        <f t="shared" si="16"/>
        <v>1.4</v>
      </c>
      <c r="T125" s="41">
        <f t="shared" si="17"/>
        <v>1.3701939561780685</v>
      </c>
      <c r="U125" s="41">
        <f t="shared" si="18"/>
        <v>1.4</v>
      </c>
      <c r="V125" s="48">
        <f t="shared" si="22"/>
        <v>-2.1290031301379585E-2</v>
      </c>
      <c r="W125" s="44">
        <f t="shared" si="19"/>
        <v>2.1290031301379585E-2</v>
      </c>
      <c r="X125" s="46">
        <f t="shared" si="21"/>
        <v>734</v>
      </c>
      <c r="Y125" s="47">
        <f t="shared" si="20"/>
        <v>2413</v>
      </c>
      <c r="Z125" s="4">
        <f t="shared" si="23"/>
        <v>0</v>
      </c>
    </row>
    <row r="126" spans="1:26" x14ac:dyDescent="0.3">
      <c r="A126" s="3" t="s">
        <v>14</v>
      </c>
      <c r="B126" s="24">
        <v>3841.6959999999999</v>
      </c>
      <c r="C126" s="5">
        <v>161</v>
      </c>
      <c r="D126" s="24">
        <v>1908</v>
      </c>
      <c r="E126" s="27">
        <v>0.83407938415369509</v>
      </c>
      <c r="F126" s="28">
        <v>45.2</v>
      </c>
      <c r="G126" s="26">
        <v>1.98</v>
      </c>
      <c r="H126" s="13" t="s">
        <v>5</v>
      </c>
      <c r="I126" s="26">
        <v>0.24199999999999999</v>
      </c>
      <c r="J126" s="7"/>
      <c r="K126" s="37">
        <v>1.32050964869255E-5</v>
      </c>
      <c r="L126" s="24">
        <v>6914.9960000000001</v>
      </c>
      <c r="M126" s="18">
        <v>1.8716608335340812</v>
      </c>
      <c r="N126" s="13" t="s">
        <v>5</v>
      </c>
      <c r="P126" s="41">
        <f t="shared" si="15"/>
        <v>13.2050964869255</v>
      </c>
      <c r="R126" s="4">
        <f t="shared" si="16"/>
        <v>1.98</v>
      </c>
      <c r="T126" s="41">
        <f t="shared" si="17"/>
        <v>1.9012539110308142</v>
      </c>
      <c r="U126" s="41">
        <f t="shared" si="18"/>
        <v>1.98</v>
      </c>
      <c r="V126" s="48">
        <f t="shared" si="22"/>
        <v>-3.9770752004639282E-2</v>
      </c>
      <c r="W126" s="44">
        <f t="shared" si="19"/>
        <v>3.9770752004639282E-2</v>
      </c>
      <c r="X126" s="46">
        <f t="shared" si="21"/>
        <v>1908</v>
      </c>
      <c r="Y126" s="47">
        <f t="shared" si="20"/>
        <v>3073.3</v>
      </c>
      <c r="Z126" s="4">
        <f t="shared" si="23"/>
        <v>0</v>
      </c>
    </row>
    <row r="127" spans="1:26" x14ac:dyDescent="0.3">
      <c r="A127" s="3" t="s">
        <v>14</v>
      </c>
      <c r="B127" s="25">
        <v>3452</v>
      </c>
      <c r="C127" s="5">
        <v>175</v>
      </c>
      <c r="D127" s="24">
        <v>1446</v>
      </c>
      <c r="E127" s="27">
        <v>0.84904356846473017</v>
      </c>
      <c r="F127" s="28">
        <v>45.4</v>
      </c>
      <c r="G127" s="26">
        <v>1.7769999999999999</v>
      </c>
      <c r="H127" s="13" t="s">
        <v>5</v>
      </c>
      <c r="I127" s="26">
        <v>0.28531483083514203</v>
      </c>
      <c r="J127" s="7"/>
      <c r="K127" s="37">
        <v>1.2663605579472001E-5</v>
      </c>
      <c r="L127" s="24">
        <v>6530</v>
      </c>
      <c r="M127" s="18">
        <v>1.6875706647617661</v>
      </c>
      <c r="N127" s="13" t="s">
        <v>5</v>
      </c>
      <c r="P127" s="41">
        <f t="shared" si="15"/>
        <v>12.663605579472001</v>
      </c>
      <c r="R127" s="4">
        <f t="shared" si="16"/>
        <v>1.7769999999999999</v>
      </c>
      <c r="T127" s="41">
        <f t="shared" si="17"/>
        <v>1.709067621452629</v>
      </c>
      <c r="U127" s="41">
        <f t="shared" si="18"/>
        <v>1.7769999999999999</v>
      </c>
      <c r="V127" s="48">
        <f t="shared" si="22"/>
        <v>-3.8228687983889079E-2</v>
      </c>
      <c r="W127" s="44">
        <f t="shared" si="19"/>
        <v>3.8228687983889079E-2</v>
      </c>
      <c r="X127" s="46">
        <f t="shared" si="21"/>
        <v>1446</v>
      </c>
      <c r="Y127" s="47">
        <f t="shared" si="20"/>
        <v>3078</v>
      </c>
      <c r="Z127" s="4">
        <f t="shared" si="23"/>
        <v>0</v>
      </c>
    </row>
    <row r="128" spans="1:26" x14ac:dyDescent="0.3">
      <c r="A128" s="3" t="s">
        <v>14</v>
      </c>
      <c r="B128" s="24">
        <v>2774.6959999999999</v>
      </c>
      <c r="C128" s="5">
        <v>183</v>
      </c>
      <c r="D128" s="24">
        <v>1062</v>
      </c>
      <c r="E128" s="26">
        <v>0.88906403013182678</v>
      </c>
      <c r="F128" s="29">
        <v>43.58</v>
      </c>
      <c r="G128" s="26">
        <v>1.6372</v>
      </c>
      <c r="H128" s="13" t="s">
        <v>5</v>
      </c>
      <c r="I128" s="26">
        <v>0.29499999999999998</v>
      </c>
      <c r="J128" s="7"/>
      <c r="K128" s="39">
        <v>1.43895E-5</v>
      </c>
      <c r="L128" s="24">
        <v>5314.6959999999999</v>
      </c>
      <c r="M128" s="18">
        <v>1.5641317640000001</v>
      </c>
      <c r="N128" s="13" t="s">
        <v>5</v>
      </c>
      <c r="P128" s="41">
        <f t="shared" si="15"/>
        <v>14.3895</v>
      </c>
      <c r="R128" s="4">
        <f t="shared" si="16"/>
        <v>1.6372</v>
      </c>
      <c r="T128" s="41">
        <f t="shared" si="17"/>
        <v>1.5784417648742401</v>
      </c>
      <c r="U128" s="41">
        <f t="shared" si="18"/>
        <v>1.6372</v>
      </c>
      <c r="V128" s="48">
        <f t="shared" si="22"/>
        <v>-3.5889466849352458E-2</v>
      </c>
      <c r="W128" s="44">
        <f t="shared" si="19"/>
        <v>3.5889466849352458E-2</v>
      </c>
      <c r="X128" s="46">
        <f t="shared" si="21"/>
        <v>1062</v>
      </c>
      <c r="Y128" s="47">
        <f t="shared" si="20"/>
        <v>2540</v>
      </c>
      <c r="Z128" s="4">
        <f t="shared" si="23"/>
        <v>0</v>
      </c>
    </row>
    <row r="129" spans="1:26" x14ac:dyDescent="0.3">
      <c r="A129" s="3" t="s">
        <v>14</v>
      </c>
      <c r="B129" s="24">
        <v>2737</v>
      </c>
      <c r="C129" s="5">
        <v>180</v>
      </c>
      <c r="D129" s="24">
        <v>1028</v>
      </c>
      <c r="E129" s="27">
        <f>(923*0.844+105*1.292)/1028</f>
        <v>0.88975875486381317</v>
      </c>
      <c r="F129" s="29">
        <v>44.1</v>
      </c>
      <c r="G129" s="26">
        <v>1.5669999999999999</v>
      </c>
      <c r="H129" s="13" t="s">
        <v>5</v>
      </c>
      <c r="I129" s="26">
        <v>0.40500000000000003</v>
      </c>
      <c r="J129" s="7"/>
      <c r="K129" s="39">
        <v>1.013E-5</v>
      </c>
      <c r="L129" s="24">
        <v>6500</v>
      </c>
      <c r="M129" s="18">
        <v>1.4873964</v>
      </c>
      <c r="N129" s="13" t="s">
        <v>5</v>
      </c>
      <c r="P129" s="41">
        <f t="shared" si="15"/>
        <v>10.129999999999999</v>
      </c>
      <c r="R129" s="4">
        <f t="shared" si="16"/>
        <v>1.5669999999999999</v>
      </c>
      <c r="T129" s="41">
        <f t="shared" si="17"/>
        <v>1.5083913824929074</v>
      </c>
      <c r="U129" s="41">
        <f t="shared" si="18"/>
        <v>1.5669999999999999</v>
      </c>
      <c r="V129" s="48">
        <f t="shared" si="22"/>
        <v>-3.7401798026223718E-2</v>
      </c>
      <c r="W129" s="44">
        <f t="shared" si="19"/>
        <v>3.7401798026223718E-2</v>
      </c>
      <c r="X129" s="46">
        <f t="shared" si="21"/>
        <v>1028</v>
      </c>
      <c r="Y129" s="47">
        <f t="shared" si="20"/>
        <v>3763</v>
      </c>
      <c r="Z129" s="4">
        <f t="shared" si="23"/>
        <v>0</v>
      </c>
    </row>
    <row r="130" spans="1:26" x14ac:dyDescent="0.3">
      <c r="A130" s="3" t="s">
        <v>14</v>
      </c>
      <c r="B130" s="24">
        <v>2665</v>
      </c>
      <c r="C130" s="5">
        <v>190</v>
      </c>
      <c r="D130" s="24">
        <v>875.9778633928637</v>
      </c>
      <c r="E130" s="26">
        <v>0.89860640942942094</v>
      </c>
      <c r="F130" s="29">
        <v>42.1</v>
      </c>
      <c r="G130" s="26">
        <v>1.5273526321529347</v>
      </c>
      <c r="H130" s="13" t="s">
        <v>5</v>
      </c>
      <c r="I130" s="26">
        <v>0.53227000000000002</v>
      </c>
      <c r="J130" s="7"/>
      <c r="K130" s="37">
        <v>1.2567876612644101E-5</v>
      </c>
      <c r="L130" s="24">
        <v>4915</v>
      </c>
      <c r="M130" s="18">
        <v>1.4758874998425713</v>
      </c>
      <c r="N130" s="13" t="s">
        <v>5</v>
      </c>
      <c r="P130" s="41">
        <f t="shared" si="15"/>
        <v>12.567876612644101</v>
      </c>
      <c r="R130" s="4">
        <f t="shared" si="16"/>
        <v>1.5273526321529347</v>
      </c>
      <c r="T130" s="41">
        <f t="shared" si="17"/>
        <v>1.4847675210762279</v>
      </c>
      <c r="U130" s="41">
        <f t="shared" si="18"/>
        <v>1.5273526321529347</v>
      </c>
      <c r="V130" s="48">
        <f t="shared" si="22"/>
        <v>-2.7881649712207877E-2</v>
      </c>
      <c r="W130" s="44">
        <f t="shared" si="19"/>
        <v>2.7881649712207877E-2</v>
      </c>
      <c r="X130" s="46">
        <f t="shared" si="21"/>
        <v>875.9778633928637</v>
      </c>
      <c r="Y130" s="47">
        <f t="shared" si="20"/>
        <v>2250</v>
      </c>
      <c r="Z130" s="4">
        <f t="shared" si="23"/>
        <v>0</v>
      </c>
    </row>
    <row r="131" spans="1:26" x14ac:dyDescent="0.3">
      <c r="A131" s="3" t="s">
        <v>14</v>
      </c>
      <c r="B131" s="24">
        <v>2665</v>
      </c>
      <c r="C131" s="5">
        <v>180</v>
      </c>
      <c r="D131" s="24">
        <v>878.71586985293175</v>
      </c>
      <c r="E131" s="26">
        <v>0.91390951743438698</v>
      </c>
      <c r="F131" s="29">
        <v>40.200000000000003</v>
      </c>
      <c r="G131" s="26">
        <v>1.5162559439861154</v>
      </c>
      <c r="H131" s="13" t="s">
        <v>5</v>
      </c>
      <c r="I131" s="26">
        <v>0.52621000000000007</v>
      </c>
      <c r="J131" s="7"/>
      <c r="K131" s="37">
        <v>1.2270322886207972E-5</v>
      </c>
      <c r="L131" s="24">
        <v>4845</v>
      </c>
      <c r="M131" s="18">
        <v>1.4687980739335071</v>
      </c>
      <c r="N131" s="13" t="s">
        <v>5</v>
      </c>
      <c r="P131" s="41">
        <f t="shared" si="15"/>
        <v>12.270322886207973</v>
      </c>
      <c r="R131" s="4">
        <f t="shared" si="16"/>
        <v>1.5162559439861154</v>
      </c>
      <c r="T131" s="41">
        <f t="shared" si="17"/>
        <v>1.4762348080422254</v>
      </c>
      <c r="U131" s="41">
        <f t="shared" si="18"/>
        <v>1.5162559439861154</v>
      </c>
      <c r="V131" s="48">
        <f t="shared" si="22"/>
        <v>-2.6394710010948182E-2</v>
      </c>
      <c r="W131" s="44">
        <f t="shared" si="19"/>
        <v>2.6394710010948182E-2</v>
      </c>
      <c r="X131" s="46">
        <f t="shared" si="21"/>
        <v>878.71586985293175</v>
      </c>
      <c r="Y131" s="47">
        <f t="shared" si="20"/>
        <v>2180</v>
      </c>
      <c r="Z131" s="4">
        <f t="shared" si="23"/>
        <v>0</v>
      </c>
    </row>
    <row r="132" spans="1:26" x14ac:dyDescent="0.3">
      <c r="A132" s="3" t="s">
        <v>14</v>
      </c>
      <c r="B132" s="24">
        <v>2765</v>
      </c>
      <c r="C132" s="5">
        <v>175</v>
      </c>
      <c r="D132" s="24">
        <v>893.50580230451294</v>
      </c>
      <c r="E132" s="26">
        <v>0.91801860641097199</v>
      </c>
      <c r="F132" s="29">
        <v>39.619999999999997</v>
      </c>
      <c r="G132" s="26">
        <v>1.5156247720052562</v>
      </c>
      <c r="H132" s="13" t="s">
        <v>5</v>
      </c>
      <c r="I132" s="26">
        <v>0.51300000000000001</v>
      </c>
      <c r="J132" s="7"/>
      <c r="K132" s="37">
        <v>1.5213107546419976E-5</v>
      </c>
      <c r="L132" s="24">
        <v>3360</v>
      </c>
      <c r="M132" s="18">
        <v>1.5010495080908535</v>
      </c>
      <c r="N132" s="13" t="s">
        <v>5</v>
      </c>
      <c r="P132" s="41">
        <f t="shared" ref="P132:P156" si="24">K132*(10^6)</f>
        <v>15.213107546419977</v>
      </c>
      <c r="R132" s="4">
        <f t="shared" ref="R132:R156" si="25">IF(G132&lt;&gt;"N/A",G132,5.615*H132)</f>
        <v>1.5156247720052562</v>
      </c>
      <c r="T132" s="41">
        <f t="shared" ref="T132:T156" si="26">IF(M132&lt;&gt;"N/A", G132*EXP(-K132*(L132-B132)),N132*EXP(-K132*(L132-B132)))</f>
        <v>1.5019675457085682</v>
      </c>
      <c r="U132" s="41">
        <f t="shared" ref="U132:U156" si="27">IF(M132&lt;&gt;"N/A",G132,N132)</f>
        <v>1.5156247720052562</v>
      </c>
      <c r="V132" s="48">
        <f t="shared" si="22"/>
        <v>-9.0109547883799844E-3</v>
      </c>
      <c r="W132" s="44">
        <f t="shared" ref="W132:W156" si="28">ABS((T132-U132)/U132)</f>
        <v>9.0109547883799844E-3</v>
      </c>
      <c r="X132" s="46">
        <f t="shared" si="21"/>
        <v>893.50580230451294</v>
      </c>
      <c r="Y132" s="47">
        <f t="shared" ref="Y132:Y156" si="29">L132-B132</f>
        <v>595</v>
      </c>
      <c r="Z132" s="4">
        <f t="shared" si="23"/>
        <v>0</v>
      </c>
    </row>
    <row r="133" spans="1:26" x14ac:dyDescent="0.3">
      <c r="A133" s="3" t="s">
        <v>14</v>
      </c>
      <c r="B133" s="24">
        <v>2665</v>
      </c>
      <c r="C133" s="5">
        <v>125</v>
      </c>
      <c r="D133" s="24">
        <v>819.2574068129552</v>
      </c>
      <c r="E133" s="26">
        <v>1.0250941951674821</v>
      </c>
      <c r="F133" s="29">
        <v>37.68</v>
      </c>
      <c r="G133" s="26">
        <v>1.4500573550223188</v>
      </c>
      <c r="H133" s="13" t="s">
        <v>5</v>
      </c>
      <c r="I133" s="26">
        <v>0.56599999999999995</v>
      </c>
      <c r="J133" s="7"/>
      <c r="K133" s="37">
        <v>1.0809348749147172E-5</v>
      </c>
      <c r="L133" s="24">
        <v>3615</v>
      </c>
      <c r="M133" s="18">
        <v>1.4336871668987603</v>
      </c>
      <c r="N133" s="13" t="s">
        <v>5</v>
      </c>
      <c r="P133" s="41">
        <f t="shared" si="24"/>
        <v>10.809348749147171</v>
      </c>
      <c r="R133" s="4">
        <f t="shared" si="25"/>
        <v>1.4500573550223188</v>
      </c>
      <c r="T133" s="41">
        <f t="shared" si="26"/>
        <v>1.4352430813376518</v>
      </c>
      <c r="U133" s="41">
        <f t="shared" si="27"/>
        <v>1.4500573550223188</v>
      </c>
      <c r="V133" s="48">
        <f t="shared" si="22"/>
        <v>-1.0216336363080629E-2</v>
      </c>
      <c r="W133" s="44">
        <f t="shared" si="28"/>
        <v>1.0216336363080629E-2</v>
      </c>
      <c r="X133" s="46">
        <f t="shared" ref="X133:X156" si="30">D133</f>
        <v>819.2574068129552</v>
      </c>
      <c r="Y133" s="47">
        <f t="shared" si="29"/>
        <v>950</v>
      </c>
      <c r="Z133" s="4">
        <f t="shared" si="23"/>
        <v>0</v>
      </c>
    </row>
    <row r="134" spans="1:26" x14ac:dyDescent="0.3">
      <c r="A134" s="3" t="s">
        <v>14</v>
      </c>
      <c r="B134" s="24">
        <v>2865</v>
      </c>
      <c r="C134" s="5">
        <v>152</v>
      </c>
      <c r="D134" s="24">
        <v>1014.8050338327058</v>
      </c>
      <c r="E134" s="26">
        <v>0.88702597887453039</v>
      </c>
      <c r="F134" s="29">
        <v>41.82</v>
      </c>
      <c r="G134" s="26">
        <v>1.5479636439197559</v>
      </c>
      <c r="H134" s="13" t="s">
        <v>5</v>
      </c>
      <c r="I134" s="26">
        <v>0.55300000000000005</v>
      </c>
      <c r="J134" s="7"/>
      <c r="K134" s="37">
        <v>1.21048004780431E-5</v>
      </c>
      <c r="L134" s="24">
        <v>4757</v>
      </c>
      <c r="M134" s="18">
        <v>1.5067920862808049</v>
      </c>
      <c r="N134" s="13" t="s">
        <v>5</v>
      </c>
      <c r="P134" s="41">
        <f t="shared" si="24"/>
        <v>12.104800478043099</v>
      </c>
      <c r="R134" s="4">
        <f t="shared" si="25"/>
        <v>1.5479636439197559</v>
      </c>
      <c r="T134" s="41">
        <f t="shared" si="26"/>
        <v>1.5129146264530644</v>
      </c>
      <c r="U134" s="41">
        <f t="shared" si="27"/>
        <v>1.5479636439197559</v>
      </c>
      <c r="V134" s="48">
        <f t="shared" si="22"/>
        <v>-2.2642015918371543E-2</v>
      </c>
      <c r="W134" s="44">
        <f t="shared" si="28"/>
        <v>2.2642015918371543E-2</v>
      </c>
      <c r="X134" s="46">
        <f t="shared" si="30"/>
        <v>1014.8050338327058</v>
      </c>
      <c r="Y134" s="47">
        <f t="shared" si="29"/>
        <v>1892</v>
      </c>
      <c r="Z134" s="4">
        <f t="shared" si="23"/>
        <v>0</v>
      </c>
    </row>
    <row r="135" spans="1:26" x14ac:dyDescent="0.3">
      <c r="A135" s="3" t="s">
        <v>14</v>
      </c>
      <c r="B135" s="24">
        <v>3265</v>
      </c>
      <c r="C135" s="5">
        <v>155</v>
      </c>
      <c r="D135" s="24">
        <v>1316.8520531613119</v>
      </c>
      <c r="E135" s="26">
        <v>0.91363998027137561</v>
      </c>
      <c r="F135" s="29">
        <v>41.4</v>
      </c>
      <c r="G135" s="26">
        <v>1.7046470189183824</v>
      </c>
      <c r="H135" s="13" t="s">
        <v>5</v>
      </c>
      <c r="I135" s="26">
        <v>0.45250000000000001</v>
      </c>
      <c r="J135" s="7"/>
      <c r="K135" s="37">
        <v>1.4761725370070495E-5</v>
      </c>
      <c r="L135" s="24">
        <v>4694</v>
      </c>
      <c r="M135" s="18">
        <v>1.6637045819994651</v>
      </c>
      <c r="N135" s="13" t="s">
        <v>5</v>
      </c>
      <c r="P135" s="41">
        <f t="shared" si="24"/>
        <v>14.761725370070495</v>
      </c>
      <c r="R135" s="4">
        <f t="shared" si="25"/>
        <v>1.7046470189183824</v>
      </c>
      <c r="T135" s="41">
        <f t="shared" si="26"/>
        <v>1.6690649454609299</v>
      </c>
      <c r="U135" s="41">
        <f t="shared" si="27"/>
        <v>1.7046470189183824</v>
      </c>
      <c r="V135" s="48">
        <f t="shared" si="22"/>
        <v>-2.0873572688397266E-2</v>
      </c>
      <c r="W135" s="44">
        <f t="shared" si="28"/>
        <v>2.0873572688397266E-2</v>
      </c>
      <c r="X135" s="46">
        <f t="shared" si="30"/>
        <v>1316.8520531613119</v>
      </c>
      <c r="Y135" s="47">
        <f t="shared" si="29"/>
        <v>1429</v>
      </c>
      <c r="Z135" s="4">
        <f t="shared" si="23"/>
        <v>0</v>
      </c>
    </row>
    <row r="136" spans="1:26" x14ac:dyDescent="0.3">
      <c r="A136" s="3" t="s">
        <v>14</v>
      </c>
      <c r="B136" s="24">
        <v>3165</v>
      </c>
      <c r="C136" s="5">
        <v>159</v>
      </c>
      <c r="D136" s="24">
        <v>1309.5712971320097</v>
      </c>
      <c r="E136" s="26">
        <v>0.86290875140960577</v>
      </c>
      <c r="F136" s="29">
        <v>44.21</v>
      </c>
      <c r="G136" s="26">
        <v>1.69395136437296</v>
      </c>
      <c r="H136" s="13" t="s">
        <v>5</v>
      </c>
      <c r="I136" s="26">
        <v>0.42370000000000002</v>
      </c>
      <c r="J136" s="7"/>
      <c r="K136" s="37">
        <v>1.3256093623020083E-5</v>
      </c>
      <c r="L136" s="24">
        <v>5162</v>
      </c>
      <c r="M136" s="18">
        <v>1.6414422741091423</v>
      </c>
      <c r="N136" s="13" t="s">
        <v>5</v>
      </c>
      <c r="P136" s="41">
        <f t="shared" si="24"/>
        <v>13.256093623020083</v>
      </c>
      <c r="R136" s="4">
        <f t="shared" si="25"/>
        <v>1.69395136437296</v>
      </c>
      <c r="T136" s="41">
        <f t="shared" si="26"/>
        <v>1.649696722262429</v>
      </c>
      <c r="U136" s="41">
        <f t="shared" si="27"/>
        <v>1.69395136437296</v>
      </c>
      <c r="V136" s="48">
        <f t="shared" si="22"/>
        <v>-2.6125096057236841E-2</v>
      </c>
      <c r="W136" s="44">
        <f t="shared" si="28"/>
        <v>2.6125096057236841E-2</v>
      </c>
      <c r="X136" s="46">
        <f t="shared" si="30"/>
        <v>1309.5712971320097</v>
      </c>
      <c r="Y136" s="47">
        <f t="shared" si="29"/>
        <v>1997</v>
      </c>
      <c r="Z136" s="4">
        <f t="shared" si="23"/>
        <v>0</v>
      </c>
    </row>
    <row r="137" spans="1:26" x14ac:dyDescent="0.3">
      <c r="A137" s="3" t="s">
        <v>14</v>
      </c>
      <c r="B137" s="24">
        <v>3215</v>
      </c>
      <c r="C137" s="5">
        <v>155</v>
      </c>
      <c r="D137" s="24">
        <v>1255.9824334889472</v>
      </c>
      <c r="E137" s="26">
        <v>0.90748600249209299</v>
      </c>
      <c r="F137" s="29">
        <v>40.6</v>
      </c>
      <c r="G137" s="26">
        <v>1.6861166770295233</v>
      </c>
      <c r="H137" s="13" t="s">
        <v>5</v>
      </c>
      <c r="I137" s="26">
        <v>0.54239999999999999</v>
      </c>
      <c r="J137" s="7"/>
      <c r="K137" s="37">
        <v>1.3013815190895385E-5</v>
      </c>
      <c r="L137" s="24">
        <v>5265</v>
      </c>
      <c r="M137" s="18">
        <v>1.6328121426723283</v>
      </c>
      <c r="N137" s="13" t="s">
        <v>5</v>
      </c>
      <c r="P137" s="41">
        <f t="shared" si="24"/>
        <v>13.013815190895386</v>
      </c>
      <c r="R137" s="4">
        <f t="shared" si="25"/>
        <v>1.6861166770295233</v>
      </c>
      <c r="T137" s="41">
        <f t="shared" si="26"/>
        <v>1.6417286465739058</v>
      </c>
      <c r="U137" s="41">
        <f t="shared" si="27"/>
        <v>1.6861166770295233</v>
      </c>
      <c r="V137" s="48">
        <f t="shared" si="22"/>
        <v>-2.632559837663016E-2</v>
      </c>
      <c r="W137" s="44">
        <f t="shared" si="28"/>
        <v>2.632559837663016E-2</v>
      </c>
      <c r="X137" s="46">
        <f t="shared" si="30"/>
        <v>1255.9824334889472</v>
      </c>
      <c r="Y137" s="47">
        <f t="shared" si="29"/>
        <v>2050</v>
      </c>
      <c r="Z137" s="4">
        <f t="shared" si="23"/>
        <v>0</v>
      </c>
    </row>
    <row r="138" spans="1:26" x14ac:dyDescent="0.3">
      <c r="A138" s="3" t="s">
        <v>14</v>
      </c>
      <c r="B138" s="24">
        <v>3259</v>
      </c>
      <c r="C138" s="5">
        <v>188</v>
      </c>
      <c r="D138" s="24">
        <v>1662.9066039752083</v>
      </c>
      <c r="E138" s="27">
        <v>0.9249433431781553</v>
      </c>
      <c r="F138" s="28">
        <v>45.1</v>
      </c>
      <c r="G138" s="26">
        <v>1.9659859874729206</v>
      </c>
      <c r="H138" s="13" t="s">
        <v>5</v>
      </c>
      <c r="I138" s="26">
        <v>0.24250372633665854</v>
      </c>
      <c r="J138" s="7"/>
      <c r="K138" s="37">
        <v>1.4044040777892234E-5</v>
      </c>
      <c r="L138" s="24">
        <v>5915</v>
      </c>
      <c r="M138" s="18">
        <v>1.8588954904135278</v>
      </c>
      <c r="N138" s="13" t="s">
        <v>5</v>
      </c>
      <c r="P138" s="41">
        <f t="shared" si="24"/>
        <v>14.044040777892233</v>
      </c>
      <c r="R138" s="4">
        <f t="shared" si="25"/>
        <v>1.9659859874729206</v>
      </c>
      <c r="T138" s="41">
        <f t="shared" si="26"/>
        <v>1.8940036501198614</v>
      </c>
      <c r="U138" s="41">
        <f t="shared" si="27"/>
        <v>1.9659859874729206</v>
      </c>
      <c r="V138" s="48">
        <f t="shared" si="22"/>
        <v>-3.6613860837118879E-2</v>
      </c>
      <c r="W138" s="44">
        <f t="shared" si="28"/>
        <v>3.6613860837118879E-2</v>
      </c>
      <c r="X138" s="46">
        <f t="shared" si="30"/>
        <v>1662.9066039752083</v>
      </c>
      <c r="Y138" s="47">
        <f t="shared" si="29"/>
        <v>2656</v>
      </c>
      <c r="Z138" s="4">
        <f t="shared" si="23"/>
        <v>0</v>
      </c>
    </row>
    <row r="139" spans="1:26" x14ac:dyDescent="0.3">
      <c r="A139" s="3" t="s">
        <v>14</v>
      </c>
      <c r="B139" s="24">
        <v>2290</v>
      </c>
      <c r="C139" s="5">
        <v>147</v>
      </c>
      <c r="D139" s="24">
        <v>926.67416705051619</v>
      </c>
      <c r="E139" s="27">
        <v>0.92190427125757779</v>
      </c>
      <c r="F139" s="28">
        <v>41.9</v>
      </c>
      <c r="G139" s="26">
        <v>1.5015039137706185</v>
      </c>
      <c r="H139" s="13" t="s">
        <v>5</v>
      </c>
      <c r="I139" s="26">
        <v>0.41020653230299997</v>
      </c>
      <c r="J139" s="7"/>
      <c r="K139" s="37">
        <v>1.503354094425121E-5</v>
      </c>
      <c r="L139" s="24">
        <v>2870</v>
      </c>
      <c r="M139" s="18">
        <v>1.4871518886211128</v>
      </c>
      <c r="N139" s="13" t="s">
        <v>5</v>
      </c>
      <c r="P139" s="41">
        <f t="shared" si="24"/>
        <v>15.033540944251211</v>
      </c>
      <c r="R139" s="4">
        <f t="shared" si="25"/>
        <v>1.5015039137706185</v>
      </c>
      <c r="T139" s="41">
        <f t="shared" si="26"/>
        <v>1.4884685331305147</v>
      </c>
      <c r="U139" s="41">
        <f t="shared" si="27"/>
        <v>1.5015039137706185</v>
      </c>
      <c r="V139" s="48">
        <f t="shared" si="22"/>
        <v>-8.681549558781353E-3</v>
      </c>
      <c r="W139" s="44">
        <f t="shared" si="28"/>
        <v>8.681549558781353E-3</v>
      </c>
      <c r="X139" s="46">
        <f t="shared" si="30"/>
        <v>926.67416705051619</v>
      </c>
      <c r="Y139" s="47">
        <f t="shared" si="29"/>
        <v>580</v>
      </c>
      <c r="Z139" s="4">
        <f t="shared" si="23"/>
        <v>0</v>
      </c>
    </row>
    <row r="140" spans="1:26" x14ac:dyDescent="0.3">
      <c r="A140" s="3" t="s">
        <v>14</v>
      </c>
      <c r="B140" s="24">
        <v>3478</v>
      </c>
      <c r="C140" s="5">
        <v>189</v>
      </c>
      <c r="D140" s="24">
        <v>1669.824655779699</v>
      </c>
      <c r="E140" s="27">
        <v>0.90878470942589007</v>
      </c>
      <c r="F140" s="28">
        <v>45.1</v>
      </c>
      <c r="G140" s="26">
        <v>1.9542207314204327</v>
      </c>
      <c r="H140" s="13" t="s">
        <v>5</v>
      </c>
      <c r="I140" s="26">
        <v>0.23524203840575</v>
      </c>
      <c r="J140" s="7"/>
      <c r="K140" s="37">
        <v>1.58487149214415E-5</v>
      </c>
      <c r="L140" s="24">
        <v>5685</v>
      </c>
      <c r="M140" s="18">
        <v>1.8652054877412294</v>
      </c>
      <c r="N140" s="13" t="s">
        <v>5</v>
      </c>
      <c r="P140" s="41">
        <f t="shared" si="24"/>
        <v>15.8487149214415</v>
      </c>
      <c r="R140" s="4">
        <f t="shared" si="25"/>
        <v>1.9542207314204327</v>
      </c>
      <c r="T140" s="41">
        <f t="shared" si="26"/>
        <v>1.8870474226080738</v>
      </c>
      <c r="U140" s="41">
        <f t="shared" si="27"/>
        <v>1.9542207314204327</v>
      </c>
      <c r="V140" s="48">
        <f t="shared" si="22"/>
        <v>-3.4373450108439785E-2</v>
      </c>
      <c r="W140" s="44">
        <f t="shared" si="28"/>
        <v>3.4373450108439785E-2</v>
      </c>
      <c r="X140" s="46">
        <f t="shared" si="30"/>
        <v>1669.824655779699</v>
      </c>
      <c r="Y140" s="47">
        <f t="shared" si="29"/>
        <v>2207</v>
      </c>
      <c r="Z140" s="4">
        <f t="shared" si="23"/>
        <v>0</v>
      </c>
    </row>
    <row r="141" spans="1:26" x14ac:dyDescent="0.3">
      <c r="A141" s="3" t="s">
        <v>14</v>
      </c>
      <c r="B141" s="24">
        <v>2656.22</v>
      </c>
      <c r="C141" s="5">
        <v>161</v>
      </c>
      <c r="D141" s="24">
        <v>1078.8275574104816</v>
      </c>
      <c r="E141" s="26">
        <v>0.92547543459989179</v>
      </c>
      <c r="F141" s="28">
        <v>42.825489712948126</v>
      </c>
      <c r="G141" s="26">
        <v>1.60545129758015</v>
      </c>
      <c r="H141" s="13" t="s">
        <v>5</v>
      </c>
      <c r="I141" s="27">
        <v>0.35863015920792102</v>
      </c>
      <c r="J141" s="7"/>
      <c r="K141" s="37">
        <v>1.24280420547592E-5</v>
      </c>
      <c r="L141" s="25">
        <v>5064</v>
      </c>
      <c r="M141" s="18">
        <v>1.5489326936445311</v>
      </c>
      <c r="N141" s="13" t="s">
        <v>5</v>
      </c>
      <c r="P141" s="41">
        <f t="shared" si="24"/>
        <v>12.428042054759199</v>
      </c>
      <c r="R141" s="4">
        <f t="shared" si="25"/>
        <v>1.60545129758015</v>
      </c>
      <c r="T141" s="41">
        <f t="shared" si="26"/>
        <v>1.5581214676665112</v>
      </c>
      <c r="U141" s="41">
        <f t="shared" si="27"/>
        <v>1.60545129758015</v>
      </c>
      <c r="V141" s="48">
        <f t="shared" si="22"/>
        <v>-2.9480701149251772E-2</v>
      </c>
      <c r="W141" s="44">
        <f t="shared" si="28"/>
        <v>2.9480701149251772E-2</v>
      </c>
      <c r="X141" s="46">
        <f t="shared" si="30"/>
        <v>1078.8275574104816</v>
      </c>
      <c r="Y141" s="47">
        <f t="shared" si="29"/>
        <v>2407.7800000000002</v>
      </c>
      <c r="Z141" s="4">
        <f t="shared" si="23"/>
        <v>0</v>
      </c>
    </row>
    <row r="142" spans="1:26" x14ac:dyDescent="0.3">
      <c r="A142" s="3" t="s">
        <v>14</v>
      </c>
      <c r="B142" s="24">
        <v>2265</v>
      </c>
      <c r="C142" s="5">
        <v>165</v>
      </c>
      <c r="D142" s="24">
        <v>656</v>
      </c>
      <c r="E142" s="27">
        <v>0.92645137195121963</v>
      </c>
      <c r="F142" s="29">
        <v>37.130000000000003</v>
      </c>
      <c r="G142" s="26">
        <v>1.3793</v>
      </c>
      <c r="H142" s="13" t="s">
        <v>5</v>
      </c>
      <c r="I142" s="38">
        <v>0.74</v>
      </c>
      <c r="J142" s="7"/>
      <c r="K142" s="37">
        <v>1.0779500000000001E-5</v>
      </c>
      <c r="L142" s="24">
        <v>4015</v>
      </c>
      <c r="M142" s="18">
        <v>1.3487071260000001</v>
      </c>
      <c r="N142" s="13" t="s">
        <v>5</v>
      </c>
      <c r="P142" s="41">
        <f t="shared" si="24"/>
        <v>10.779500000000001</v>
      </c>
      <c r="R142" s="4">
        <f t="shared" si="25"/>
        <v>1.3793</v>
      </c>
      <c r="T142" s="41">
        <f t="shared" si="26"/>
        <v>1.3535245920016101</v>
      </c>
      <c r="U142" s="41">
        <f t="shared" si="27"/>
        <v>1.3793</v>
      </c>
      <c r="V142" s="48">
        <f t="shared" si="22"/>
        <v>-1.8687310953664788E-2</v>
      </c>
      <c r="W142" s="44">
        <f t="shared" si="28"/>
        <v>1.8687310953664788E-2</v>
      </c>
      <c r="X142" s="46">
        <f t="shared" si="30"/>
        <v>656</v>
      </c>
      <c r="Y142" s="47">
        <f t="shared" si="29"/>
        <v>1750</v>
      </c>
      <c r="Z142" s="4">
        <f t="shared" si="23"/>
        <v>0</v>
      </c>
    </row>
    <row r="143" spans="1:26" x14ac:dyDescent="0.3">
      <c r="A143" s="3" t="s">
        <v>13</v>
      </c>
      <c r="B143" s="5">
        <v>3280</v>
      </c>
      <c r="C143" s="5">
        <v>280</v>
      </c>
      <c r="D143" s="30">
        <v>1454</v>
      </c>
      <c r="E143" s="18">
        <v>0.87214580467675373</v>
      </c>
      <c r="F143" s="17">
        <v>43.3</v>
      </c>
      <c r="G143" s="18">
        <v>2.008</v>
      </c>
      <c r="H143" s="13" t="s">
        <v>5</v>
      </c>
      <c r="I143" s="18">
        <v>0.13900000000000001</v>
      </c>
      <c r="J143" s="7"/>
      <c r="K143" s="21">
        <v>5.2865999999999998E-5</v>
      </c>
      <c r="L143" s="5">
        <v>8192</v>
      </c>
      <c r="M143" s="18">
        <v>1.78</v>
      </c>
      <c r="N143" s="13" t="s">
        <v>5</v>
      </c>
      <c r="P143" s="41">
        <f t="shared" si="24"/>
        <v>52.866</v>
      </c>
      <c r="R143" s="4">
        <f t="shared" si="25"/>
        <v>2.008</v>
      </c>
      <c r="T143" s="41">
        <f t="shared" si="26"/>
        <v>1.5487705301620516</v>
      </c>
      <c r="U143" s="41">
        <f t="shared" si="27"/>
        <v>2.008</v>
      </c>
      <c r="V143" s="48">
        <f t="shared" si="22"/>
        <v>-0.22869993517826118</v>
      </c>
      <c r="W143" s="44">
        <f t="shared" si="28"/>
        <v>0.22869993517826118</v>
      </c>
      <c r="X143" s="46">
        <f t="shared" si="30"/>
        <v>1454</v>
      </c>
      <c r="Y143" s="47">
        <f t="shared" si="29"/>
        <v>4912</v>
      </c>
      <c r="Z143" s="4">
        <f t="shared" si="23"/>
        <v>0</v>
      </c>
    </row>
    <row r="144" spans="1:26" x14ac:dyDescent="0.3">
      <c r="A144" s="3" t="s">
        <v>13</v>
      </c>
      <c r="B144" s="5">
        <v>3722</v>
      </c>
      <c r="C144" s="5">
        <v>270</v>
      </c>
      <c r="D144" s="30">
        <v>2205.9741313164527</v>
      </c>
      <c r="E144" s="18">
        <v>0.9681445936820593</v>
      </c>
      <c r="F144" s="17">
        <v>44.4</v>
      </c>
      <c r="G144" s="18">
        <v>2.4543779368789083</v>
      </c>
      <c r="H144" s="13" t="s">
        <v>5</v>
      </c>
      <c r="I144" s="18">
        <v>0.127</v>
      </c>
      <c r="J144" s="7"/>
      <c r="K144" s="21">
        <v>5.24157793085684E-5</v>
      </c>
      <c r="L144" s="5">
        <v>8200</v>
      </c>
      <c r="M144" s="18">
        <v>2.1447051970846669</v>
      </c>
      <c r="N144" s="13" t="s">
        <v>5</v>
      </c>
      <c r="P144" s="41">
        <f t="shared" si="24"/>
        <v>52.415779308568403</v>
      </c>
      <c r="R144" s="4">
        <f t="shared" si="25"/>
        <v>2.4543779368789083</v>
      </c>
      <c r="T144" s="41">
        <f t="shared" si="26"/>
        <v>1.9409071816740662</v>
      </c>
      <c r="U144" s="41">
        <f t="shared" si="27"/>
        <v>2.4543779368789083</v>
      </c>
      <c r="V144" s="48">
        <f t="shared" si="22"/>
        <v>-0.2092060670402674</v>
      </c>
      <c r="W144" s="44">
        <f t="shared" si="28"/>
        <v>0.2092060670402674</v>
      </c>
      <c r="X144" s="46">
        <f t="shared" si="30"/>
        <v>2205.9741313164527</v>
      </c>
      <c r="Y144" s="47">
        <f t="shared" si="29"/>
        <v>4478</v>
      </c>
      <c r="Z144" s="4">
        <f t="shared" si="23"/>
        <v>0</v>
      </c>
    </row>
    <row r="145" spans="1:26" x14ac:dyDescent="0.3">
      <c r="A145" s="3" t="s">
        <v>13</v>
      </c>
      <c r="B145" s="5">
        <v>3697</v>
      </c>
      <c r="C145" s="5">
        <v>270</v>
      </c>
      <c r="D145" s="30">
        <v>2185.1652241112824</v>
      </c>
      <c r="E145" s="18">
        <v>0.98172449597075817</v>
      </c>
      <c r="F145" s="17">
        <v>44.2</v>
      </c>
      <c r="G145" s="18">
        <v>2.6244769978515015</v>
      </c>
      <c r="H145" s="13" t="s">
        <v>5</v>
      </c>
      <c r="I145" s="18">
        <v>8.9899999999999994E-2</v>
      </c>
      <c r="J145" s="7"/>
      <c r="K145" s="21">
        <v>5.6315497084457199E-5</v>
      </c>
      <c r="L145" s="5">
        <v>8260</v>
      </c>
      <c r="M145" s="18">
        <v>2.2977123139010298</v>
      </c>
      <c r="N145" s="13" t="s">
        <v>5</v>
      </c>
      <c r="P145" s="41">
        <f t="shared" si="24"/>
        <v>56.315497084457199</v>
      </c>
      <c r="R145" s="4">
        <f t="shared" si="25"/>
        <v>2.6244769978515015</v>
      </c>
      <c r="T145" s="41">
        <f t="shared" si="26"/>
        <v>2.0297528240385394</v>
      </c>
      <c r="U145" s="41">
        <f t="shared" si="27"/>
        <v>2.6244769978515015</v>
      </c>
      <c r="V145" s="48">
        <f t="shared" si="22"/>
        <v>-0.22660673890448507</v>
      </c>
      <c r="W145" s="44">
        <f t="shared" si="28"/>
        <v>0.22660673890448507</v>
      </c>
      <c r="X145" s="46">
        <f t="shared" si="30"/>
        <v>2185.1652241112824</v>
      </c>
      <c r="Y145" s="47">
        <f t="shared" si="29"/>
        <v>4563</v>
      </c>
      <c r="Z145" s="4">
        <f t="shared" si="23"/>
        <v>0</v>
      </c>
    </row>
    <row r="146" spans="1:26" x14ac:dyDescent="0.3">
      <c r="A146" s="3" t="s">
        <v>13</v>
      </c>
      <c r="B146" s="5">
        <v>3066</v>
      </c>
      <c r="C146" s="5">
        <v>270</v>
      </c>
      <c r="D146" s="30">
        <v>1317.9111629386198</v>
      </c>
      <c r="E146" s="18">
        <v>0.97099999999999997</v>
      </c>
      <c r="F146" s="17">
        <v>41.8</v>
      </c>
      <c r="G146" s="18">
        <v>1.9114061086963996</v>
      </c>
      <c r="H146" s="13" t="s">
        <v>5</v>
      </c>
      <c r="I146" s="18">
        <v>0.15531206651272</v>
      </c>
      <c r="J146" s="7"/>
      <c r="K146" s="21">
        <v>3.0711608145691098E-5</v>
      </c>
      <c r="L146" s="5">
        <v>8100</v>
      </c>
      <c r="M146" s="18">
        <v>1.7229050776838599</v>
      </c>
      <c r="N146" s="13" t="s">
        <v>5</v>
      </c>
      <c r="P146" s="41">
        <f t="shared" si="24"/>
        <v>30.711608145691098</v>
      </c>
      <c r="R146" s="4">
        <f t="shared" si="25"/>
        <v>1.9114061086963996</v>
      </c>
      <c r="T146" s="41">
        <f t="shared" si="26"/>
        <v>1.6376084549543684</v>
      </c>
      <c r="U146" s="41">
        <f t="shared" si="27"/>
        <v>1.9114061086963996</v>
      </c>
      <c r="V146" s="48">
        <f t="shared" si="22"/>
        <v>-0.14324410312194949</v>
      </c>
      <c r="W146" s="44">
        <f t="shared" si="28"/>
        <v>0.14324410312194949</v>
      </c>
      <c r="X146" s="46">
        <f t="shared" si="30"/>
        <v>1317.9111629386198</v>
      </c>
      <c r="Y146" s="47">
        <f t="shared" si="29"/>
        <v>5034</v>
      </c>
      <c r="Z146" s="4">
        <f t="shared" si="23"/>
        <v>0</v>
      </c>
    </row>
    <row r="147" spans="1:26" x14ac:dyDescent="0.3">
      <c r="A147" s="3" t="s">
        <v>13</v>
      </c>
      <c r="B147" s="5">
        <v>2944</v>
      </c>
      <c r="C147" s="5">
        <v>270</v>
      </c>
      <c r="D147" s="30">
        <v>1300.3197900526727</v>
      </c>
      <c r="E147" s="18">
        <v>0.99283819657972716</v>
      </c>
      <c r="F147" s="17">
        <v>42.5</v>
      </c>
      <c r="G147" s="18">
        <v>1.9198054319023261</v>
      </c>
      <c r="H147" s="13" t="s">
        <v>5</v>
      </c>
      <c r="I147" s="18">
        <v>0.1363</v>
      </c>
      <c r="J147" s="7"/>
      <c r="K147" s="21">
        <v>3.66317661139909E-5</v>
      </c>
      <c r="L147" s="5">
        <v>8150</v>
      </c>
      <c r="M147" s="18">
        <v>1.7065076919342763</v>
      </c>
      <c r="N147" s="13" t="s">
        <v>5</v>
      </c>
      <c r="P147" s="41">
        <f t="shared" si="24"/>
        <v>36.631766113990899</v>
      </c>
      <c r="R147" s="4">
        <f t="shared" si="25"/>
        <v>1.9198054319023261</v>
      </c>
      <c r="T147" s="41">
        <f t="shared" si="26"/>
        <v>1.5864818139330052</v>
      </c>
      <c r="U147" s="41">
        <f t="shared" si="27"/>
        <v>1.9198054319023261</v>
      </c>
      <c r="V147" s="48">
        <f t="shared" si="22"/>
        <v>-0.17362364562070859</v>
      </c>
      <c r="W147" s="44">
        <f t="shared" si="28"/>
        <v>0.17362364562070859</v>
      </c>
      <c r="X147" s="46">
        <f t="shared" si="30"/>
        <v>1300.3197900526727</v>
      </c>
      <c r="Y147" s="47">
        <f t="shared" si="29"/>
        <v>5206</v>
      </c>
      <c r="Z147" s="4">
        <f t="shared" si="23"/>
        <v>0</v>
      </c>
    </row>
    <row r="148" spans="1:26" x14ac:dyDescent="0.3">
      <c r="A148" s="3" t="s">
        <v>13</v>
      </c>
      <c r="B148" s="5">
        <v>2923</v>
      </c>
      <c r="C148" s="5">
        <v>270</v>
      </c>
      <c r="D148" s="30">
        <v>1220.3824306769673</v>
      </c>
      <c r="E148" s="18">
        <v>0.95694427106172286</v>
      </c>
      <c r="F148" s="17">
        <v>42.6</v>
      </c>
      <c r="G148" s="18">
        <v>1.8679349568299397</v>
      </c>
      <c r="H148" s="13" t="s">
        <v>5</v>
      </c>
      <c r="I148" s="18">
        <v>0.183</v>
      </c>
      <c r="J148" s="7"/>
      <c r="K148" s="21">
        <v>3.5836299846315902E-5</v>
      </c>
      <c r="L148" s="5">
        <v>8200</v>
      </c>
      <c r="M148" s="18">
        <v>1.6671422130787923</v>
      </c>
      <c r="N148" s="13" t="s">
        <v>5</v>
      </c>
      <c r="P148" s="41">
        <f t="shared" si="24"/>
        <v>35.836299846315903</v>
      </c>
      <c r="R148" s="4">
        <f t="shared" si="25"/>
        <v>1.8679349568299397</v>
      </c>
      <c r="T148" s="41">
        <f t="shared" si="26"/>
        <v>1.546084127974755</v>
      </c>
      <c r="U148" s="41">
        <f t="shared" si="27"/>
        <v>1.8679349568299397</v>
      </c>
      <c r="V148" s="48">
        <f t="shared" si="22"/>
        <v>-0.17230301712506929</v>
      </c>
      <c r="W148" s="44">
        <f t="shared" si="28"/>
        <v>0.17230301712506929</v>
      </c>
      <c r="X148" s="46">
        <f t="shared" si="30"/>
        <v>1220.3824306769673</v>
      </c>
      <c r="Y148" s="47">
        <f t="shared" si="29"/>
        <v>5277</v>
      </c>
      <c r="Z148" s="4">
        <f t="shared" si="23"/>
        <v>0</v>
      </c>
    </row>
    <row r="149" spans="1:26" x14ac:dyDescent="0.3">
      <c r="A149" s="3" t="s">
        <v>13</v>
      </c>
      <c r="B149" s="5">
        <v>3789</v>
      </c>
      <c r="C149" s="5">
        <v>270</v>
      </c>
      <c r="D149" s="30">
        <v>2716.0284119008852</v>
      </c>
      <c r="E149" s="18">
        <v>0.91100000000000003</v>
      </c>
      <c r="F149" s="17">
        <v>46.088188442211049</v>
      </c>
      <c r="G149" s="18">
        <v>2.8817680081356842</v>
      </c>
      <c r="H149" s="13" t="s">
        <v>5</v>
      </c>
      <c r="I149" s="18">
        <v>0.16739999999999999</v>
      </c>
      <c r="J149" s="7"/>
      <c r="K149" s="21">
        <v>6.0317517366866591E-5</v>
      </c>
      <c r="L149" s="5">
        <v>6691</v>
      </c>
      <c r="M149" s="18">
        <v>2.5504739334005579</v>
      </c>
      <c r="N149" s="13" t="s">
        <v>5</v>
      </c>
      <c r="P149" s="41">
        <f t="shared" si="24"/>
        <v>60.317517366866589</v>
      </c>
      <c r="R149" s="4">
        <f t="shared" si="25"/>
        <v>2.8817680081356842</v>
      </c>
      <c r="T149" s="41">
        <f t="shared" si="26"/>
        <v>2.4190201515166545</v>
      </c>
      <c r="U149" s="41">
        <f t="shared" si="27"/>
        <v>2.8817680081356842</v>
      </c>
      <c r="V149" s="48">
        <f t="shared" si="22"/>
        <v>-0.16057776174647639</v>
      </c>
      <c r="W149" s="44">
        <f t="shared" si="28"/>
        <v>0.16057776174647639</v>
      </c>
      <c r="X149" s="46">
        <f t="shared" si="30"/>
        <v>2716.0284119008852</v>
      </c>
      <c r="Y149" s="47">
        <f t="shared" si="29"/>
        <v>2902</v>
      </c>
      <c r="Z149" s="4">
        <f t="shared" si="23"/>
        <v>0</v>
      </c>
    </row>
    <row r="150" spans="1:26" x14ac:dyDescent="0.3">
      <c r="A150" s="3" t="s">
        <v>13</v>
      </c>
      <c r="B150" s="5">
        <v>2356</v>
      </c>
      <c r="C150" s="5">
        <v>234</v>
      </c>
      <c r="D150" s="30">
        <v>997</v>
      </c>
      <c r="E150" s="18">
        <v>1.05</v>
      </c>
      <c r="F150" s="17">
        <v>42.5</v>
      </c>
      <c r="G150" s="18">
        <v>1.6846951018052452</v>
      </c>
      <c r="H150" s="13" t="s">
        <v>5</v>
      </c>
      <c r="I150" s="18">
        <v>0.23200000000000001</v>
      </c>
      <c r="J150" s="7"/>
      <c r="K150" s="21">
        <v>2.6910915673748293E-5</v>
      </c>
      <c r="L150" s="5">
        <v>7500</v>
      </c>
      <c r="M150" s="18">
        <v>1.547083293592789</v>
      </c>
      <c r="N150" s="13" t="s">
        <v>5</v>
      </c>
      <c r="P150" s="41">
        <f t="shared" si="24"/>
        <v>26.910915673748292</v>
      </c>
      <c r="R150" s="4">
        <f t="shared" si="25"/>
        <v>1.6846951018052452</v>
      </c>
      <c r="T150" s="41">
        <f t="shared" si="26"/>
        <v>1.4669051608717643</v>
      </c>
      <c r="U150" s="41">
        <f t="shared" si="27"/>
        <v>1.6846951018052452</v>
      </c>
      <c r="V150" s="48">
        <f t="shared" si="22"/>
        <v>-0.12927558268561878</v>
      </c>
      <c r="W150" s="44">
        <f t="shared" si="28"/>
        <v>0.12927558268561878</v>
      </c>
      <c r="X150" s="46">
        <f t="shared" si="30"/>
        <v>997</v>
      </c>
      <c r="Y150" s="47">
        <f t="shared" si="29"/>
        <v>5144</v>
      </c>
      <c r="Z150" s="4">
        <f t="shared" si="23"/>
        <v>0</v>
      </c>
    </row>
    <row r="151" spans="1:26" x14ac:dyDescent="0.3">
      <c r="A151" s="3" t="s">
        <v>13</v>
      </c>
      <c r="B151" s="5">
        <v>2212</v>
      </c>
      <c r="C151" s="5">
        <v>234</v>
      </c>
      <c r="D151" s="30">
        <v>847.10507033279407</v>
      </c>
      <c r="E151" s="18">
        <v>1.042</v>
      </c>
      <c r="F151" s="17">
        <v>41.8</v>
      </c>
      <c r="G151" s="18">
        <v>1.5865404013686017</v>
      </c>
      <c r="H151" s="13" t="s">
        <v>5</v>
      </c>
      <c r="I151" s="18">
        <v>0.245</v>
      </c>
      <c r="J151" s="7"/>
      <c r="K151" s="21">
        <v>2.0657461797034198E-5</v>
      </c>
      <c r="L151" s="5">
        <v>7500</v>
      </c>
      <c r="M151" s="18">
        <v>1.4710532679434376</v>
      </c>
      <c r="N151" s="13" t="s">
        <v>5</v>
      </c>
      <c r="P151" s="41">
        <f t="shared" si="24"/>
        <v>20.657461797034198</v>
      </c>
      <c r="R151" s="4">
        <f t="shared" si="25"/>
        <v>1.5865404013686017</v>
      </c>
      <c r="T151" s="41">
        <f t="shared" si="26"/>
        <v>1.4223623832505039</v>
      </c>
      <c r="U151" s="41">
        <f t="shared" si="27"/>
        <v>1.5865404013686017</v>
      </c>
      <c r="V151" s="48">
        <f t="shared" si="22"/>
        <v>-0.10348177580380084</v>
      </c>
      <c r="W151" s="44">
        <f t="shared" si="28"/>
        <v>0.10348177580380084</v>
      </c>
      <c r="X151" s="46">
        <f t="shared" si="30"/>
        <v>847.10507033279407</v>
      </c>
      <c r="Y151" s="47">
        <f t="shared" si="29"/>
        <v>5288</v>
      </c>
      <c r="Z151" s="4">
        <f t="shared" si="23"/>
        <v>0</v>
      </c>
    </row>
    <row r="152" spans="1:26" x14ac:dyDescent="0.3">
      <c r="A152" s="3" t="s">
        <v>13</v>
      </c>
      <c r="B152" s="5">
        <v>3310</v>
      </c>
      <c r="C152" s="5">
        <v>240</v>
      </c>
      <c r="D152" s="30">
        <v>1471.8214907124384</v>
      </c>
      <c r="E152" s="18">
        <v>0.84899999999999998</v>
      </c>
      <c r="F152" s="17">
        <v>44.7</v>
      </c>
      <c r="G152" s="18">
        <v>1.93272514077489</v>
      </c>
      <c r="H152" s="13" t="s">
        <v>5</v>
      </c>
      <c r="I152" s="18">
        <v>0.128</v>
      </c>
      <c r="J152" s="7"/>
      <c r="K152" s="21">
        <v>3.481969076520409E-5</v>
      </c>
      <c r="L152" s="5">
        <v>5500</v>
      </c>
      <c r="M152" s="18">
        <v>1.8178851069538626</v>
      </c>
      <c r="N152" s="13" t="s">
        <v>5</v>
      </c>
      <c r="P152" s="41">
        <f t="shared" si="24"/>
        <v>34.819690765204093</v>
      </c>
      <c r="R152" s="4">
        <f t="shared" si="25"/>
        <v>1.93272514077489</v>
      </c>
      <c r="T152" s="41">
        <f t="shared" si="26"/>
        <v>1.7908240450084014</v>
      </c>
      <c r="U152" s="41">
        <f t="shared" si="27"/>
        <v>1.93272514077489</v>
      </c>
      <c r="V152" s="48">
        <f t="shared" si="22"/>
        <v>-7.3420215204318184E-2</v>
      </c>
      <c r="W152" s="44">
        <f t="shared" si="28"/>
        <v>7.3420215204318184E-2</v>
      </c>
      <c r="X152" s="46">
        <f t="shared" si="30"/>
        <v>1471.8214907124384</v>
      </c>
      <c r="Y152" s="47">
        <f t="shared" si="29"/>
        <v>2190</v>
      </c>
      <c r="Z152" s="4">
        <f t="shared" si="23"/>
        <v>0</v>
      </c>
    </row>
    <row r="153" spans="1:26" x14ac:dyDescent="0.3">
      <c r="A153" s="3" t="s">
        <v>13</v>
      </c>
      <c r="B153" s="5">
        <v>3067</v>
      </c>
      <c r="C153" s="5">
        <v>242</v>
      </c>
      <c r="D153" s="30">
        <v>1195.9951434878585</v>
      </c>
      <c r="E153" s="18">
        <v>0.91600000000000004</v>
      </c>
      <c r="F153" s="17">
        <v>40.9</v>
      </c>
      <c r="G153" s="18">
        <v>1.7486462426644702</v>
      </c>
      <c r="H153" s="13" t="s">
        <v>5</v>
      </c>
      <c r="I153" s="18">
        <v>0.17599999999999999</v>
      </c>
      <c r="J153" s="7"/>
      <c r="K153" s="21">
        <v>2.6646440917223094E-5</v>
      </c>
      <c r="L153" s="5">
        <v>7528</v>
      </c>
      <c r="M153" s="18">
        <v>1.6073638122571077</v>
      </c>
      <c r="N153" s="13" t="s">
        <v>5</v>
      </c>
      <c r="P153" s="41">
        <f t="shared" si="24"/>
        <v>26.646440917223092</v>
      </c>
      <c r="R153" s="4">
        <f t="shared" si="25"/>
        <v>1.7486462426644702</v>
      </c>
      <c r="T153" s="41">
        <f t="shared" si="26"/>
        <v>1.5526639607208883</v>
      </c>
      <c r="U153" s="41">
        <f t="shared" si="27"/>
        <v>1.7486462426644702</v>
      </c>
      <c r="V153" s="48">
        <f t="shared" si="22"/>
        <v>-0.11207657510243879</v>
      </c>
      <c r="W153" s="44">
        <f t="shared" si="28"/>
        <v>0.11207657510243879</v>
      </c>
      <c r="X153" s="46">
        <f t="shared" si="30"/>
        <v>1195.9951434878585</v>
      </c>
      <c r="Y153" s="47">
        <f t="shared" si="29"/>
        <v>4461</v>
      </c>
      <c r="Z153" s="4">
        <f t="shared" si="23"/>
        <v>0</v>
      </c>
    </row>
    <row r="154" spans="1:26" x14ac:dyDescent="0.3">
      <c r="A154" s="3" t="s">
        <v>13</v>
      </c>
      <c r="B154" s="5">
        <v>3149</v>
      </c>
      <c r="C154" s="5">
        <v>241</v>
      </c>
      <c r="D154" s="30">
        <v>1302.9698972755696</v>
      </c>
      <c r="E154" s="18">
        <v>0.88902905853998426</v>
      </c>
      <c r="F154" s="17">
        <v>42.8</v>
      </c>
      <c r="G154" s="18">
        <v>1.8582176927835234</v>
      </c>
      <c r="H154" s="13" t="s">
        <v>5</v>
      </c>
      <c r="I154" s="18">
        <v>0.156</v>
      </c>
      <c r="J154" s="7"/>
      <c r="K154" s="21">
        <v>3.3405927508536401E-5</v>
      </c>
      <c r="L154" s="5">
        <v>6840</v>
      </c>
      <c r="M154" s="18">
        <v>1.7148134475218746</v>
      </c>
      <c r="N154" s="13" t="s">
        <v>5</v>
      </c>
      <c r="P154" s="41">
        <f t="shared" si="24"/>
        <v>33.405927508536401</v>
      </c>
      <c r="R154" s="4">
        <f t="shared" si="25"/>
        <v>1.8582176927835234</v>
      </c>
      <c r="T154" s="41">
        <f t="shared" si="26"/>
        <v>1.6426594104427774</v>
      </c>
      <c r="U154" s="41">
        <f t="shared" si="27"/>
        <v>1.8582176927835234</v>
      </c>
      <c r="V154" s="48">
        <f t="shared" si="22"/>
        <v>-0.11600270688298624</v>
      </c>
      <c r="W154" s="44">
        <f t="shared" si="28"/>
        <v>0.11600270688298624</v>
      </c>
      <c r="X154" s="46">
        <f t="shared" si="30"/>
        <v>1302.9698972755696</v>
      </c>
      <c r="Y154" s="47">
        <f t="shared" si="29"/>
        <v>3691</v>
      </c>
      <c r="Z154" s="4">
        <f t="shared" si="23"/>
        <v>0</v>
      </c>
    </row>
    <row r="155" spans="1:26" x14ac:dyDescent="0.3">
      <c r="A155" s="3" t="s">
        <v>13</v>
      </c>
      <c r="B155" s="5">
        <v>3005</v>
      </c>
      <c r="C155" s="5">
        <v>242</v>
      </c>
      <c r="D155" s="30">
        <v>1290.7743124026983</v>
      </c>
      <c r="E155" s="18">
        <v>0.90783856762258497</v>
      </c>
      <c r="F155" s="17">
        <v>44.9</v>
      </c>
      <c r="G155" s="18">
        <v>1.8594969644768309</v>
      </c>
      <c r="H155" s="13" t="s">
        <v>5</v>
      </c>
      <c r="I155" s="18">
        <v>0.14699999999999999</v>
      </c>
      <c r="J155" s="7"/>
      <c r="K155" s="21">
        <v>2.9842397655878901E-5</v>
      </c>
      <c r="L155" s="5">
        <v>6577</v>
      </c>
      <c r="M155" s="18">
        <v>2.1945895929954657</v>
      </c>
      <c r="N155" s="13" t="s">
        <v>5</v>
      </c>
      <c r="P155" s="41">
        <f t="shared" si="24"/>
        <v>29.842397655878901</v>
      </c>
      <c r="R155" s="4">
        <f t="shared" si="25"/>
        <v>1.8594969644768309</v>
      </c>
      <c r="T155" s="41">
        <f t="shared" si="26"/>
        <v>1.6714791575885344</v>
      </c>
      <c r="U155" s="41">
        <f t="shared" si="27"/>
        <v>1.8594969644768309</v>
      </c>
      <c r="V155" s="48">
        <f t="shared" si="22"/>
        <v>-0.1011121881240582</v>
      </c>
      <c r="W155" s="44">
        <f t="shared" si="28"/>
        <v>0.1011121881240582</v>
      </c>
      <c r="X155" s="46">
        <f t="shared" si="30"/>
        <v>1290.7743124026983</v>
      </c>
      <c r="Y155" s="47">
        <f t="shared" si="29"/>
        <v>3572</v>
      </c>
      <c r="Z155" s="4">
        <f t="shared" si="23"/>
        <v>0</v>
      </c>
    </row>
    <row r="156" spans="1:26" x14ac:dyDescent="0.3">
      <c r="A156" s="3" t="s">
        <v>13</v>
      </c>
      <c r="B156" s="5">
        <v>3609</v>
      </c>
      <c r="C156" s="5">
        <v>240</v>
      </c>
      <c r="D156" s="30">
        <v>1830</v>
      </c>
      <c r="E156" s="18">
        <v>0.99679574727810316</v>
      </c>
      <c r="F156" s="17">
        <v>41.4</v>
      </c>
      <c r="G156" s="18">
        <v>2.2355892603576124</v>
      </c>
      <c r="H156" s="13" t="s">
        <v>5</v>
      </c>
      <c r="I156" s="18">
        <v>0.13567425546815229</v>
      </c>
      <c r="J156" s="7"/>
      <c r="K156" s="21">
        <v>4.0392901023486177E-5</v>
      </c>
      <c r="L156" s="5">
        <v>6815</v>
      </c>
      <c r="M156" s="18">
        <v>2.0624873723608794</v>
      </c>
      <c r="N156" s="13" t="s">
        <v>5</v>
      </c>
      <c r="P156" s="41">
        <f t="shared" si="24"/>
        <v>40.392901023486175</v>
      </c>
      <c r="R156" s="4">
        <f t="shared" si="25"/>
        <v>2.2355892603576124</v>
      </c>
      <c r="T156" s="41">
        <f t="shared" si="26"/>
        <v>1.9640431964333835</v>
      </c>
      <c r="U156" s="41">
        <f t="shared" si="27"/>
        <v>2.2355892603576124</v>
      </c>
      <c r="V156" s="48">
        <f t="shared" si="22"/>
        <v>-0.12146509590978775</v>
      </c>
      <c r="W156" s="44">
        <f t="shared" si="28"/>
        <v>0.12146509590978775</v>
      </c>
      <c r="X156" s="46">
        <f t="shared" si="30"/>
        <v>1830</v>
      </c>
      <c r="Y156" s="47">
        <f t="shared" si="29"/>
        <v>3206</v>
      </c>
      <c r="Z156" s="4">
        <f t="shared" si="23"/>
        <v>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2095-9416-43BB-859D-6ADF82187113}">
  <sheetPr>
    <tabColor rgb="FF00B050"/>
  </sheetPr>
  <dimension ref="A1:T173"/>
  <sheetViews>
    <sheetView tabSelected="1" zoomScale="120" zoomScaleNormal="120" workbookViewId="0">
      <selection activeCell="B14" sqref="B14"/>
    </sheetView>
  </sheetViews>
  <sheetFormatPr defaultRowHeight="15" x14ac:dyDescent="0.25"/>
  <cols>
    <col min="2" max="2" width="13.7109375" customWidth="1"/>
    <col min="12" max="12" width="8.85546875" bestFit="1" customWidth="1"/>
    <col min="13" max="13" width="11.5703125" bestFit="1" customWidth="1"/>
    <col min="14" max="14" width="14.85546875" bestFit="1" customWidth="1"/>
    <col min="15" max="15" width="25.85546875" bestFit="1" customWidth="1"/>
    <col min="19" max="19" width="25.85546875" bestFit="1" customWidth="1"/>
  </cols>
  <sheetData>
    <row r="1" spans="1:20" x14ac:dyDescent="0.25">
      <c r="A1" t="s">
        <v>27</v>
      </c>
      <c r="B1" s="49">
        <v>-0.20154420000000001</v>
      </c>
    </row>
    <row r="2" spans="1:20" x14ac:dyDescent="0.25">
      <c r="A2" t="s">
        <v>28</v>
      </c>
      <c r="B2" s="49">
        <v>2.4699059999999998E-2</v>
      </c>
    </row>
    <row r="3" spans="1:20" x14ac:dyDescent="0.25">
      <c r="A3" t="s">
        <v>29</v>
      </c>
      <c r="B3" s="49">
        <v>-3.8203109999999998E-2</v>
      </c>
      <c r="R3" s="50"/>
      <c r="S3" s="52" t="s">
        <v>49</v>
      </c>
      <c r="T3" s="52" t="s">
        <v>48</v>
      </c>
    </row>
    <row r="4" spans="1:20" x14ac:dyDescent="0.25">
      <c r="A4" t="s">
        <v>30</v>
      </c>
      <c r="B4" s="49">
        <v>-8.8417320000000004</v>
      </c>
      <c r="R4" s="50" t="s">
        <v>47</v>
      </c>
      <c r="S4" s="51">
        <f>(100/COUNT(O20:O173))*SUM(P20:P173)</f>
        <v>1.3919335649635138</v>
      </c>
      <c r="T4" s="51">
        <v>1.4261999999999999</v>
      </c>
    </row>
    <row r="5" spans="1:20" x14ac:dyDescent="0.25">
      <c r="A5" t="s">
        <v>31</v>
      </c>
      <c r="B5" s="49">
        <v>4.4461740000000001</v>
      </c>
      <c r="N5" t="s">
        <v>44</v>
      </c>
      <c r="O5" s="49">
        <v>9.9999999999999995E-7</v>
      </c>
    </row>
    <row r="6" spans="1:20" x14ac:dyDescent="0.25">
      <c r="A6" t="s">
        <v>32</v>
      </c>
      <c r="B6" s="49">
        <v>-0.58476280000000003</v>
      </c>
      <c r="N6" t="s">
        <v>45</v>
      </c>
      <c r="O6">
        <v>10</v>
      </c>
    </row>
    <row r="7" spans="1:20" x14ac:dyDescent="0.25">
      <c r="A7" t="s">
        <v>33</v>
      </c>
      <c r="B7" s="49">
        <v>1.1684099999999999</v>
      </c>
    </row>
    <row r="8" spans="1:20" x14ac:dyDescent="0.25">
      <c r="A8" t="s">
        <v>34</v>
      </c>
      <c r="B8" s="49">
        <v>-0.41284349999999997</v>
      </c>
      <c r="N8" t="s">
        <v>52</v>
      </c>
      <c r="O8">
        <f>COUNT(O20:O144)</f>
        <v>125</v>
      </c>
    </row>
    <row r="9" spans="1:20" x14ac:dyDescent="0.25">
      <c r="A9" t="s">
        <v>35</v>
      </c>
      <c r="B9" s="49">
        <v>3.803488E-2</v>
      </c>
    </row>
    <row r="10" spans="1:20" x14ac:dyDescent="0.25">
      <c r="A10" t="s">
        <v>36</v>
      </c>
      <c r="B10" s="49">
        <v>1.1299760000000001</v>
      </c>
    </row>
    <row r="11" spans="1:20" x14ac:dyDescent="0.25">
      <c r="A11" t="s">
        <v>37</v>
      </c>
      <c r="B11" s="49">
        <v>2.7941130000000002E-2</v>
      </c>
    </row>
    <row r="12" spans="1:20" x14ac:dyDescent="0.25">
      <c r="A12" t="s">
        <v>38</v>
      </c>
      <c r="B12" s="49">
        <v>-6.0519139999999999E-2</v>
      </c>
    </row>
    <row r="13" spans="1:20" x14ac:dyDescent="0.25">
      <c r="A13" t="s">
        <v>39</v>
      </c>
      <c r="B13" s="49">
        <v>32.054380000000002</v>
      </c>
    </row>
    <row r="14" spans="1:20" x14ac:dyDescent="0.25">
      <c r="A14" t="s">
        <v>40</v>
      </c>
      <c r="B14" s="49">
        <v>-5.1833419999999997</v>
      </c>
    </row>
    <row r="15" spans="1:20" x14ac:dyDescent="0.25">
      <c r="A15" t="s">
        <v>41</v>
      </c>
      <c r="B15" s="49">
        <v>0.257521</v>
      </c>
    </row>
    <row r="16" spans="1:20" x14ac:dyDescent="0.25">
      <c r="A16" t="s">
        <v>42</v>
      </c>
    </row>
    <row r="18" spans="1:16" ht="15.75" x14ac:dyDescent="0.3">
      <c r="A18" s="3"/>
      <c r="B18" s="1"/>
      <c r="C18" s="1"/>
      <c r="D18" s="1"/>
      <c r="E18" s="1"/>
      <c r="F18" s="2"/>
      <c r="G18" s="1"/>
      <c r="H18" s="1"/>
      <c r="I18" s="1"/>
      <c r="J18" s="1"/>
      <c r="K18" s="1"/>
      <c r="L18" s="1"/>
      <c r="M18" s="1"/>
      <c r="N18" s="1"/>
    </row>
    <row r="19" spans="1:16" ht="126" x14ac:dyDescent="0.3">
      <c r="A19" s="11" t="s">
        <v>17</v>
      </c>
      <c r="B19" s="12" t="s">
        <v>1</v>
      </c>
      <c r="C19" s="12" t="s">
        <v>4</v>
      </c>
      <c r="D19" s="12" t="s">
        <v>7</v>
      </c>
      <c r="E19" s="12" t="s">
        <v>3</v>
      </c>
      <c r="F19" s="15" t="s">
        <v>0</v>
      </c>
      <c r="G19" s="12" t="s">
        <v>11</v>
      </c>
      <c r="H19" s="12" t="s">
        <v>8</v>
      </c>
      <c r="I19" s="12" t="s">
        <v>6</v>
      </c>
      <c r="J19" s="12"/>
      <c r="K19" s="12" t="s">
        <v>12</v>
      </c>
      <c r="L19" s="12" t="s">
        <v>2</v>
      </c>
      <c r="M19" s="12" t="s">
        <v>10</v>
      </c>
      <c r="N19" s="12" t="s">
        <v>9</v>
      </c>
      <c r="O19" s="12" t="s">
        <v>51</v>
      </c>
      <c r="P19" s="12" t="s">
        <v>43</v>
      </c>
    </row>
    <row r="20" spans="1:16" ht="15.75" x14ac:dyDescent="0.3">
      <c r="A20" s="4" t="s">
        <v>15</v>
      </c>
      <c r="B20" s="14">
        <v>325.02499999999998</v>
      </c>
      <c r="C20" s="30">
        <v>90</v>
      </c>
      <c r="D20" s="20">
        <v>224</v>
      </c>
      <c r="E20" s="19">
        <v>1.2951339285714287</v>
      </c>
      <c r="F20" s="13">
        <v>42.1</v>
      </c>
      <c r="G20" s="31">
        <v>1.1680999999999999</v>
      </c>
      <c r="H20" s="13" t="s">
        <v>5</v>
      </c>
      <c r="I20" s="32">
        <v>1.1719999999999999</v>
      </c>
      <c r="J20" s="32"/>
      <c r="K20" s="6">
        <v>1.03558E-5</v>
      </c>
      <c r="L20" s="14">
        <v>1297.0250000000001</v>
      </c>
      <c r="M20" s="31">
        <v>1.156944645</v>
      </c>
      <c r="N20" s="13" t="s">
        <v>5</v>
      </c>
      <c r="O20" s="49">
        <f>EXP(    ($B$1+$B$2*LN(C20) + $B$3*LN(C20)^2)   *   ($B$4+$B$5*LN(F20) +$B$6*LN(F20)^2)    *  ($B$7+$B$8*LN(D20) +$B$9*LN(D20)^2)    *  ($B$10+$B$11*LN(E20) +$B$12*LN(E20)^2)   *  ($B$13+$B$14*LN(B20) +$B$15*LN(B20)^2)   )</f>
        <v>1.2185818368473211</v>
      </c>
      <c r="P20">
        <f>ABS((G20-O20)/O20)</f>
        <v>4.1426710394704656E-2</v>
      </c>
    </row>
    <row r="21" spans="1:16" ht="15.75" x14ac:dyDescent="0.3">
      <c r="A21" s="3" t="s">
        <v>14</v>
      </c>
      <c r="B21" s="24">
        <v>1614.9959999999999</v>
      </c>
      <c r="C21" s="5">
        <v>175</v>
      </c>
      <c r="D21" s="25">
        <v>440</v>
      </c>
      <c r="E21" s="27">
        <v>0.97651249999999989</v>
      </c>
      <c r="F21" s="29">
        <v>37.82</v>
      </c>
      <c r="G21" s="26">
        <v>1.2887999999999999</v>
      </c>
      <c r="H21" s="13" t="s">
        <v>5</v>
      </c>
      <c r="I21" s="27">
        <v>1.107</v>
      </c>
      <c r="J21" s="7"/>
      <c r="K21" s="37">
        <v>7.8406999999999993E-6</v>
      </c>
      <c r="L21" s="24">
        <v>5514.9960000000001</v>
      </c>
      <c r="M21" s="18">
        <v>1.2410628480000001</v>
      </c>
      <c r="N21" s="13" t="s">
        <v>5</v>
      </c>
      <c r="O21" s="49">
        <f t="shared" ref="O21:O84" si="0">EXP(    ($B$1+$B$2*LN(C21) + $B$3*LN(C21)^2)   *   ($B$4+$B$5*LN(F21) +$B$6*LN(F21)^2)    *  ($B$7+$B$8*LN(D21) +$B$9*LN(D21)^2)    *  ($B$10+$B$11*LN(E21) +$B$12*LN(E21)^2)   *  ($B$13+$B$14*LN(B21) +$B$15*LN(B21)^2)   )</f>
        <v>1.2890840896730209</v>
      </c>
      <c r="P21">
        <f>ABS((G21-O21)/O21)</f>
        <v>2.203810250214318E-4</v>
      </c>
    </row>
    <row r="22" spans="1:16" ht="15.75" x14ac:dyDescent="0.3">
      <c r="A22" s="3" t="s">
        <v>14</v>
      </c>
      <c r="B22" s="24">
        <v>1614.9959999999999</v>
      </c>
      <c r="C22" s="5">
        <v>165</v>
      </c>
      <c r="D22" s="25">
        <v>441</v>
      </c>
      <c r="E22" s="27">
        <v>0.9594061224489796</v>
      </c>
      <c r="F22" s="29">
        <v>37.9</v>
      </c>
      <c r="G22" s="26">
        <v>1.2822</v>
      </c>
      <c r="H22" s="13" t="s">
        <v>5</v>
      </c>
      <c r="I22" s="26">
        <v>0.91500000000000004</v>
      </c>
      <c r="J22" s="7"/>
      <c r="K22" s="37">
        <v>8.8419999999999994E-6</v>
      </c>
      <c r="L22" s="24">
        <v>3964.9960000000001</v>
      </c>
      <c r="M22" s="18">
        <v>1.2518759700000002</v>
      </c>
      <c r="N22" s="13" t="s">
        <v>5</v>
      </c>
      <c r="O22" s="49">
        <f t="shared" si="0"/>
        <v>1.2826993873259771</v>
      </c>
      <c r="P22">
        <f>ABS((G22-O22)/O22)</f>
        <v>3.893253017124778E-4</v>
      </c>
    </row>
    <row r="23" spans="1:16" ht="15.75" x14ac:dyDescent="0.3">
      <c r="A23" s="3" t="s">
        <v>14</v>
      </c>
      <c r="B23" s="24">
        <v>1714.9959999999999</v>
      </c>
      <c r="C23" s="5">
        <v>170</v>
      </c>
      <c r="D23" s="25">
        <v>461</v>
      </c>
      <c r="E23" s="27">
        <v>0.98686008676789583</v>
      </c>
      <c r="F23" s="29">
        <v>38.33</v>
      </c>
      <c r="G23" s="26">
        <v>1.2956000000000001</v>
      </c>
      <c r="H23" s="13" t="s">
        <v>5</v>
      </c>
      <c r="I23" s="26">
        <v>0.98399999999999999</v>
      </c>
      <c r="J23" s="7"/>
      <c r="K23" s="37">
        <v>8.3399999999999998E-6</v>
      </c>
      <c r="L23" s="24">
        <v>4814.9960000000001</v>
      </c>
      <c r="M23" s="18">
        <v>1.2562137600000001</v>
      </c>
      <c r="N23" s="13" t="s">
        <v>5</v>
      </c>
      <c r="O23" s="49">
        <f t="shared" si="0"/>
        <v>1.2925190762780285</v>
      </c>
      <c r="P23">
        <f>ABS((G23-O23)/O23)</f>
        <v>2.3836582210016266E-3</v>
      </c>
    </row>
    <row r="24" spans="1:16" ht="15.75" x14ac:dyDescent="0.3">
      <c r="A24" s="4" t="s">
        <v>15</v>
      </c>
      <c r="B24" s="14">
        <v>1265.0250000000001</v>
      </c>
      <c r="C24" s="30">
        <v>157</v>
      </c>
      <c r="D24" s="20">
        <v>338</v>
      </c>
      <c r="E24" s="19">
        <v>0.82463204747774488</v>
      </c>
      <c r="F24" s="13">
        <v>43.65</v>
      </c>
      <c r="G24" s="31">
        <v>1.2838000000000001</v>
      </c>
      <c r="H24" s="13" t="s">
        <v>5</v>
      </c>
      <c r="I24" s="32">
        <v>0.56599999999999995</v>
      </c>
      <c r="J24" s="32"/>
      <c r="K24" s="6">
        <v>1.36184E-5</v>
      </c>
      <c r="L24" s="14">
        <v>3165.0250000000001</v>
      </c>
      <c r="M24" s="31">
        <v>1.2577</v>
      </c>
      <c r="N24" s="13" t="s">
        <v>5</v>
      </c>
      <c r="O24" s="49">
        <f t="shared" si="0"/>
        <v>1.2263481070499616</v>
      </c>
      <c r="P24">
        <f>ABS((G24-O24)/O24)</f>
        <v>4.684794849012467E-2</v>
      </c>
    </row>
    <row r="25" spans="1:16" ht="15.75" x14ac:dyDescent="0.3">
      <c r="A25" s="4" t="s">
        <v>15</v>
      </c>
      <c r="B25" s="14">
        <v>2115</v>
      </c>
      <c r="C25" s="30">
        <v>142</v>
      </c>
      <c r="D25" s="20">
        <v>564</v>
      </c>
      <c r="E25" s="19">
        <v>0.92616719858156027</v>
      </c>
      <c r="F25" s="13">
        <v>38.86</v>
      </c>
      <c r="G25" s="31">
        <v>1.3082</v>
      </c>
      <c r="H25" s="33" t="s">
        <v>5</v>
      </c>
      <c r="I25" s="32">
        <v>0.59299999999999997</v>
      </c>
      <c r="J25" s="32"/>
      <c r="K25" s="6">
        <v>1.2208800000000001E-5</v>
      </c>
      <c r="L25" s="14">
        <v>5968</v>
      </c>
      <c r="M25" s="31">
        <v>1.2613000000000001</v>
      </c>
      <c r="N25" s="13" t="s">
        <v>5</v>
      </c>
      <c r="O25" s="49">
        <f t="shared" si="0"/>
        <v>1.3146162698501507</v>
      </c>
      <c r="P25">
        <f>ABS((G25-O25)/O25)</f>
        <v>4.8807169037106309E-3</v>
      </c>
    </row>
    <row r="26" spans="1:16" ht="15.75" x14ac:dyDescent="0.3">
      <c r="A26" s="4" t="s">
        <v>15</v>
      </c>
      <c r="B26" s="14">
        <v>2215</v>
      </c>
      <c r="C26" s="30">
        <v>157</v>
      </c>
      <c r="D26" s="20">
        <v>694</v>
      </c>
      <c r="E26" s="19">
        <v>0.91650691642651272</v>
      </c>
      <c r="F26" s="13">
        <v>40.619999999999997</v>
      </c>
      <c r="G26" s="31">
        <v>1.3705000000000001</v>
      </c>
      <c r="H26" s="33" t="s">
        <v>5</v>
      </c>
      <c r="I26" s="32">
        <v>0.45300000000000001</v>
      </c>
      <c r="J26" s="32"/>
      <c r="K26" s="6">
        <v>1.46343E-5</v>
      </c>
      <c r="L26" s="14">
        <v>5916</v>
      </c>
      <c r="M26" s="31">
        <v>1.3181</v>
      </c>
      <c r="N26" s="13" t="s">
        <v>5</v>
      </c>
      <c r="O26" s="49">
        <f t="shared" si="0"/>
        <v>1.394003043706965</v>
      </c>
      <c r="P26">
        <f>ABS((G26-O26)/O26)</f>
        <v>1.6860109318316229E-2</v>
      </c>
    </row>
    <row r="27" spans="1:16" ht="15.75" x14ac:dyDescent="0.3">
      <c r="A27" s="4" t="s">
        <v>15</v>
      </c>
      <c r="B27" s="14">
        <v>2615</v>
      </c>
      <c r="C27" s="30">
        <v>156</v>
      </c>
      <c r="D27" s="20">
        <v>743</v>
      </c>
      <c r="E27" s="19">
        <v>0.89798317631224767</v>
      </c>
      <c r="F27" s="13">
        <v>40.68</v>
      </c>
      <c r="G27" s="31">
        <v>1.3936999999999999</v>
      </c>
      <c r="H27" s="13" t="s">
        <v>5</v>
      </c>
      <c r="I27" s="32">
        <v>0.38100000000000001</v>
      </c>
      <c r="J27" s="32"/>
      <c r="K27" s="6">
        <v>1.37521E-5</v>
      </c>
      <c r="L27" s="14">
        <v>6575</v>
      </c>
      <c r="M27" s="31">
        <v>1.3373999999999999</v>
      </c>
      <c r="N27" s="13" t="s">
        <v>5</v>
      </c>
      <c r="O27" s="49">
        <f t="shared" si="0"/>
        <v>1.4084890911022772</v>
      </c>
      <c r="P27">
        <f>ABS((G27-O27)/O27)</f>
        <v>1.0499968509307617E-2</v>
      </c>
    </row>
    <row r="28" spans="1:16" ht="15.75" x14ac:dyDescent="0.3">
      <c r="A28" s="3" t="s">
        <v>14</v>
      </c>
      <c r="B28" s="24">
        <v>2265</v>
      </c>
      <c r="C28" s="5">
        <v>165</v>
      </c>
      <c r="D28" s="24">
        <v>656</v>
      </c>
      <c r="E28" s="27">
        <v>0.92645137195121963</v>
      </c>
      <c r="F28" s="29">
        <v>37.130000000000003</v>
      </c>
      <c r="G28" s="26">
        <v>1.3793</v>
      </c>
      <c r="H28" s="13" t="s">
        <v>5</v>
      </c>
      <c r="I28" s="38">
        <v>0.74</v>
      </c>
      <c r="J28" s="7"/>
      <c r="K28" s="37">
        <v>1.0779500000000001E-5</v>
      </c>
      <c r="L28" s="24">
        <v>4015</v>
      </c>
      <c r="M28" s="18">
        <v>1.3487071260000001</v>
      </c>
      <c r="N28" s="13" t="s">
        <v>5</v>
      </c>
      <c r="O28" s="49">
        <f t="shared" si="0"/>
        <v>1.394363800746717</v>
      </c>
      <c r="P28">
        <f>ABS((G28-O28)/O28)</f>
        <v>1.0803350415902892E-2</v>
      </c>
    </row>
    <row r="29" spans="1:16" ht="15.75" x14ac:dyDescent="0.3">
      <c r="A29" s="4" t="s">
        <v>15</v>
      </c>
      <c r="B29" s="14">
        <v>2415</v>
      </c>
      <c r="C29" s="30">
        <v>137</v>
      </c>
      <c r="D29" s="20">
        <v>716</v>
      </c>
      <c r="E29" s="19">
        <v>0.8440983240223463</v>
      </c>
      <c r="F29" s="13">
        <v>37.92</v>
      </c>
      <c r="G29" s="31">
        <v>1.3903466158085649</v>
      </c>
      <c r="H29" s="13" t="s">
        <v>5</v>
      </c>
      <c r="I29" s="32">
        <v>0.56000000000000005</v>
      </c>
      <c r="J29" s="32"/>
      <c r="K29" s="6">
        <v>1.4001E-5</v>
      </c>
      <c r="L29" s="14">
        <v>4815</v>
      </c>
      <c r="M29" s="31">
        <v>1.352737733274451</v>
      </c>
      <c r="N29" s="13" t="s">
        <v>5</v>
      </c>
      <c r="O29" s="49">
        <f t="shared" si="0"/>
        <v>1.3892973574967957</v>
      </c>
      <c r="P29">
        <f>ABS((G29-O29)/O29)</f>
        <v>7.5524386921723731E-4</v>
      </c>
    </row>
    <row r="30" spans="1:16" ht="15.75" x14ac:dyDescent="0.3">
      <c r="A30" s="4" t="s">
        <v>15</v>
      </c>
      <c r="B30" s="14">
        <v>2515</v>
      </c>
      <c r="C30" s="30">
        <v>149</v>
      </c>
      <c r="D30" s="20">
        <v>761</v>
      </c>
      <c r="E30" s="19">
        <v>0.88659053876478311</v>
      </c>
      <c r="F30" s="13">
        <v>40.659999999999997</v>
      </c>
      <c r="G30" s="31">
        <v>1.4036</v>
      </c>
      <c r="H30" s="13" t="s">
        <v>5</v>
      </c>
      <c r="I30" s="32">
        <v>0.41199999999999998</v>
      </c>
      <c r="J30" s="32"/>
      <c r="K30" s="6">
        <v>1.3774100000000001E-5</v>
      </c>
      <c r="L30" s="14">
        <v>5309</v>
      </c>
      <c r="M30" s="31">
        <v>1.3613999999999999</v>
      </c>
      <c r="N30" s="13" t="s">
        <v>5</v>
      </c>
      <c r="O30" s="49">
        <f t="shared" si="0"/>
        <v>1.4139485586998988</v>
      </c>
      <c r="P30">
        <f>ABS((G30-O30)/O30)</f>
        <v>7.3189074922316369E-3</v>
      </c>
    </row>
    <row r="31" spans="1:16" ht="15.75" x14ac:dyDescent="0.3">
      <c r="A31" s="3" t="s">
        <v>14</v>
      </c>
      <c r="B31" s="24">
        <v>2327</v>
      </c>
      <c r="C31" s="5">
        <v>158</v>
      </c>
      <c r="D31" s="24">
        <v>734</v>
      </c>
      <c r="E31" s="27">
        <v>0.8943024523160763</v>
      </c>
      <c r="F31" s="28">
        <v>41.7</v>
      </c>
      <c r="G31" s="26">
        <v>1.4</v>
      </c>
      <c r="H31" s="13" t="s">
        <v>5</v>
      </c>
      <c r="I31" s="26">
        <v>0.55100000000000005</v>
      </c>
      <c r="J31" s="7"/>
      <c r="K31" s="37">
        <v>8.9183311020334792E-6</v>
      </c>
      <c r="L31" s="24">
        <v>4740</v>
      </c>
      <c r="M31" s="18">
        <v>1.364527444861539</v>
      </c>
      <c r="N31" s="13" t="s">
        <v>5</v>
      </c>
      <c r="O31" s="49">
        <f t="shared" si="0"/>
        <v>1.4113291155631384</v>
      </c>
      <c r="P31">
        <f>ABS((G31-O31)/O31)</f>
        <v>8.0272669487287344E-3</v>
      </c>
    </row>
    <row r="32" spans="1:16" ht="15.75" x14ac:dyDescent="0.3">
      <c r="A32" s="4" t="s">
        <v>15</v>
      </c>
      <c r="B32" s="14">
        <v>4215</v>
      </c>
      <c r="C32" s="30">
        <v>135</v>
      </c>
      <c r="D32" s="20">
        <f>(1607*1.0505+60)</f>
        <v>1748.1534999999999</v>
      </c>
      <c r="E32" s="19">
        <f>(1607*1.0505*0.7748+19*0.8601+40*1.4479)/(1607*1.0505+60)</f>
        <v>0.79068527552071366</v>
      </c>
      <c r="F32" s="13">
        <v>43.13</v>
      </c>
      <c r="G32" s="31">
        <v>1.3649</v>
      </c>
      <c r="H32" s="33" t="s">
        <v>5</v>
      </c>
      <c r="I32" s="32" t="s">
        <v>5</v>
      </c>
      <c r="J32" s="32"/>
      <c r="K32" s="6">
        <v>2.21206E-5</v>
      </c>
      <c r="L32" s="14">
        <v>4087</v>
      </c>
      <c r="M32" s="31">
        <v>1.3649</v>
      </c>
      <c r="N32" s="13" t="s">
        <v>5</v>
      </c>
      <c r="O32" s="49">
        <f t="shared" si="0"/>
        <v>1.8367600220443385</v>
      </c>
      <c r="P32">
        <f>ABS((G32-O32)/O32)</f>
        <v>0.2568980249903044</v>
      </c>
    </row>
    <row r="33" spans="1:16" ht="15.75" x14ac:dyDescent="0.3">
      <c r="A33" s="4" t="s">
        <v>15</v>
      </c>
      <c r="B33" s="14">
        <v>2865</v>
      </c>
      <c r="C33" s="30">
        <v>138</v>
      </c>
      <c r="D33" s="20">
        <v>848</v>
      </c>
      <c r="E33" s="19">
        <v>0.8846938679245282</v>
      </c>
      <c r="F33" s="13">
        <v>39.520000000000003</v>
      </c>
      <c r="G33" s="31">
        <v>1.4198</v>
      </c>
      <c r="H33" s="13" t="s">
        <v>5</v>
      </c>
      <c r="I33" s="32">
        <v>0.45600000000000002</v>
      </c>
      <c r="J33" s="32"/>
      <c r="K33" s="6">
        <v>1.3568600000000001E-5</v>
      </c>
      <c r="L33" s="14">
        <v>5612</v>
      </c>
      <c r="M33" s="31">
        <v>1.3776999999999999</v>
      </c>
      <c r="N33" s="13" t="s">
        <v>5</v>
      </c>
      <c r="O33" s="49">
        <f t="shared" si="0"/>
        <v>1.4434207600686912</v>
      </c>
      <c r="P33">
        <f>ABS((G33-O33)/O33)</f>
        <v>1.6364431441021534E-2</v>
      </c>
    </row>
    <row r="34" spans="1:16" ht="15.75" x14ac:dyDescent="0.3">
      <c r="A34" s="3" t="s">
        <v>14</v>
      </c>
      <c r="B34" s="24">
        <v>2364.6959999999999</v>
      </c>
      <c r="C34" s="5">
        <v>156</v>
      </c>
      <c r="D34" s="25">
        <v>779</v>
      </c>
      <c r="E34" s="27">
        <v>0.83803829145728648</v>
      </c>
      <c r="F34" s="29">
        <v>41.48</v>
      </c>
      <c r="G34" s="26">
        <v>1.4186000000000001</v>
      </c>
      <c r="H34" s="13" t="s">
        <v>5</v>
      </c>
      <c r="I34" s="26">
        <v>0.624</v>
      </c>
      <c r="J34" s="7"/>
      <c r="K34" s="37">
        <v>1.13891928347361E-5</v>
      </c>
      <c r="L34" s="24">
        <v>4087.6959999999999</v>
      </c>
      <c r="M34" s="18">
        <v>1.3859980276738082</v>
      </c>
      <c r="N34" s="13" t="s">
        <v>5</v>
      </c>
      <c r="O34" s="49">
        <f t="shared" si="0"/>
        <v>1.4335507868228139</v>
      </c>
      <c r="P34">
        <f>ABS((G34-O34)/O34)</f>
        <v>1.0429199272353175E-2</v>
      </c>
    </row>
    <row r="35" spans="1:16" ht="15.75" x14ac:dyDescent="0.3">
      <c r="A35" s="4" t="s">
        <v>15</v>
      </c>
      <c r="B35" s="14">
        <v>2835</v>
      </c>
      <c r="C35" s="30">
        <v>149</v>
      </c>
      <c r="D35" s="20">
        <v>840</v>
      </c>
      <c r="E35" s="19">
        <v>0.89454904761904763</v>
      </c>
      <c r="F35" s="13">
        <v>39.229999999999997</v>
      </c>
      <c r="G35" s="31">
        <v>1.4476</v>
      </c>
      <c r="H35" s="13" t="s">
        <v>5</v>
      </c>
      <c r="I35" s="32">
        <v>0.38700000000000001</v>
      </c>
      <c r="J35" s="32"/>
      <c r="K35" s="6">
        <v>1.46948E-5</v>
      </c>
      <c r="L35" s="14">
        <v>6021</v>
      </c>
      <c r="M35" s="31">
        <v>1.3939999999999999</v>
      </c>
      <c r="N35" s="13" t="s">
        <v>5</v>
      </c>
      <c r="O35" s="49">
        <f t="shared" si="0"/>
        <v>1.4558581059413982</v>
      </c>
      <c r="P35">
        <f>ABS((G35-O35)/O35)</f>
        <v>5.6723288538193615E-3</v>
      </c>
    </row>
    <row r="36" spans="1:16" ht="15.75" x14ac:dyDescent="0.3">
      <c r="A36" s="3" t="s">
        <v>14</v>
      </c>
      <c r="B36" s="24">
        <v>2551</v>
      </c>
      <c r="C36" s="5">
        <v>151</v>
      </c>
      <c r="D36" s="24">
        <v>828</v>
      </c>
      <c r="E36" s="26">
        <v>0.89849999999999997</v>
      </c>
      <c r="F36" s="28">
        <v>40.700000000000003</v>
      </c>
      <c r="G36" s="26">
        <v>1.427</v>
      </c>
      <c r="H36" s="13" t="s">
        <v>5</v>
      </c>
      <c r="I36" s="26">
        <v>0.51100000000000001</v>
      </c>
      <c r="J36" s="7"/>
      <c r="K36" s="37">
        <v>1.1764543174783324E-5</v>
      </c>
      <c r="L36" s="24">
        <v>3410</v>
      </c>
      <c r="M36" s="18">
        <v>1.411303</v>
      </c>
      <c r="N36" s="13" t="s">
        <v>5</v>
      </c>
      <c r="O36" s="49">
        <f t="shared" si="0"/>
        <v>1.4537870916223017</v>
      </c>
      <c r="P36">
        <f>ABS((G36-O36)/O36)</f>
        <v>1.8425732197422075E-2</v>
      </c>
    </row>
    <row r="37" spans="1:16" ht="15.75" x14ac:dyDescent="0.3">
      <c r="A37" s="4" t="s">
        <v>15</v>
      </c>
      <c r="B37" s="14">
        <v>2965</v>
      </c>
      <c r="C37" s="30">
        <v>164</v>
      </c>
      <c r="D37" s="20">
        <v>975</v>
      </c>
      <c r="E37" s="19">
        <v>0.86339910857758939</v>
      </c>
      <c r="F37" s="13">
        <v>40.47</v>
      </c>
      <c r="G37" s="31">
        <v>1.5153000000000001</v>
      </c>
      <c r="H37" s="13" t="s">
        <v>5</v>
      </c>
      <c r="I37" s="32">
        <v>0.36799999999999999</v>
      </c>
      <c r="J37" s="32"/>
      <c r="K37" s="6">
        <v>1.6968699999999999E-5</v>
      </c>
      <c r="L37" s="14">
        <v>8323</v>
      </c>
      <c r="M37" s="31">
        <v>1.4247000000000001</v>
      </c>
      <c r="N37" s="13" t="s">
        <v>5</v>
      </c>
      <c r="O37" s="49">
        <f t="shared" si="0"/>
        <v>1.5429464424983885</v>
      </c>
      <c r="P37">
        <f>ABS((G37-O37)/O37)</f>
        <v>1.7917953427872991E-2</v>
      </c>
    </row>
    <row r="38" spans="1:16" ht="15.75" x14ac:dyDescent="0.3">
      <c r="A38" s="3" t="s">
        <v>14</v>
      </c>
      <c r="B38" s="24">
        <v>2528</v>
      </c>
      <c r="C38" s="5">
        <v>153</v>
      </c>
      <c r="D38" s="24">
        <v>824</v>
      </c>
      <c r="E38" s="27">
        <v>0.87901334951456311</v>
      </c>
      <c r="F38" s="28">
        <v>39.299999999999997</v>
      </c>
      <c r="G38" s="26">
        <v>1.45</v>
      </c>
      <c r="H38" s="13" t="s">
        <v>5</v>
      </c>
      <c r="I38" s="26">
        <v>0.48899999999999999</v>
      </c>
      <c r="J38" s="7"/>
      <c r="K38" s="37">
        <v>1.11352235969781E-5</v>
      </c>
      <c r="L38" s="24">
        <v>3515</v>
      </c>
      <c r="M38" s="18">
        <v>1.4324304762790159</v>
      </c>
      <c r="N38" s="13" t="s">
        <v>5</v>
      </c>
      <c r="O38" s="49">
        <f t="shared" si="0"/>
        <v>1.4606475090869873</v>
      </c>
      <c r="P38">
        <f>ABS((G38-O38)/O38)</f>
        <v>7.2895815182971741E-3</v>
      </c>
    </row>
    <row r="39" spans="1:16" ht="15.75" x14ac:dyDescent="0.3">
      <c r="A39" s="3" t="s">
        <v>14</v>
      </c>
      <c r="B39" s="24">
        <v>2665</v>
      </c>
      <c r="C39" s="5">
        <v>125</v>
      </c>
      <c r="D39" s="24">
        <v>819.2574068129552</v>
      </c>
      <c r="E39" s="26">
        <v>1.0250941951674821</v>
      </c>
      <c r="F39" s="29">
        <v>37.68</v>
      </c>
      <c r="G39" s="26">
        <v>1.4500573550223188</v>
      </c>
      <c r="H39" s="13" t="s">
        <v>5</v>
      </c>
      <c r="I39" s="26">
        <v>0.56599999999999995</v>
      </c>
      <c r="J39" s="7"/>
      <c r="K39" s="37">
        <v>1.0809348749147172E-5</v>
      </c>
      <c r="L39" s="24">
        <v>3615</v>
      </c>
      <c r="M39" s="18">
        <v>1.4336871668987603</v>
      </c>
      <c r="N39" s="13" t="s">
        <v>5</v>
      </c>
      <c r="O39" s="49">
        <f t="shared" si="0"/>
        <v>1.4283603168569525</v>
      </c>
      <c r="P39">
        <f>ABS((G39-O39)/O39)</f>
        <v>1.5190171491959191E-2</v>
      </c>
    </row>
    <row r="40" spans="1:16" ht="15.75" x14ac:dyDescent="0.3">
      <c r="A40" s="3" t="s">
        <v>14</v>
      </c>
      <c r="B40" s="24">
        <v>2562</v>
      </c>
      <c r="C40" s="5">
        <v>153</v>
      </c>
      <c r="D40" s="24">
        <v>878</v>
      </c>
      <c r="E40" s="27">
        <v>0.86815831435079716</v>
      </c>
      <c r="F40" s="28">
        <v>42.6</v>
      </c>
      <c r="G40" s="26">
        <v>1.4550000000000001</v>
      </c>
      <c r="H40" s="13" t="s">
        <v>5</v>
      </c>
      <c r="I40" s="26">
        <v>0.41299999999999998</v>
      </c>
      <c r="J40" s="7"/>
      <c r="K40" s="37">
        <v>1.23589010327442E-5</v>
      </c>
      <c r="L40" s="24">
        <v>3635</v>
      </c>
      <c r="M40" s="18">
        <v>1.4338039390944741</v>
      </c>
      <c r="N40" s="13" t="s">
        <v>5</v>
      </c>
      <c r="O40" s="49">
        <f t="shared" si="0"/>
        <v>1.4785516753598136</v>
      </c>
      <c r="P40">
        <f>ABS((G40-O40)/O40)</f>
        <v>1.592888212992764E-2</v>
      </c>
    </row>
    <row r="41" spans="1:16" ht="15.75" x14ac:dyDescent="0.3">
      <c r="A41" s="3" t="s">
        <v>14</v>
      </c>
      <c r="B41" s="24">
        <v>2814.6959999999999</v>
      </c>
      <c r="C41" s="5">
        <v>159</v>
      </c>
      <c r="D41" s="25">
        <v>872</v>
      </c>
      <c r="E41" s="27">
        <f>(811*0.799+61*1.333)/(872)</f>
        <v>0.83635550458715602</v>
      </c>
      <c r="F41" s="29">
        <v>42.44</v>
      </c>
      <c r="G41" s="26">
        <v>1.4717</v>
      </c>
      <c r="H41" s="13" t="s">
        <v>5</v>
      </c>
      <c r="I41" s="26">
        <v>0.52</v>
      </c>
      <c r="J41" s="7"/>
      <c r="K41" s="37">
        <v>1.2483066538382099E-5</v>
      </c>
      <c r="L41" s="24">
        <v>4264.6959999999999</v>
      </c>
      <c r="M41" s="18">
        <v>1.4417672892184066</v>
      </c>
      <c r="N41" s="13" t="s">
        <v>5</v>
      </c>
      <c r="O41" s="49">
        <f t="shared" si="0"/>
        <v>1.4737255252274037</v>
      </c>
      <c r="P41">
        <f>ABS((G41-O41)/O41)</f>
        <v>1.3744250151948652E-3</v>
      </c>
    </row>
    <row r="42" spans="1:16" ht="15.75" x14ac:dyDescent="0.3">
      <c r="A42" s="3" t="s">
        <v>14</v>
      </c>
      <c r="B42" s="24">
        <v>2788</v>
      </c>
      <c r="C42" s="5">
        <v>159</v>
      </c>
      <c r="D42" s="24">
        <v>933</v>
      </c>
      <c r="E42" s="27">
        <v>0.84155519828510184</v>
      </c>
      <c r="F42" s="28">
        <v>41.1</v>
      </c>
      <c r="G42" s="26">
        <v>1.488</v>
      </c>
      <c r="H42" s="13" t="s">
        <v>5</v>
      </c>
      <c r="I42" s="26">
        <v>0.47299999999999998</v>
      </c>
      <c r="J42" s="7"/>
      <c r="K42" s="37">
        <v>1.03509031269858E-5</v>
      </c>
      <c r="L42" s="24">
        <v>4765</v>
      </c>
      <c r="M42" s="18">
        <v>1.4520069311395036</v>
      </c>
      <c r="N42" s="13" t="s">
        <v>5</v>
      </c>
      <c r="O42" s="49">
        <f t="shared" si="0"/>
        <v>1.514036604310915</v>
      </c>
      <c r="P42">
        <f>ABS((G42-O42)/O42)</f>
        <v>1.7196812967917047E-2</v>
      </c>
    </row>
    <row r="43" spans="1:16" ht="15.75" x14ac:dyDescent="0.3">
      <c r="A43" s="4" t="s">
        <v>15</v>
      </c>
      <c r="B43" s="14">
        <v>2515</v>
      </c>
      <c r="C43" s="30">
        <v>155</v>
      </c>
      <c r="D43" s="20">
        <v>895</v>
      </c>
      <c r="E43" s="19">
        <v>0.86946729910714293</v>
      </c>
      <c r="F43" s="13">
        <v>42.65</v>
      </c>
      <c r="G43" s="31">
        <v>1.4924999999999999</v>
      </c>
      <c r="H43" s="13" t="s">
        <v>5</v>
      </c>
      <c r="I43" s="32">
        <v>0.26800000000000002</v>
      </c>
      <c r="J43" s="32"/>
      <c r="K43" s="6">
        <v>1.72274E-5</v>
      </c>
      <c r="L43" s="14">
        <v>4278</v>
      </c>
      <c r="M43" s="31">
        <v>1.4563999999999999</v>
      </c>
      <c r="N43" s="13" t="s">
        <v>5</v>
      </c>
      <c r="O43" s="49">
        <f t="shared" si="0"/>
        <v>1.4926820799333427</v>
      </c>
      <c r="P43">
        <f>ABS((G43-O43)/O43)</f>
        <v>1.2198172389854714E-4</v>
      </c>
    </row>
    <row r="44" spans="1:16" ht="15.75" x14ac:dyDescent="0.3">
      <c r="A44" s="3" t="s">
        <v>14</v>
      </c>
      <c r="B44" s="24">
        <v>2665</v>
      </c>
      <c r="C44" s="5">
        <v>180</v>
      </c>
      <c r="D44" s="24">
        <v>878.71586985293175</v>
      </c>
      <c r="E44" s="26">
        <v>0.91390951743438698</v>
      </c>
      <c r="F44" s="29">
        <v>40.200000000000003</v>
      </c>
      <c r="G44" s="26">
        <v>1.5162559439861154</v>
      </c>
      <c r="H44" s="13" t="s">
        <v>5</v>
      </c>
      <c r="I44" s="26">
        <v>0.52621000000000007</v>
      </c>
      <c r="J44" s="7"/>
      <c r="K44" s="37">
        <v>1.2270322886207972E-5</v>
      </c>
      <c r="L44" s="24">
        <v>4845</v>
      </c>
      <c r="M44" s="18">
        <v>1.4687980739335071</v>
      </c>
      <c r="N44" s="13" t="s">
        <v>5</v>
      </c>
      <c r="O44" s="49">
        <f t="shared" si="0"/>
        <v>1.5181464710107093</v>
      </c>
      <c r="P44">
        <f>ABS((G44-O44)/O44)</f>
        <v>1.2452863150518611E-3</v>
      </c>
    </row>
    <row r="45" spans="1:16" ht="15.75" x14ac:dyDescent="0.3">
      <c r="A45" s="4" t="s">
        <v>15</v>
      </c>
      <c r="B45" s="14">
        <v>2965</v>
      </c>
      <c r="C45" s="30">
        <v>156</v>
      </c>
      <c r="D45" s="20">
        <v>979</v>
      </c>
      <c r="E45" s="19">
        <v>0.84233779366700712</v>
      </c>
      <c r="F45" s="13">
        <v>41.5</v>
      </c>
      <c r="G45" s="31">
        <v>1.5277000000000001</v>
      </c>
      <c r="H45" s="33" t="s">
        <v>5</v>
      </c>
      <c r="I45" s="32">
        <v>0.38600000000000001</v>
      </c>
      <c r="J45" s="32"/>
      <c r="K45" s="6">
        <v>1.84603E-5</v>
      </c>
      <c r="L45" s="14">
        <v>5578</v>
      </c>
      <c r="M45" s="31">
        <v>1.4709000000000001</v>
      </c>
      <c r="N45" s="13" t="s">
        <v>5</v>
      </c>
      <c r="O45" s="49">
        <f t="shared" si="0"/>
        <v>1.5289503320594229</v>
      </c>
      <c r="P45">
        <f>ABS((G45-O45)/O45)</f>
        <v>8.1777153463100615E-4</v>
      </c>
    </row>
    <row r="46" spans="1:16" ht="15.75" x14ac:dyDescent="0.3">
      <c r="A46" s="3" t="s">
        <v>13</v>
      </c>
      <c r="B46" s="5">
        <v>2212</v>
      </c>
      <c r="C46" s="5">
        <v>234</v>
      </c>
      <c r="D46" s="30">
        <v>847.10507033279407</v>
      </c>
      <c r="E46" s="18">
        <v>1.042</v>
      </c>
      <c r="F46" s="17">
        <v>41.8</v>
      </c>
      <c r="G46" s="18">
        <v>1.5865404013686017</v>
      </c>
      <c r="H46" s="13" t="s">
        <v>5</v>
      </c>
      <c r="I46" s="18">
        <v>0.245</v>
      </c>
      <c r="J46" s="7"/>
      <c r="K46" s="21">
        <v>2.0657461797034198E-5</v>
      </c>
      <c r="L46" s="5">
        <v>7500</v>
      </c>
      <c r="M46" s="18">
        <v>1.4710532679434376</v>
      </c>
      <c r="N46" s="13" t="s">
        <v>5</v>
      </c>
      <c r="O46" s="49">
        <f t="shared" si="0"/>
        <v>1.5704871616470009</v>
      </c>
      <c r="P46">
        <f>ABS((G46-O46)/O46)</f>
        <v>1.0221821682875483E-2</v>
      </c>
    </row>
    <row r="47" spans="1:16" ht="15.75" x14ac:dyDescent="0.3">
      <c r="A47" s="3" t="s">
        <v>14</v>
      </c>
      <c r="B47" s="24">
        <v>2665</v>
      </c>
      <c r="C47" s="5">
        <v>190</v>
      </c>
      <c r="D47" s="24">
        <v>875.9778633928637</v>
      </c>
      <c r="E47" s="26">
        <v>0.89860640942942094</v>
      </c>
      <c r="F47" s="29">
        <v>42.1</v>
      </c>
      <c r="G47" s="26">
        <v>1.5273526321529347</v>
      </c>
      <c r="H47" s="13" t="s">
        <v>5</v>
      </c>
      <c r="I47" s="26">
        <v>0.53227000000000002</v>
      </c>
      <c r="J47" s="7"/>
      <c r="K47" s="37">
        <v>1.2567876612644101E-5</v>
      </c>
      <c r="L47" s="24">
        <v>4915</v>
      </c>
      <c r="M47" s="18">
        <v>1.4758874998425713</v>
      </c>
      <c r="N47" s="13" t="s">
        <v>5</v>
      </c>
      <c r="O47" s="49">
        <f t="shared" si="0"/>
        <v>1.5202085286040028</v>
      </c>
      <c r="P47">
        <f>ABS((G47-O47)/O47)</f>
        <v>4.6994234110055251E-3</v>
      </c>
    </row>
    <row r="48" spans="1:16" ht="15.75" x14ac:dyDescent="0.3">
      <c r="A48" s="4" t="s">
        <v>15</v>
      </c>
      <c r="B48" s="14">
        <v>2915.0250000000001</v>
      </c>
      <c r="C48" s="30">
        <v>132</v>
      </c>
      <c r="D48" s="20">
        <v>977</v>
      </c>
      <c r="E48" s="19">
        <v>0.81936949846468798</v>
      </c>
      <c r="F48" s="13">
        <v>39.19</v>
      </c>
      <c r="G48" s="31">
        <v>1.4986911732675505</v>
      </c>
      <c r="H48" s="33" t="s">
        <v>5</v>
      </c>
      <c r="I48" s="32">
        <v>0.44900000000000001</v>
      </c>
      <c r="J48" s="32"/>
      <c r="K48" s="6">
        <v>1.54185158706069E-5</v>
      </c>
      <c r="L48" s="14">
        <v>3962.0250000000001</v>
      </c>
      <c r="M48" s="31">
        <v>1.4773948236521384</v>
      </c>
      <c r="N48" s="13" t="s">
        <v>5</v>
      </c>
      <c r="O48" s="49">
        <f t="shared" si="0"/>
        <v>1.5032035537582458</v>
      </c>
      <c r="P48">
        <f>ABS((G48-O48)/O48)</f>
        <v>3.0018426176638435E-3</v>
      </c>
    </row>
    <row r="49" spans="1:16" ht="15.75" x14ac:dyDescent="0.3">
      <c r="A49" s="3" t="s">
        <v>14</v>
      </c>
      <c r="B49" s="24">
        <v>2290</v>
      </c>
      <c r="C49" s="5">
        <v>147</v>
      </c>
      <c r="D49" s="24">
        <v>926.67416705051619</v>
      </c>
      <c r="E49" s="27">
        <v>0.92190427125757779</v>
      </c>
      <c r="F49" s="28">
        <v>41.9</v>
      </c>
      <c r="G49" s="26">
        <v>1.5015039137706185</v>
      </c>
      <c r="H49" s="13" t="s">
        <v>5</v>
      </c>
      <c r="I49" s="26">
        <v>0.41020653230299997</v>
      </c>
      <c r="J49" s="7"/>
      <c r="K49" s="37">
        <v>1.503354094425121E-5</v>
      </c>
      <c r="L49" s="24">
        <v>2870</v>
      </c>
      <c r="M49" s="18">
        <v>1.4871518886211128</v>
      </c>
      <c r="N49" s="13" t="s">
        <v>5</v>
      </c>
      <c r="O49" s="49">
        <f t="shared" si="0"/>
        <v>1.5123854762518678</v>
      </c>
      <c r="P49">
        <f>ABS((G49-O49)/O49)</f>
        <v>7.1949662649610727E-3</v>
      </c>
    </row>
    <row r="50" spans="1:16" ht="15.75" x14ac:dyDescent="0.3">
      <c r="A50" s="3" t="s">
        <v>14</v>
      </c>
      <c r="B50" s="24">
        <v>2737</v>
      </c>
      <c r="C50" s="5">
        <v>180</v>
      </c>
      <c r="D50" s="24">
        <v>1028</v>
      </c>
      <c r="E50" s="27">
        <f>(923*0.844+105*1.292)/1028</f>
        <v>0.88975875486381317</v>
      </c>
      <c r="F50" s="29">
        <v>44.1</v>
      </c>
      <c r="G50" s="26">
        <v>1.5669999999999999</v>
      </c>
      <c r="H50" s="13" t="s">
        <v>5</v>
      </c>
      <c r="I50" s="26">
        <v>0.40500000000000003</v>
      </c>
      <c r="J50" s="7"/>
      <c r="K50" s="39">
        <v>1.013E-5</v>
      </c>
      <c r="L50" s="24">
        <v>6500</v>
      </c>
      <c r="M50" s="18">
        <v>1.4873964</v>
      </c>
      <c r="N50" s="13" t="s">
        <v>5</v>
      </c>
      <c r="O50" s="49">
        <f t="shared" si="0"/>
        <v>1.5962754050273105</v>
      </c>
      <c r="P50">
        <f>ABS((G50-O50)/O50)</f>
        <v>1.8339820895010062E-2</v>
      </c>
    </row>
    <row r="51" spans="1:16" ht="15.75" x14ac:dyDescent="0.3">
      <c r="A51" s="3" t="s">
        <v>14</v>
      </c>
      <c r="B51" s="24">
        <v>2976</v>
      </c>
      <c r="C51" s="5">
        <v>157</v>
      </c>
      <c r="D51" s="24">
        <v>1010</v>
      </c>
      <c r="E51" s="27">
        <v>0.84965544554455452</v>
      </c>
      <c r="F51" s="28">
        <v>42.2</v>
      </c>
      <c r="G51" s="26">
        <v>1.5229999999999999</v>
      </c>
      <c r="H51" s="13" t="s">
        <v>5</v>
      </c>
      <c r="I51" s="26">
        <v>0.35599999999999998</v>
      </c>
      <c r="J51" s="7"/>
      <c r="K51" s="37">
        <v>1.1999722138184901E-5</v>
      </c>
      <c r="L51" s="24">
        <v>4420</v>
      </c>
      <c r="M51" s="18">
        <v>1.4927313190414608</v>
      </c>
      <c r="N51" s="13" t="s">
        <v>5</v>
      </c>
      <c r="O51" s="49">
        <f t="shared" si="0"/>
        <v>1.5457200560602182</v>
      </c>
      <c r="P51">
        <f>ABS((G51-O51)/O51)</f>
        <v>1.4698687495928557E-2</v>
      </c>
    </row>
    <row r="52" spans="1:16" ht="15.75" x14ac:dyDescent="0.3">
      <c r="A52" s="4" t="s">
        <v>15</v>
      </c>
      <c r="B52" s="14">
        <v>2915</v>
      </c>
      <c r="C52" s="30">
        <v>157</v>
      </c>
      <c r="D52" s="20">
        <v>1064</v>
      </c>
      <c r="E52" s="19">
        <v>0.8712595864661653</v>
      </c>
      <c r="F52" s="13">
        <v>42.8</v>
      </c>
      <c r="G52" s="31">
        <v>1.5653999999999999</v>
      </c>
      <c r="H52" s="13" t="s">
        <v>5</v>
      </c>
      <c r="I52" s="32">
        <v>0.309</v>
      </c>
      <c r="J52" s="32"/>
      <c r="K52" s="6">
        <v>1.7852200000000002E-5</v>
      </c>
      <c r="L52" s="14">
        <v>6165</v>
      </c>
      <c r="M52" s="31">
        <v>1.4995000000000001</v>
      </c>
      <c r="N52" s="13" t="s">
        <v>5</v>
      </c>
      <c r="O52" s="49">
        <f t="shared" si="0"/>
        <v>1.5779274927593387</v>
      </c>
      <c r="P52">
        <f>ABS((G52-O52)/O52)</f>
        <v>7.9392068500130399E-3</v>
      </c>
    </row>
    <row r="53" spans="1:16" ht="15.75" x14ac:dyDescent="0.3">
      <c r="A53" s="3" t="s">
        <v>14</v>
      </c>
      <c r="B53" s="24">
        <v>2765</v>
      </c>
      <c r="C53" s="5">
        <v>175</v>
      </c>
      <c r="D53" s="24">
        <v>893.50580230451294</v>
      </c>
      <c r="E53" s="26">
        <v>0.91801860641097199</v>
      </c>
      <c r="F53" s="29">
        <v>39.619999999999997</v>
      </c>
      <c r="G53" s="26">
        <v>1.5156247720052562</v>
      </c>
      <c r="H53" s="13" t="s">
        <v>5</v>
      </c>
      <c r="I53" s="26">
        <v>0.51300000000000001</v>
      </c>
      <c r="J53" s="7"/>
      <c r="K53" s="37">
        <v>1.5213107546419976E-5</v>
      </c>
      <c r="L53" s="24">
        <v>3360</v>
      </c>
      <c r="M53" s="18">
        <v>1.5010495080908535</v>
      </c>
      <c r="N53" s="13" t="s">
        <v>5</v>
      </c>
      <c r="O53" s="49">
        <f t="shared" si="0"/>
        <v>1.5209564307319041</v>
      </c>
      <c r="P53">
        <f>ABS((G53-O53)/O53)</f>
        <v>3.5054644688817327E-3</v>
      </c>
    </row>
    <row r="54" spans="1:16" ht="15.75" x14ac:dyDescent="0.3">
      <c r="A54" s="3" t="s">
        <v>14</v>
      </c>
      <c r="B54" s="24">
        <v>2865</v>
      </c>
      <c r="C54" s="5">
        <v>152</v>
      </c>
      <c r="D54" s="24">
        <v>1014.8050338327058</v>
      </c>
      <c r="E54" s="26">
        <v>0.88702597887453039</v>
      </c>
      <c r="F54" s="29">
        <v>41.82</v>
      </c>
      <c r="G54" s="26">
        <v>1.5479636439197559</v>
      </c>
      <c r="H54" s="13" t="s">
        <v>5</v>
      </c>
      <c r="I54" s="26">
        <v>0.55300000000000005</v>
      </c>
      <c r="J54" s="7"/>
      <c r="K54" s="37">
        <v>1.21048004780431E-5</v>
      </c>
      <c r="L54" s="24">
        <v>4757</v>
      </c>
      <c r="M54" s="18">
        <v>1.5067920862808049</v>
      </c>
      <c r="N54" s="13" t="s">
        <v>5</v>
      </c>
      <c r="O54" s="49">
        <f t="shared" si="0"/>
        <v>1.5471485141716812</v>
      </c>
      <c r="P54">
        <f>ABS((G54-O54)/O54)</f>
        <v>5.268594065846008E-4</v>
      </c>
    </row>
    <row r="55" spans="1:16" ht="15.75" x14ac:dyDescent="0.3">
      <c r="A55" s="4" t="s">
        <v>15</v>
      </c>
      <c r="B55" s="14">
        <v>2965</v>
      </c>
      <c r="C55" s="30">
        <v>147</v>
      </c>
      <c r="D55" s="20">
        <v>1022</v>
      </c>
      <c r="E55" s="19">
        <v>0.85086647116324532</v>
      </c>
      <c r="F55" s="13">
        <v>41.15</v>
      </c>
      <c r="G55" s="31">
        <v>1.5425604341844183</v>
      </c>
      <c r="H55" s="13" t="s">
        <v>5</v>
      </c>
      <c r="I55" s="32">
        <v>0.33800000000000002</v>
      </c>
      <c r="J55" s="32"/>
      <c r="K55" s="6">
        <v>1.72767E-5</v>
      </c>
      <c r="L55" s="14">
        <v>4253</v>
      </c>
      <c r="M55" s="31">
        <v>1.5130603680982628</v>
      </c>
      <c r="N55" s="13" t="s">
        <v>5</v>
      </c>
      <c r="O55" s="49">
        <f t="shared" si="0"/>
        <v>1.5412950146951629</v>
      </c>
      <c r="P55">
        <f>ABS((G55-O55)/O55)</f>
        <v>8.2101056396765041E-4</v>
      </c>
    </row>
    <row r="56" spans="1:16" ht="15.75" x14ac:dyDescent="0.3">
      <c r="A56" s="3" t="s">
        <v>14</v>
      </c>
      <c r="B56" s="24">
        <v>3313</v>
      </c>
      <c r="C56" s="5">
        <v>157</v>
      </c>
      <c r="D56" s="24">
        <v>1077</v>
      </c>
      <c r="E56" s="26">
        <v>0.85875487465181055</v>
      </c>
      <c r="F56" s="28">
        <v>40.200000000000003</v>
      </c>
      <c r="G56" s="26">
        <v>1.5429999999999999</v>
      </c>
      <c r="H56" s="13" t="s">
        <v>5</v>
      </c>
      <c r="I56" s="26">
        <v>0.41899999999999998</v>
      </c>
      <c r="J56" s="7"/>
      <c r="K56" s="37">
        <v>1.2187330891871359E-5</v>
      </c>
      <c r="L56" s="25">
        <v>4526.6959999999999</v>
      </c>
      <c r="M56" s="18">
        <v>1.5166742807596807</v>
      </c>
      <c r="N56" s="13" t="s">
        <v>5</v>
      </c>
      <c r="O56" s="49">
        <f t="shared" si="0"/>
        <v>1.5814881165389758</v>
      </c>
      <c r="P56">
        <f>ABS((G56-O56)/O56)</f>
        <v>2.4336646059159521E-2</v>
      </c>
    </row>
    <row r="57" spans="1:16" ht="15.75" x14ac:dyDescent="0.3">
      <c r="A57" s="3" t="s">
        <v>14</v>
      </c>
      <c r="B57" s="24">
        <v>3131</v>
      </c>
      <c r="C57" s="5">
        <v>161</v>
      </c>
      <c r="D57" s="24">
        <v>1124</v>
      </c>
      <c r="E57" s="27">
        <v>0.85542971530249112</v>
      </c>
      <c r="F57" s="28">
        <v>43.6</v>
      </c>
      <c r="G57" s="26">
        <v>1.5860000000000001</v>
      </c>
      <c r="H57" s="13" t="s">
        <v>5</v>
      </c>
      <c r="I57" s="26">
        <v>0.376</v>
      </c>
      <c r="J57" s="7"/>
      <c r="K57" s="37">
        <v>1.23492033978367E-5</v>
      </c>
      <c r="L57" s="24">
        <v>5009</v>
      </c>
      <c r="M57" s="18">
        <v>1.5429931315257974</v>
      </c>
      <c r="N57" s="13" t="s">
        <v>5</v>
      </c>
      <c r="O57" s="49">
        <f t="shared" si="0"/>
        <v>1.6086181897560343</v>
      </c>
      <c r="P57">
        <f>ABS((G57-O57)/O57)</f>
        <v>1.4060632846296831E-2</v>
      </c>
    </row>
    <row r="58" spans="1:16" ht="15.75" x14ac:dyDescent="0.3">
      <c r="A58" s="4" t="s">
        <v>15</v>
      </c>
      <c r="B58" s="14">
        <v>3169.6959999999999</v>
      </c>
      <c r="C58" s="30">
        <v>157.9</v>
      </c>
      <c r="D58" s="20">
        <v>1190</v>
      </c>
      <c r="E58" s="19">
        <v>0.8476117647058824</v>
      </c>
      <c r="F58" s="13">
        <v>42.3</v>
      </c>
      <c r="G58" s="31">
        <v>1.639</v>
      </c>
      <c r="H58" s="13" t="s">
        <v>5</v>
      </c>
      <c r="I58" s="32">
        <v>0.28499999999999998</v>
      </c>
      <c r="J58" s="32"/>
      <c r="K58" s="23">
        <v>2.0018016214593399E-5</v>
      </c>
      <c r="L58" s="14">
        <v>7514.6959999999999</v>
      </c>
      <c r="M58" s="31">
        <v>1.544</v>
      </c>
      <c r="N58" s="13" t="s">
        <v>5</v>
      </c>
      <c r="O58" s="49">
        <f t="shared" si="0"/>
        <v>1.6420684348319339</v>
      </c>
      <c r="P58">
        <f>ABS((G58-O58)/O58)</f>
        <v>1.8686400437676759E-3</v>
      </c>
    </row>
    <row r="59" spans="1:16" ht="15.75" x14ac:dyDescent="0.3">
      <c r="A59" s="4" t="s">
        <v>15</v>
      </c>
      <c r="B59" s="14">
        <v>3265</v>
      </c>
      <c r="C59" s="30">
        <v>157</v>
      </c>
      <c r="D59" s="20">
        <v>1133.4462691607539</v>
      </c>
      <c r="E59" s="19">
        <v>0.8500077412459377</v>
      </c>
      <c r="F59" s="13">
        <v>44.23</v>
      </c>
      <c r="G59" s="31">
        <v>1.5995999999999999</v>
      </c>
      <c r="H59" s="13" t="s">
        <v>5</v>
      </c>
      <c r="I59" s="32">
        <v>0.30599999999999999</v>
      </c>
      <c r="J59" s="32"/>
      <c r="K59" s="6">
        <v>1.78112E-5</v>
      </c>
      <c r="L59" s="14">
        <v>5690</v>
      </c>
      <c r="M59" s="31">
        <v>1.5450999999999999</v>
      </c>
      <c r="N59" s="13" t="s">
        <v>5</v>
      </c>
      <c r="O59" s="49">
        <f t="shared" si="0"/>
        <v>1.601872494580338</v>
      </c>
      <c r="P59">
        <f>ABS((G59-O59)/O59)</f>
        <v>1.4186488550285161E-3</v>
      </c>
    </row>
    <row r="60" spans="1:16" ht="15.75" x14ac:dyDescent="0.3">
      <c r="A60" s="3" t="s">
        <v>13</v>
      </c>
      <c r="B60" s="5">
        <v>2356</v>
      </c>
      <c r="C60" s="5">
        <v>234</v>
      </c>
      <c r="D60" s="30">
        <v>997</v>
      </c>
      <c r="E60" s="18">
        <v>1.05</v>
      </c>
      <c r="F60" s="17">
        <v>42.5</v>
      </c>
      <c r="G60" s="18">
        <v>1.6846951018052452</v>
      </c>
      <c r="H60" s="13" t="s">
        <v>5</v>
      </c>
      <c r="I60" s="18">
        <v>0.23200000000000001</v>
      </c>
      <c r="J60" s="7"/>
      <c r="K60" s="21">
        <v>2.6910915673748293E-5</v>
      </c>
      <c r="L60" s="5">
        <v>7500</v>
      </c>
      <c r="M60" s="18">
        <v>1.547083293592789</v>
      </c>
      <c r="N60" s="13" t="s">
        <v>5</v>
      </c>
      <c r="O60" s="49">
        <f t="shared" si="0"/>
        <v>1.6706421511955971</v>
      </c>
      <c r="P60">
        <f>ABS((G60-O60)/O60)</f>
        <v>8.4117060015462021E-3</v>
      </c>
    </row>
    <row r="61" spans="1:16" ht="15.75" x14ac:dyDescent="0.3">
      <c r="A61" s="3" t="s">
        <v>14</v>
      </c>
      <c r="B61" s="24">
        <v>2656.22</v>
      </c>
      <c r="C61" s="5">
        <v>161</v>
      </c>
      <c r="D61" s="24">
        <v>1078.8275574104816</v>
      </c>
      <c r="E61" s="26">
        <v>0.92547543459989179</v>
      </c>
      <c r="F61" s="28">
        <v>42.825489712948126</v>
      </c>
      <c r="G61" s="26">
        <v>1.60545129758015</v>
      </c>
      <c r="H61" s="13" t="s">
        <v>5</v>
      </c>
      <c r="I61" s="27">
        <v>0.35863015920792102</v>
      </c>
      <c r="J61" s="7"/>
      <c r="K61" s="37">
        <v>1.24280420547592E-5</v>
      </c>
      <c r="L61" s="25">
        <v>5064</v>
      </c>
      <c r="M61" s="18">
        <v>1.5489326936445311</v>
      </c>
      <c r="N61" s="13" t="s">
        <v>5</v>
      </c>
      <c r="O61" s="49">
        <f t="shared" si="0"/>
        <v>1.6050867693016806</v>
      </c>
      <c r="P61">
        <f>ABS((G61-O61)/O61)</f>
        <v>2.2710814483134693E-4</v>
      </c>
    </row>
    <row r="62" spans="1:16" ht="15.75" x14ac:dyDescent="0.3">
      <c r="A62" s="4" t="s">
        <v>15</v>
      </c>
      <c r="B62" s="14">
        <v>3005.6959999999999</v>
      </c>
      <c r="C62" s="30">
        <v>156</v>
      </c>
      <c r="D62" s="20">
        <v>1235</v>
      </c>
      <c r="E62" s="19">
        <v>0.86626456310679611</v>
      </c>
      <c r="F62" s="13">
        <v>42.3</v>
      </c>
      <c r="G62" s="31">
        <v>1.657</v>
      </c>
      <c r="H62" s="13" t="s">
        <v>5</v>
      </c>
      <c r="I62" s="32">
        <v>0.29399999999999998</v>
      </c>
      <c r="J62" s="32"/>
      <c r="K62" s="23">
        <v>1.9306598903568971E-5</v>
      </c>
      <c r="L62" s="14">
        <v>7609.6959999999999</v>
      </c>
      <c r="M62" s="31">
        <v>1.556</v>
      </c>
      <c r="N62" s="13" t="s">
        <v>5</v>
      </c>
      <c r="O62" s="49">
        <f t="shared" si="0"/>
        <v>1.6715057752040008</v>
      </c>
      <c r="P62">
        <f>ABS((G62-O62)/O62)</f>
        <v>8.6782680737255511E-3</v>
      </c>
    </row>
    <row r="63" spans="1:16" ht="15.75" x14ac:dyDescent="0.3">
      <c r="A63" s="3" t="s">
        <v>14</v>
      </c>
      <c r="B63" s="24">
        <v>2774.6959999999999</v>
      </c>
      <c r="C63" s="5">
        <v>183</v>
      </c>
      <c r="D63" s="24">
        <v>1062</v>
      </c>
      <c r="E63" s="26">
        <v>0.88906403013182678</v>
      </c>
      <c r="F63" s="29">
        <v>43.58</v>
      </c>
      <c r="G63" s="26">
        <v>1.6372</v>
      </c>
      <c r="H63" s="13" t="s">
        <v>5</v>
      </c>
      <c r="I63" s="26">
        <v>0.29499999999999998</v>
      </c>
      <c r="J63" s="7"/>
      <c r="K63" s="39">
        <v>1.43895E-5</v>
      </c>
      <c r="L63" s="24">
        <v>5314.6959999999999</v>
      </c>
      <c r="M63" s="18">
        <v>1.5641317640000001</v>
      </c>
      <c r="N63" s="13" t="s">
        <v>5</v>
      </c>
      <c r="O63" s="49">
        <f t="shared" si="0"/>
        <v>1.6205954786291168</v>
      </c>
      <c r="P63">
        <f>ABS((G63-O63)/O63)</f>
        <v>1.0245938354048217E-2</v>
      </c>
    </row>
    <row r="64" spans="1:16" ht="15.75" x14ac:dyDescent="0.3">
      <c r="A64" s="3" t="s">
        <v>14</v>
      </c>
      <c r="B64" s="24">
        <v>2988</v>
      </c>
      <c r="C64" s="5">
        <v>165</v>
      </c>
      <c r="D64" s="24">
        <v>1147</v>
      </c>
      <c r="E64" s="27">
        <v>0.87540818768020245</v>
      </c>
      <c r="F64" s="28">
        <v>44</v>
      </c>
      <c r="G64" s="26">
        <v>1.649</v>
      </c>
      <c r="H64" s="13" t="s">
        <v>5</v>
      </c>
      <c r="I64" s="26">
        <v>0.36799999999999999</v>
      </c>
      <c r="J64" s="7"/>
      <c r="K64" s="37">
        <v>1.0355057978956E-5</v>
      </c>
      <c r="L64" s="24">
        <v>6566</v>
      </c>
      <c r="M64" s="18">
        <v>1.5684215927998539</v>
      </c>
      <c r="N64" s="13" t="s">
        <v>5</v>
      </c>
      <c r="O64" s="49">
        <f t="shared" si="0"/>
        <v>1.6341585409262247</v>
      </c>
      <c r="P64">
        <f>ABS((G64-O64)/O64)</f>
        <v>9.0820190955054649E-3</v>
      </c>
    </row>
    <row r="65" spans="1:16" ht="15.75" x14ac:dyDescent="0.3">
      <c r="A65" s="4" t="s">
        <v>15</v>
      </c>
      <c r="B65" s="14">
        <v>3162</v>
      </c>
      <c r="C65" s="30">
        <v>157</v>
      </c>
      <c r="D65" s="20">
        <v>1179</v>
      </c>
      <c r="E65" s="19">
        <v>0.85150169491525418</v>
      </c>
      <c r="F65" s="13">
        <v>42</v>
      </c>
      <c r="G65" s="31">
        <v>1.6050995510203501</v>
      </c>
      <c r="H65" s="33" t="s">
        <v>5</v>
      </c>
      <c r="I65" s="32">
        <v>0.29599999999999999</v>
      </c>
      <c r="J65" s="32"/>
      <c r="K65" s="23">
        <v>1.794705998628507E-5</v>
      </c>
      <c r="L65" s="14">
        <v>4698</v>
      </c>
      <c r="M65" s="31">
        <v>1.569312227992639</v>
      </c>
      <c r="N65" s="13" t="s">
        <v>5</v>
      </c>
      <c r="O65" s="49">
        <f t="shared" si="0"/>
        <v>1.6357434402870437</v>
      </c>
      <c r="P65">
        <f>ABS((G65-O65)/O65)</f>
        <v>1.8733921538035412E-2</v>
      </c>
    </row>
    <row r="66" spans="1:16" ht="15.75" x14ac:dyDescent="0.3">
      <c r="A66" s="4" t="s">
        <v>15</v>
      </c>
      <c r="B66" s="14">
        <v>3365</v>
      </c>
      <c r="C66" s="30">
        <v>129</v>
      </c>
      <c r="D66" s="20">
        <v>1106</v>
      </c>
      <c r="E66" s="19">
        <v>0.83125307414104888</v>
      </c>
      <c r="F66" s="13">
        <v>38.78</v>
      </c>
      <c r="G66" s="31">
        <v>1.5330965401161434</v>
      </c>
      <c r="H66" s="13" t="s">
        <v>5</v>
      </c>
      <c r="I66" s="32">
        <v>0.45</v>
      </c>
      <c r="J66" s="32"/>
      <c r="K66" s="6">
        <v>1.6000600000000001E-5</v>
      </c>
      <c r="L66" s="14">
        <v>4960</v>
      </c>
      <c r="M66" s="35">
        <v>1.5794999999999999</v>
      </c>
      <c r="N66" s="13" t="s">
        <v>5</v>
      </c>
      <c r="O66" s="49">
        <f t="shared" si="0"/>
        <v>1.5558163411818711</v>
      </c>
      <c r="P66">
        <f>ABS((G66-O66)/O66)</f>
        <v>1.4603138213902972E-2</v>
      </c>
    </row>
    <row r="67" spans="1:16" ht="15.75" x14ac:dyDescent="0.3">
      <c r="A67" s="4" t="s">
        <v>15</v>
      </c>
      <c r="B67" s="14">
        <v>3165</v>
      </c>
      <c r="C67" s="30">
        <v>169</v>
      </c>
      <c r="D67" s="20">
        <v>1193</v>
      </c>
      <c r="E67" s="19">
        <v>0.92319242033006776</v>
      </c>
      <c r="F67" s="13">
        <v>43.95</v>
      </c>
      <c r="G67" s="31">
        <v>1.6789000000000001</v>
      </c>
      <c r="H67" s="13" t="s">
        <v>5</v>
      </c>
      <c r="I67" s="32">
        <v>0.23499999999999999</v>
      </c>
      <c r="J67" s="32"/>
      <c r="K67" s="6">
        <v>2.0536100000000001E-5</v>
      </c>
      <c r="L67" s="14">
        <v>6972</v>
      </c>
      <c r="M67" s="31">
        <v>1.5885</v>
      </c>
      <c r="N67" s="13" t="s">
        <v>5</v>
      </c>
      <c r="O67" s="49">
        <f t="shared" si="0"/>
        <v>1.6623315797484151</v>
      </c>
      <c r="P67">
        <f>ABS((G67-O67)/O67)</f>
        <v>9.96697677733617E-3</v>
      </c>
    </row>
    <row r="68" spans="1:16" ht="15.75" x14ac:dyDescent="0.3">
      <c r="A68" s="4" t="s">
        <v>15</v>
      </c>
      <c r="B68" s="14">
        <v>3365</v>
      </c>
      <c r="C68" s="30">
        <v>170</v>
      </c>
      <c r="D68" s="20">
        <v>1226</v>
      </c>
      <c r="E68" s="19">
        <v>0.88517026618550887</v>
      </c>
      <c r="F68" s="13">
        <v>41.82</v>
      </c>
      <c r="G68" s="31">
        <v>1.6618999999999999</v>
      </c>
      <c r="H68" s="13" t="s">
        <v>5</v>
      </c>
      <c r="I68" s="32">
        <v>0.25700000000000001</v>
      </c>
      <c r="J68" s="32"/>
      <c r="K68" s="6">
        <v>1.8875599999999999E-5</v>
      </c>
      <c r="L68" s="14">
        <v>6515</v>
      </c>
      <c r="M68" s="31">
        <v>1.5886</v>
      </c>
      <c r="N68" s="13" t="s">
        <v>5</v>
      </c>
      <c r="O68" s="49">
        <f t="shared" si="0"/>
        <v>1.6799228361851353</v>
      </c>
      <c r="P68">
        <f>ABS((G68-O68)/O68)</f>
        <v>1.072837144476387E-2</v>
      </c>
    </row>
    <row r="69" spans="1:16" ht="15.75" x14ac:dyDescent="0.3">
      <c r="A69" s="4" t="s">
        <v>15</v>
      </c>
      <c r="B69" s="14">
        <v>3365</v>
      </c>
      <c r="C69" s="30">
        <v>154</v>
      </c>
      <c r="D69" s="20">
        <v>1335</v>
      </c>
      <c r="E69" s="19">
        <v>0.83274397003745326</v>
      </c>
      <c r="F69" s="13">
        <v>44.91</v>
      </c>
      <c r="G69" s="31">
        <v>1.6715649852853085</v>
      </c>
      <c r="H69" s="13" t="s">
        <v>5</v>
      </c>
      <c r="I69" s="32">
        <v>0.39200000000000002</v>
      </c>
      <c r="J69" s="32"/>
      <c r="K69" s="6">
        <v>2.0557999999999999E-5</v>
      </c>
      <c r="L69" s="14">
        <v>5925</v>
      </c>
      <c r="M69" s="31">
        <v>1.6063696848506726</v>
      </c>
      <c r="N69" s="13" t="s">
        <v>5</v>
      </c>
      <c r="O69" s="49">
        <f t="shared" si="0"/>
        <v>1.7030178522344792</v>
      </c>
      <c r="P69">
        <f>ABS((G69-O69)/O69)</f>
        <v>1.8468900315931708E-2</v>
      </c>
    </row>
    <row r="70" spans="1:16" ht="15.75" x14ac:dyDescent="0.3">
      <c r="A70" s="3" t="s">
        <v>14</v>
      </c>
      <c r="B70" s="24">
        <v>2992</v>
      </c>
      <c r="C70" s="5">
        <v>160</v>
      </c>
      <c r="D70" s="24">
        <v>1178</v>
      </c>
      <c r="E70" s="27">
        <v>0.87219552541973877</v>
      </c>
      <c r="F70" s="28">
        <v>44.4</v>
      </c>
      <c r="G70" s="26">
        <v>1.6619999999999999</v>
      </c>
      <c r="H70" s="13" t="s">
        <v>5</v>
      </c>
      <c r="I70" s="26">
        <v>0.313</v>
      </c>
      <c r="J70" s="7"/>
      <c r="K70" s="37">
        <v>1.2937006721061701E-5</v>
      </c>
      <c r="L70" s="24">
        <v>5050</v>
      </c>
      <c r="M70" s="18">
        <v>1.6067700795736513</v>
      </c>
      <c r="N70" s="13" t="s">
        <v>5</v>
      </c>
      <c r="O70" s="49">
        <f t="shared" si="0"/>
        <v>1.6430162626403433</v>
      </c>
      <c r="P70">
        <f>ABS((G70-O70)/O70)</f>
        <v>1.1554199304850207E-2</v>
      </c>
    </row>
    <row r="71" spans="1:16" ht="15.75" x14ac:dyDescent="0.3">
      <c r="A71" s="3" t="s">
        <v>13</v>
      </c>
      <c r="B71" s="5">
        <v>3067</v>
      </c>
      <c r="C71" s="5">
        <v>242</v>
      </c>
      <c r="D71" s="30">
        <v>1195.9951434878585</v>
      </c>
      <c r="E71" s="18">
        <v>0.91600000000000004</v>
      </c>
      <c r="F71" s="17">
        <v>40.9</v>
      </c>
      <c r="G71" s="18">
        <v>1.7486462426644702</v>
      </c>
      <c r="H71" s="13" t="s">
        <v>5</v>
      </c>
      <c r="I71" s="18">
        <v>0.17599999999999999</v>
      </c>
      <c r="J71" s="7"/>
      <c r="K71" s="21">
        <v>2.6646440917223094E-5</v>
      </c>
      <c r="L71" s="5">
        <v>7528</v>
      </c>
      <c r="M71" s="18">
        <v>1.6073638122571077</v>
      </c>
      <c r="N71" s="13" t="s">
        <v>5</v>
      </c>
      <c r="O71" s="49">
        <f t="shared" si="0"/>
        <v>1.7915302807592945</v>
      </c>
      <c r="P71">
        <f>ABS((G71-O71)/O71)</f>
        <v>2.3937099224830862E-2</v>
      </c>
    </row>
    <row r="72" spans="1:16" ht="15.75" x14ac:dyDescent="0.3">
      <c r="A72" s="4" t="s">
        <v>15</v>
      </c>
      <c r="B72" s="14">
        <v>3515</v>
      </c>
      <c r="C72" s="30">
        <v>190</v>
      </c>
      <c r="D72" s="20">
        <v>1303</v>
      </c>
      <c r="E72" s="19">
        <v>0.8405067484662575</v>
      </c>
      <c r="F72" s="13">
        <v>45.31</v>
      </c>
      <c r="G72" s="31">
        <v>1.7521</v>
      </c>
      <c r="H72" s="13" t="s">
        <v>5</v>
      </c>
      <c r="I72" s="32">
        <v>0.28499999999999998</v>
      </c>
      <c r="J72" s="32"/>
      <c r="K72" s="6">
        <v>2.47308E-5</v>
      </c>
      <c r="L72" s="14">
        <v>9015</v>
      </c>
      <c r="M72" s="31">
        <v>1.6107</v>
      </c>
      <c r="N72" s="13" t="s">
        <v>5</v>
      </c>
      <c r="O72" s="49">
        <f t="shared" si="0"/>
        <v>1.7463340667475593</v>
      </c>
      <c r="P72">
        <f>ABS((G72-O72)/O72)</f>
        <v>3.301735539740904E-3</v>
      </c>
    </row>
    <row r="73" spans="1:16" ht="15.75" x14ac:dyDescent="0.3">
      <c r="A73" s="4" t="s">
        <v>15</v>
      </c>
      <c r="B73" s="14">
        <v>3865</v>
      </c>
      <c r="C73" s="30">
        <v>165</v>
      </c>
      <c r="D73" s="20">
        <v>1311</v>
      </c>
      <c r="E73" s="19">
        <v>0.80779518026477171</v>
      </c>
      <c r="F73" s="13">
        <v>41.31</v>
      </c>
      <c r="G73" s="31">
        <v>1.7010000000000001</v>
      </c>
      <c r="H73" s="13" t="s">
        <v>5</v>
      </c>
      <c r="I73" s="32">
        <v>0.36599999999999999</v>
      </c>
      <c r="J73" s="32"/>
      <c r="K73" s="6">
        <v>2.0366100000000001E-5</v>
      </c>
      <c r="L73" s="14">
        <v>7215</v>
      </c>
      <c r="M73" s="31">
        <v>1.6188</v>
      </c>
      <c r="N73" s="13" t="s">
        <v>5</v>
      </c>
      <c r="O73" s="49">
        <f t="shared" si="0"/>
        <v>1.7010525541402444</v>
      </c>
      <c r="P73">
        <f>ABS((G73-O73)/O73)</f>
        <v>3.0895071475825639E-5</v>
      </c>
    </row>
    <row r="74" spans="1:16" ht="15.75" x14ac:dyDescent="0.3">
      <c r="A74" s="3" t="s">
        <v>14</v>
      </c>
      <c r="B74" s="24">
        <v>3215</v>
      </c>
      <c r="C74" s="5">
        <v>155</v>
      </c>
      <c r="D74" s="24">
        <v>1255.9824334889472</v>
      </c>
      <c r="E74" s="26">
        <v>0.90748600249209299</v>
      </c>
      <c r="F74" s="29">
        <v>40.6</v>
      </c>
      <c r="G74" s="26">
        <v>1.6861166770295233</v>
      </c>
      <c r="H74" s="13" t="s">
        <v>5</v>
      </c>
      <c r="I74" s="26">
        <v>0.54239999999999999</v>
      </c>
      <c r="J74" s="7"/>
      <c r="K74" s="37">
        <v>1.3013815190895385E-5</v>
      </c>
      <c r="L74" s="24">
        <v>5265</v>
      </c>
      <c r="M74" s="18">
        <v>1.6328121426723283</v>
      </c>
      <c r="N74" s="13" t="s">
        <v>5</v>
      </c>
      <c r="O74" s="49">
        <f t="shared" si="0"/>
        <v>1.6825832468181432</v>
      </c>
      <c r="P74">
        <f>ABS((G74-O74)/O74)</f>
        <v>2.1000032052274345E-3</v>
      </c>
    </row>
    <row r="75" spans="1:16" ht="15.75" x14ac:dyDescent="0.3">
      <c r="A75" s="3" t="s">
        <v>14</v>
      </c>
      <c r="B75" s="24">
        <v>3165</v>
      </c>
      <c r="C75" s="5">
        <v>159</v>
      </c>
      <c r="D75" s="24">
        <v>1309.5712971320097</v>
      </c>
      <c r="E75" s="26">
        <v>0.86290875140960577</v>
      </c>
      <c r="F75" s="29">
        <v>44.21</v>
      </c>
      <c r="G75" s="26">
        <v>1.69395136437296</v>
      </c>
      <c r="H75" s="13" t="s">
        <v>5</v>
      </c>
      <c r="I75" s="26">
        <v>0.42370000000000002</v>
      </c>
      <c r="J75" s="7"/>
      <c r="K75" s="37">
        <v>1.3256093623020083E-5</v>
      </c>
      <c r="L75" s="24">
        <v>5162</v>
      </c>
      <c r="M75" s="18">
        <v>1.6414422741091423</v>
      </c>
      <c r="N75" s="13" t="s">
        <v>5</v>
      </c>
      <c r="O75" s="49">
        <f t="shared" si="0"/>
        <v>1.7086062184096167</v>
      </c>
      <c r="P75">
        <f>ABS((G75-O75)/O75)</f>
        <v>8.5770810610168082E-3</v>
      </c>
    </row>
    <row r="76" spans="1:16" ht="15.75" x14ac:dyDescent="0.3">
      <c r="A76" s="3" t="s">
        <v>14</v>
      </c>
      <c r="B76" s="24">
        <v>2900</v>
      </c>
      <c r="C76" s="5">
        <v>159</v>
      </c>
      <c r="D76" s="24">
        <v>1315</v>
      </c>
      <c r="E76" s="26">
        <v>0.89081440935686729</v>
      </c>
      <c r="F76" s="28">
        <v>43.6</v>
      </c>
      <c r="G76" s="26">
        <v>1.6970000000000001</v>
      </c>
      <c r="H76" s="13" t="s">
        <v>5</v>
      </c>
      <c r="I76" s="26">
        <v>0.316</v>
      </c>
      <c r="J76" s="7"/>
      <c r="K76" s="37">
        <v>1.35736506880662E-5</v>
      </c>
      <c r="L76" s="24">
        <v>4870</v>
      </c>
      <c r="M76" s="18">
        <v>1.6419999999999999</v>
      </c>
      <c r="N76" s="13" t="s">
        <v>5</v>
      </c>
      <c r="O76" s="49">
        <f t="shared" si="0"/>
        <v>1.7257636451966465</v>
      </c>
      <c r="P76">
        <f>ABS((G76-O76)/O76)</f>
        <v>1.666719847570371E-2</v>
      </c>
    </row>
    <row r="77" spans="1:16" ht="15.75" x14ac:dyDescent="0.3">
      <c r="A77" s="3" t="s">
        <v>14</v>
      </c>
      <c r="B77" s="24">
        <v>3575</v>
      </c>
      <c r="C77" s="5">
        <v>151</v>
      </c>
      <c r="D77" s="24">
        <v>1428</v>
      </c>
      <c r="E77" s="27">
        <v>0.83362575680739615</v>
      </c>
      <c r="F77" s="28">
        <v>44.7</v>
      </c>
      <c r="G77" s="26">
        <v>1.712</v>
      </c>
      <c r="H77" s="13" t="s">
        <v>5</v>
      </c>
      <c r="I77" s="26">
        <v>0.309</v>
      </c>
      <c r="J77" s="7"/>
      <c r="K77" s="37">
        <v>1.29747949764333E-5</v>
      </c>
      <c r="L77" s="24">
        <v>5518</v>
      </c>
      <c r="M77" s="18">
        <v>1.6586662469385278</v>
      </c>
      <c r="N77" s="13" t="s">
        <v>5</v>
      </c>
      <c r="O77" s="49">
        <f t="shared" si="0"/>
        <v>1.7388878321479426</v>
      </c>
      <c r="P77">
        <f>ABS((G77-O77)/O77)</f>
        <v>1.5462660472314508E-2</v>
      </c>
    </row>
    <row r="78" spans="1:16" ht="15.75" x14ac:dyDescent="0.3">
      <c r="A78" s="3" t="s">
        <v>14</v>
      </c>
      <c r="B78" s="24">
        <v>3265</v>
      </c>
      <c r="C78" s="5">
        <v>155</v>
      </c>
      <c r="D78" s="24">
        <v>1316.8520531613119</v>
      </c>
      <c r="E78" s="26">
        <v>0.91363998027137561</v>
      </c>
      <c r="F78" s="29">
        <v>41.4</v>
      </c>
      <c r="G78" s="26">
        <v>1.7046470189183824</v>
      </c>
      <c r="H78" s="13" t="s">
        <v>5</v>
      </c>
      <c r="I78" s="26">
        <v>0.45250000000000001</v>
      </c>
      <c r="J78" s="7"/>
      <c r="K78" s="37">
        <v>1.4761725370070495E-5</v>
      </c>
      <c r="L78" s="24">
        <v>4694</v>
      </c>
      <c r="M78" s="18">
        <v>1.6637045819994651</v>
      </c>
      <c r="N78" s="13" t="s">
        <v>5</v>
      </c>
      <c r="O78" s="49">
        <f t="shared" si="0"/>
        <v>1.7106700494679883</v>
      </c>
      <c r="P78">
        <f>ABS((G78-O78)/O78)</f>
        <v>3.5208604672063936E-3</v>
      </c>
    </row>
    <row r="79" spans="1:16" ht="15.75" x14ac:dyDescent="0.3">
      <c r="A79" s="4" t="s">
        <v>15</v>
      </c>
      <c r="B79" s="14">
        <v>3415</v>
      </c>
      <c r="C79" s="30">
        <v>153</v>
      </c>
      <c r="D79" s="20">
        <v>1371</v>
      </c>
      <c r="E79" s="19">
        <v>0.84958189781021909</v>
      </c>
      <c r="F79" s="13">
        <v>45.07</v>
      </c>
      <c r="G79" s="31">
        <v>1.7246999999999999</v>
      </c>
      <c r="H79" s="13" t="s">
        <v>5</v>
      </c>
      <c r="I79" s="32">
        <v>0.254</v>
      </c>
      <c r="J79" s="32"/>
      <c r="K79" s="6">
        <v>2.0641000000000001E-5</v>
      </c>
      <c r="L79" s="14">
        <v>5605</v>
      </c>
      <c r="M79" s="31">
        <v>1.6646000000000001</v>
      </c>
      <c r="N79" s="13" t="s">
        <v>5</v>
      </c>
      <c r="O79" s="49">
        <f t="shared" si="0"/>
        <v>1.7194821250756362</v>
      </c>
      <c r="P79">
        <f>ABS((G79-O79)/O79)</f>
        <v>3.0345618882976926E-3</v>
      </c>
    </row>
    <row r="80" spans="1:16" ht="15.75" x14ac:dyDescent="0.3">
      <c r="A80" s="3" t="s">
        <v>13</v>
      </c>
      <c r="B80" s="5">
        <v>2923</v>
      </c>
      <c r="C80" s="5">
        <v>270</v>
      </c>
      <c r="D80" s="30">
        <v>1220.3824306769673</v>
      </c>
      <c r="E80" s="18">
        <v>0.95694427106172286</v>
      </c>
      <c r="F80" s="17">
        <v>42.6</v>
      </c>
      <c r="G80" s="18">
        <v>1.8679349568299397</v>
      </c>
      <c r="H80" s="13" t="s">
        <v>5</v>
      </c>
      <c r="I80" s="18">
        <v>0.183</v>
      </c>
      <c r="J80" s="7"/>
      <c r="K80" s="21">
        <v>3.5836299846315902E-5</v>
      </c>
      <c r="L80" s="5">
        <v>8200</v>
      </c>
      <c r="M80" s="18">
        <v>1.6671422130787923</v>
      </c>
      <c r="N80" s="13" t="s">
        <v>5</v>
      </c>
      <c r="O80" s="49">
        <f t="shared" si="0"/>
        <v>1.8481629950235523</v>
      </c>
      <c r="P80">
        <f>ABS((G80-O80)/O80)</f>
        <v>1.0698169944764769E-2</v>
      </c>
    </row>
    <row r="81" spans="1:16" ht="15.75" x14ac:dyDescent="0.3">
      <c r="A81" s="3" t="s">
        <v>14</v>
      </c>
      <c r="B81" s="25">
        <v>3452</v>
      </c>
      <c r="C81" s="5">
        <v>175</v>
      </c>
      <c r="D81" s="24">
        <v>1446</v>
      </c>
      <c r="E81" s="27">
        <v>0.84904356846473017</v>
      </c>
      <c r="F81" s="28">
        <v>45.4</v>
      </c>
      <c r="G81" s="26">
        <v>1.7769999999999999</v>
      </c>
      <c r="H81" s="13" t="s">
        <v>5</v>
      </c>
      <c r="I81" s="26">
        <v>0.28531483083514203</v>
      </c>
      <c r="J81" s="7"/>
      <c r="K81" s="37">
        <v>1.2663605579472001E-5</v>
      </c>
      <c r="L81" s="24">
        <v>6530</v>
      </c>
      <c r="M81" s="18">
        <v>1.6875706647617661</v>
      </c>
      <c r="N81" s="13" t="s">
        <v>5</v>
      </c>
      <c r="O81" s="49">
        <f t="shared" si="0"/>
        <v>1.8061588023566382</v>
      </c>
      <c r="P81">
        <f>ABS((G81-O81)/O81)</f>
        <v>1.6144096697694833E-2</v>
      </c>
    </row>
    <row r="82" spans="1:16" ht="15.75" x14ac:dyDescent="0.3">
      <c r="A82" s="3" t="s">
        <v>14</v>
      </c>
      <c r="B82" s="40">
        <v>3629</v>
      </c>
      <c r="C82" s="5">
        <v>156</v>
      </c>
      <c r="D82" s="24">
        <v>1477</v>
      </c>
      <c r="E82" s="27">
        <v>0.82269146712161434</v>
      </c>
      <c r="F82" s="28">
        <v>44</v>
      </c>
      <c r="G82" s="26">
        <v>1.7509999999999999</v>
      </c>
      <c r="H82" s="13" t="s">
        <v>5</v>
      </c>
      <c r="I82" s="26">
        <v>0.314</v>
      </c>
      <c r="J82" s="7"/>
      <c r="K82" s="37">
        <v>1.33689711230295E-5</v>
      </c>
      <c r="L82" s="24">
        <v>5723</v>
      </c>
      <c r="M82" s="18">
        <v>1.6913580368436223</v>
      </c>
      <c r="N82" s="13" t="s">
        <v>5</v>
      </c>
      <c r="O82" s="49">
        <f t="shared" si="0"/>
        <v>1.7740787916334944</v>
      </c>
      <c r="P82">
        <f>ABS((G82-O82)/O82)</f>
        <v>1.3008887622316098E-2</v>
      </c>
    </row>
    <row r="83" spans="1:16" ht="15.75" x14ac:dyDescent="0.3">
      <c r="A83" s="4" t="s">
        <v>15</v>
      </c>
      <c r="B83" s="14">
        <v>3465</v>
      </c>
      <c r="C83" s="30">
        <v>140</v>
      </c>
      <c r="D83" s="20">
        <v>1455</v>
      </c>
      <c r="E83" s="19">
        <v>0.80935814432989683</v>
      </c>
      <c r="F83" s="13">
        <v>43.88</v>
      </c>
      <c r="G83" s="31">
        <v>1.7339</v>
      </c>
      <c r="H83" s="13" t="s">
        <v>5</v>
      </c>
      <c r="I83" s="32">
        <v>0.434</v>
      </c>
      <c r="J83" s="32"/>
      <c r="K83" s="6">
        <v>2.06329E-5</v>
      </c>
      <c r="L83" s="14">
        <v>4865</v>
      </c>
      <c r="M83" s="31">
        <v>1.6921999999999999</v>
      </c>
      <c r="N83" s="13" t="s">
        <v>5</v>
      </c>
      <c r="O83" s="49">
        <f t="shared" si="0"/>
        <v>1.7314668102599198</v>
      </c>
      <c r="P83">
        <f>ABS((G83-O83)/O83)</f>
        <v>1.4052765699360777E-3</v>
      </c>
    </row>
    <row r="84" spans="1:16" ht="15.75" x14ac:dyDescent="0.3">
      <c r="A84" s="4" t="s">
        <v>15</v>
      </c>
      <c r="B84" s="14">
        <v>3515</v>
      </c>
      <c r="C84" s="30">
        <v>185</v>
      </c>
      <c r="D84" s="20">
        <v>1573</v>
      </c>
      <c r="E84" s="19">
        <v>0.84594531668754847</v>
      </c>
      <c r="F84" s="13">
        <v>45.82</v>
      </c>
      <c r="G84" s="31">
        <v>1.8840719058200459</v>
      </c>
      <c r="H84" s="13" t="s">
        <v>5</v>
      </c>
      <c r="I84" s="32">
        <v>0.2</v>
      </c>
      <c r="J84" s="32"/>
      <c r="K84" s="6">
        <v>2.7552E-5</v>
      </c>
      <c r="L84" s="14">
        <v>9815</v>
      </c>
      <c r="M84" s="31">
        <v>1.7033262209799349</v>
      </c>
      <c r="N84" s="13" t="s">
        <v>5</v>
      </c>
      <c r="O84" s="49">
        <f t="shared" si="0"/>
        <v>1.9000889857049381</v>
      </c>
      <c r="P84">
        <f>ABS((G84-O84)/O84)</f>
        <v>8.4296472456787726E-3</v>
      </c>
    </row>
    <row r="85" spans="1:16" ht="15.75" x14ac:dyDescent="0.3">
      <c r="A85" s="3" t="s">
        <v>14</v>
      </c>
      <c r="B85" s="24">
        <v>3482</v>
      </c>
      <c r="C85" s="5">
        <v>165</v>
      </c>
      <c r="D85" s="24">
        <v>1482</v>
      </c>
      <c r="E85" s="27">
        <v>0.84429487179487173</v>
      </c>
      <c r="F85" s="28">
        <v>44.3</v>
      </c>
      <c r="G85" s="26">
        <v>1.7769999999999999</v>
      </c>
      <c r="H85" s="13" t="s">
        <v>5</v>
      </c>
      <c r="I85" s="26">
        <v>0.27500000000000002</v>
      </c>
      <c r="J85" s="7"/>
      <c r="K85" s="37">
        <v>1.36840244771081E-5</v>
      </c>
      <c r="L85" s="24">
        <v>5895</v>
      </c>
      <c r="M85" s="18">
        <v>1.7033367934411385</v>
      </c>
      <c r="N85" s="13" t="s">
        <v>5</v>
      </c>
      <c r="O85" s="49">
        <f t="shared" ref="O85:O144" si="1">EXP(    ($B$1+$B$2*LN(C85) + $B$3*LN(C85)^2)   *   ($B$4+$B$5*LN(F85) +$B$6*LN(F85)^2)    *  ($B$7+$B$8*LN(D85) +$B$9*LN(D85)^2)    *  ($B$10+$B$11*LN(E85) +$B$12*LN(E85)^2)   *  ($B$13+$B$14*LN(B85) +$B$15*LN(B85)^2)   )</f>
        <v>1.8037868451941033</v>
      </c>
      <c r="P85">
        <f>ABS((G85-O85)/O85)</f>
        <v>1.4850338478447463E-2</v>
      </c>
    </row>
    <row r="86" spans="1:16" ht="15.75" x14ac:dyDescent="0.3">
      <c r="A86" s="3" t="s">
        <v>13</v>
      </c>
      <c r="B86" s="5">
        <v>2944</v>
      </c>
      <c r="C86" s="5">
        <v>270</v>
      </c>
      <c r="D86" s="30">
        <v>1300.3197900526727</v>
      </c>
      <c r="E86" s="18">
        <v>0.99283819657972716</v>
      </c>
      <c r="F86" s="17">
        <v>42.5</v>
      </c>
      <c r="G86" s="18">
        <v>1.9198054319023261</v>
      </c>
      <c r="H86" s="13" t="s">
        <v>5</v>
      </c>
      <c r="I86" s="18">
        <v>0.1363</v>
      </c>
      <c r="J86" s="7"/>
      <c r="K86" s="21">
        <v>3.66317661139909E-5</v>
      </c>
      <c r="L86" s="5">
        <v>8150</v>
      </c>
      <c r="M86" s="18">
        <v>1.7065076919342763</v>
      </c>
      <c r="N86" s="13" t="s">
        <v>5</v>
      </c>
      <c r="O86" s="49">
        <f t="shared" si="1"/>
        <v>1.9098339153672772</v>
      </c>
      <c r="P86">
        <f>ABS((G86-O86)/O86)</f>
        <v>5.2211432914737515E-3</v>
      </c>
    </row>
    <row r="87" spans="1:16" ht="15.75" x14ac:dyDescent="0.3">
      <c r="A87" s="3" t="s">
        <v>13</v>
      </c>
      <c r="B87" s="5">
        <v>3149</v>
      </c>
      <c r="C87" s="5">
        <v>241</v>
      </c>
      <c r="D87" s="30">
        <v>1302.9698972755696</v>
      </c>
      <c r="E87" s="18">
        <v>0.88902905853998426</v>
      </c>
      <c r="F87" s="17">
        <v>42.8</v>
      </c>
      <c r="G87" s="18">
        <v>1.8582176927835234</v>
      </c>
      <c r="H87" s="13" t="s">
        <v>5</v>
      </c>
      <c r="I87" s="18">
        <v>0.156</v>
      </c>
      <c r="J87" s="7"/>
      <c r="K87" s="21">
        <v>3.3405927508536401E-5</v>
      </c>
      <c r="L87" s="5">
        <v>6840</v>
      </c>
      <c r="M87" s="18">
        <v>1.7148134475218746</v>
      </c>
      <c r="N87" s="13" t="s">
        <v>5</v>
      </c>
      <c r="O87" s="49">
        <f t="shared" si="1"/>
        <v>1.8510809471721519</v>
      </c>
      <c r="P87">
        <f>ABS((G87-O87)/O87)</f>
        <v>3.8554476087467619E-3</v>
      </c>
    </row>
    <row r="88" spans="1:16" ht="15.75" x14ac:dyDescent="0.3">
      <c r="A88" s="3" t="s">
        <v>13</v>
      </c>
      <c r="B88" s="5">
        <v>3066</v>
      </c>
      <c r="C88" s="5">
        <v>270</v>
      </c>
      <c r="D88" s="30">
        <v>1317.9111629386198</v>
      </c>
      <c r="E88" s="18">
        <v>0.97099999999999997</v>
      </c>
      <c r="F88" s="17">
        <v>41.8</v>
      </c>
      <c r="G88" s="18">
        <v>1.9114061086963996</v>
      </c>
      <c r="H88" s="13" t="s">
        <v>5</v>
      </c>
      <c r="I88" s="18">
        <v>0.15531206651272</v>
      </c>
      <c r="J88" s="7"/>
      <c r="K88" s="21">
        <v>3.0711608145691098E-5</v>
      </c>
      <c r="L88" s="5">
        <v>8100</v>
      </c>
      <c r="M88" s="18">
        <v>1.7229050776838599</v>
      </c>
      <c r="N88" s="13" t="s">
        <v>5</v>
      </c>
      <c r="O88" s="49">
        <f t="shared" si="1"/>
        <v>1.9187564470173299</v>
      </c>
      <c r="P88">
        <f>ABS((G88-O88)/O88)</f>
        <v>3.8307823446567745E-3</v>
      </c>
    </row>
    <row r="89" spans="1:16" ht="15.75" x14ac:dyDescent="0.3">
      <c r="A89" s="4" t="s">
        <v>15</v>
      </c>
      <c r="B89" s="14">
        <v>3565</v>
      </c>
      <c r="C89" s="30">
        <v>152</v>
      </c>
      <c r="D89" s="20">
        <v>1562</v>
      </c>
      <c r="E89" s="19">
        <v>0.82400711082639333</v>
      </c>
      <c r="F89" s="13">
        <v>46.69</v>
      </c>
      <c r="G89" s="31">
        <v>1.8395999999999999</v>
      </c>
      <c r="H89" s="13" t="s">
        <v>5</v>
      </c>
      <c r="I89" s="32">
        <v>0.29299999999999998</v>
      </c>
      <c r="J89" s="32"/>
      <c r="K89" s="6">
        <v>2.3057500000000001E-5</v>
      </c>
      <c r="L89" s="14">
        <v>7315</v>
      </c>
      <c r="M89" s="31">
        <v>1.7322</v>
      </c>
      <c r="N89" s="13" t="s">
        <v>5</v>
      </c>
      <c r="O89" s="49">
        <f t="shared" si="1"/>
        <v>1.8154483677996576</v>
      </c>
      <c r="P89">
        <f>ABS((G89-O89)/O89)</f>
        <v>1.3303398008291672E-2</v>
      </c>
    </row>
    <row r="90" spans="1:16" ht="15.75" x14ac:dyDescent="0.3">
      <c r="A90" s="4" t="s">
        <v>15</v>
      </c>
      <c r="B90" s="14">
        <v>3615</v>
      </c>
      <c r="C90" s="30">
        <v>143</v>
      </c>
      <c r="D90" s="20">
        <v>1537</v>
      </c>
      <c r="E90" s="19">
        <v>0.83229050097592716</v>
      </c>
      <c r="F90" s="13">
        <v>44.76</v>
      </c>
      <c r="G90" s="31">
        <v>1.7962</v>
      </c>
      <c r="H90" s="13" t="s">
        <v>5</v>
      </c>
      <c r="I90" s="32">
        <v>0.23799999999999999</v>
      </c>
      <c r="J90" s="32"/>
      <c r="K90" s="6">
        <v>2.0970200000000001E-5</v>
      </c>
      <c r="L90" s="14">
        <v>5365</v>
      </c>
      <c r="M90" s="31">
        <v>1.7427999999999999</v>
      </c>
      <c r="N90" s="13" t="s">
        <v>5</v>
      </c>
      <c r="O90" s="49">
        <f t="shared" si="1"/>
        <v>1.7757592630868146</v>
      </c>
      <c r="P90">
        <f>ABS((G90-O90)/O90)</f>
        <v>1.1510984252253371E-2</v>
      </c>
    </row>
    <row r="91" spans="1:16" ht="15.75" x14ac:dyDescent="0.3">
      <c r="A91" s="4" t="s">
        <v>15</v>
      </c>
      <c r="B91" s="14">
        <v>3501</v>
      </c>
      <c r="C91" s="30">
        <v>174</v>
      </c>
      <c r="D91" s="20">
        <v>1667.7686823505683</v>
      </c>
      <c r="E91" s="19">
        <v>0.83574909006792664</v>
      </c>
      <c r="F91" s="13">
        <v>46.658961138443573</v>
      </c>
      <c r="G91" s="31">
        <v>1.9055786070768399</v>
      </c>
      <c r="H91" s="13" t="s">
        <v>5</v>
      </c>
      <c r="I91" s="32">
        <v>0.1800575556996</v>
      </c>
      <c r="J91" s="32"/>
      <c r="K91" s="6">
        <v>2.5861872746664799E-5</v>
      </c>
      <c r="L91" s="14">
        <v>8227</v>
      </c>
      <c r="M91" s="31">
        <v>1.75703537278207</v>
      </c>
      <c r="N91" s="13" t="s">
        <v>5</v>
      </c>
      <c r="O91" s="49">
        <f t="shared" si="1"/>
        <v>1.932458582603195</v>
      </c>
      <c r="P91">
        <f>ABS((G91-O91)/O91)</f>
        <v>1.3909729175227854E-2</v>
      </c>
    </row>
    <row r="92" spans="1:16" ht="15.75" x14ac:dyDescent="0.3">
      <c r="A92" s="4" t="s">
        <v>15</v>
      </c>
      <c r="B92" s="14">
        <v>3765.0250000000001</v>
      </c>
      <c r="C92" s="30">
        <v>164</v>
      </c>
      <c r="D92" s="20">
        <v>1633</v>
      </c>
      <c r="E92" s="19">
        <v>0.79283404776485</v>
      </c>
      <c r="F92" s="13">
        <v>47.66</v>
      </c>
      <c r="G92" s="31">
        <v>1.905</v>
      </c>
      <c r="H92" s="13" t="s">
        <v>5</v>
      </c>
      <c r="I92" s="32">
        <v>0.20899999999999999</v>
      </c>
      <c r="J92" s="32"/>
      <c r="K92" s="6">
        <v>2.86722E-5</v>
      </c>
      <c r="L92" s="14">
        <v>7671.0249999999996</v>
      </c>
      <c r="M92" s="31">
        <v>1.7716207204278491</v>
      </c>
      <c r="N92" s="13" t="s">
        <v>5</v>
      </c>
      <c r="O92" s="49">
        <f t="shared" si="1"/>
        <v>1.8765515727623678</v>
      </c>
      <c r="P92">
        <f>ABS((G92-O92)/O92)</f>
        <v>1.5159949585480793E-2</v>
      </c>
    </row>
    <row r="93" spans="1:16" ht="15.75" x14ac:dyDescent="0.3">
      <c r="A93" s="4" t="s">
        <v>15</v>
      </c>
      <c r="B93" s="14">
        <v>3815</v>
      </c>
      <c r="C93" s="30">
        <v>149</v>
      </c>
      <c r="D93" s="20">
        <v>1583</v>
      </c>
      <c r="E93" s="19">
        <v>0.82023585858585857</v>
      </c>
      <c r="F93" s="13">
        <v>44.41</v>
      </c>
      <c r="G93" s="31">
        <v>1.8231999999999999</v>
      </c>
      <c r="H93" s="13" t="s">
        <v>5</v>
      </c>
      <c r="I93" s="32">
        <v>0.254</v>
      </c>
      <c r="J93" s="32"/>
      <c r="K93" s="6">
        <v>2.1942399999999998E-5</v>
      </c>
      <c r="L93" s="14">
        <v>5215</v>
      </c>
      <c r="M93" s="31">
        <v>1.7758</v>
      </c>
      <c r="N93" s="13" t="s">
        <v>5</v>
      </c>
      <c r="O93" s="49">
        <f t="shared" si="1"/>
        <v>1.8060767688554253</v>
      </c>
      <c r="P93">
        <f>ABS((G93-O93)/O93)</f>
        <v>9.4808988409868025E-3</v>
      </c>
    </row>
    <row r="94" spans="1:16" ht="15.75" x14ac:dyDescent="0.3">
      <c r="A94" s="3" t="s">
        <v>13</v>
      </c>
      <c r="B94" s="5">
        <v>3280</v>
      </c>
      <c r="C94" s="5">
        <v>280</v>
      </c>
      <c r="D94" s="30">
        <v>1454</v>
      </c>
      <c r="E94" s="18">
        <v>0.87214580467675373</v>
      </c>
      <c r="F94" s="17">
        <v>43.3</v>
      </c>
      <c r="G94" s="18">
        <v>2.008</v>
      </c>
      <c r="H94" s="13" t="s">
        <v>5</v>
      </c>
      <c r="I94" s="18">
        <v>0.13900000000000001</v>
      </c>
      <c r="J94" s="7"/>
      <c r="K94" s="21">
        <v>5.2865999999999998E-5</v>
      </c>
      <c r="L94" s="5">
        <v>8192</v>
      </c>
      <c r="M94" s="18">
        <v>1.78</v>
      </c>
      <c r="N94" s="13" t="s">
        <v>5</v>
      </c>
      <c r="O94" s="49">
        <f t="shared" si="1"/>
        <v>2.0131136988705682</v>
      </c>
      <c r="P94">
        <f>ABS((G94-O94)/O94)</f>
        <v>2.5401937672160316E-3</v>
      </c>
    </row>
    <row r="95" spans="1:16" ht="15.75" x14ac:dyDescent="0.3">
      <c r="A95" s="4" t="s">
        <v>15</v>
      </c>
      <c r="B95" s="14">
        <v>3565</v>
      </c>
      <c r="C95" s="30">
        <v>142</v>
      </c>
      <c r="D95" s="20">
        <v>1598</v>
      </c>
      <c r="E95" s="19">
        <v>0.83444602876798013</v>
      </c>
      <c r="F95" s="13">
        <v>44.32</v>
      </c>
      <c r="G95" s="31">
        <v>1.8241000000000001</v>
      </c>
      <c r="H95" s="13" t="s">
        <v>5</v>
      </c>
      <c r="I95" s="32">
        <v>0.25900000000000001</v>
      </c>
      <c r="J95" s="32"/>
      <c r="K95" s="6">
        <v>2.1097100000000002E-5</v>
      </c>
      <c r="L95" s="14">
        <v>4731</v>
      </c>
      <c r="M95" s="31">
        <v>1.7854000000000001</v>
      </c>
      <c r="N95" s="13" t="s">
        <v>5</v>
      </c>
      <c r="O95" s="49">
        <f t="shared" si="1"/>
        <v>1.8069764566006088</v>
      </c>
      <c r="P95">
        <f>ABS((G95-O95)/O95)</f>
        <v>9.4763511371947183E-3</v>
      </c>
    </row>
    <row r="96" spans="1:16" ht="15.75" x14ac:dyDescent="0.3">
      <c r="A96" s="4" t="s">
        <v>15</v>
      </c>
      <c r="B96" s="14">
        <v>3865</v>
      </c>
      <c r="C96" s="30">
        <v>154</v>
      </c>
      <c r="D96" s="20">
        <v>1611</v>
      </c>
      <c r="E96" s="19">
        <v>0.8241312228429547</v>
      </c>
      <c r="F96" s="13">
        <v>44.43</v>
      </c>
      <c r="G96" s="31">
        <v>1.8481000000000001</v>
      </c>
      <c r="H96" s="13" t="s">
        <v>5</v>
      </c>
      <c r="I96" s="32">
        <v>0.21</v>
      </c>
      <c r="J96" s="32"/>
      <c r="K96" s="6">
        <v>2.41219E-5</v>
      </c>
      <c r="L96" s="14">
        <v>5180</v>
      </c>
      <c r="M96" s="31">
        <v>1.7997000000000001</v>
      </c>
      <c r="N96" s="13" t="s">
        <v>5</v>
      </c>
      <c r="O96" s="49">
        <f t="shared" si="1"/>
        <v>1.8314315064980438</v>
      </c>
      <c r="P96">
        <f>ABS((G96-O96)/O96)</f>
        <v>9.1013469206002885E-3</v>
      </c>
    </row>
    <row r="97" spans="1:16" ht="15.75" x14ac:dyDescent="0.3">
      <c r="A97" s="3" t="s">
        <v>13</v>
      </c>
      <c r="B97" s="5">
        <v>3310</v>
      </c>
      <c r="C97" s="5">
        <v>240</v>
      </c>
      <c r="D97" s="30">
        <v>1471.8214907124384</v>
      </c>
      <c r="E97" s="18">
        <v>0.84899999999999998</v>
      </c>
      <c r="F97" s="17">
        <v>44.7</v>
      </c>
      <c r="G97" s="18">
        <v>1.93272514077489</v>
      </c>
      <c r="H97" s="13" t="s">
        <v>5</v>
      </c>
      <c r="I97" s="18">
        <v>0.128</v>
      </c>
      <c r="J97" s="7"/>
      <c r="K97" s="21">
        <v>3.481969076520409E-5</v>
      </c>
      <c r="L97" s="5">
        <v>5500</v>
      </c>
      <c r="M97" s="18">
        <v>1.8178851069538626</v>
      </c>
      <c r="N97" s="13" t="s">
        <v>5</v>
      </c>
      <c r="O97" s="49">
        <f t="shared" si="1"/>
        <v>1.9533011510426268</v>
      </c>
      <c r="P97">
        <f>ABS((G97-O97)/O97)</f>
        <v>1.0533967205596441E-2</v>
      </c>
    </row>
    <row r="98" spans="1:16" ht="15.75" x14ac:dyDescent="0.3">
      <c r="A98" s="4" t="s">
        <v>15</v>
      </c>
      <c r="B98" s="14">
        <v>3915</v>
      </c>
      <c r="C98" s="30">
        <v>154</v>
      </c>
      <c r="D98" s="20">
        <v>1759</v>
      </c>
      <c r="E98" s="19">
        <v>0.84009799161896836</v>
      </c>
      <c r="F98" s="13">
        <v>45.09</v>
      </c>
      <c r="G98" s="31">
        <v>1.8997852987184269</v>
      </c>
      <c r="H98" s="13" t="s">
        <v>5</v>
      </c>
      <c r="I98" s="32">
        <v>0.36199999999999999</v>
      </c>
      <c r="J98" s="32"/>
      <c r="K98" s="6">
        <v>2.5837527208457165E-5</v>
      </c>
      <c r="L98" s="14">
        <v>6002</v>
      </c>
      <c r="M98" s="31">
        <v>1.8224080208375946</v>
      </c>
      <c r="N98" s="13" t="s">
        <v>5</v>
      </c>
      <c r="O98" s="49">
        <f t="shared" si="1"/>
        <v>1.9084215617881046</v>
      </c>
      <c r="P98">
        <f>ABS((G98-O98)/O98)</f>
        <v>4.5253434789250119E-3</v>
      </c>
    </row>
    <row r="99" spans="1:16" ht="15.75" x14ac:dyDescent="0.3">
      <c r="A99" s="3" t="s">
        <v>14</v>
      </c>
      <c r="B99" s="24">
        <v>3259</v>
      </c>
      <c r="C99" s="5">
        <v>188</v>
      </c>
      <c r="D99" s="24">
        <v>1662.9066039752083</v>
      </c>
      <c r="E99" s="27">
        <v>0.9249433431781553</v>
      </c>
      <c r="F99" s="28">
        <v>45.1</v>
      </c>
      <c r="G99" s="26">
        <v>1.9659859874729206</v>
      </c>
      <c r="H99" s="13" t="s">
        <v>5</v>
      </c>
      <c r="I99" s="26">
        <v>0.24250372633665854</v>
      </c>
      <c r="J99" s="7"/>
      <c r="K99" s="37">
        <v>1.4044040777892234E-5</v>
      </c>
      <c r="L99" s="24">
        <v>5915</v>
      </c>
      <c r="M99" s="18">
        <v>1.8588954904135278</v>
      </c>
      <c r="N99" s="13" t="s">
        <v>5</v>
      </c>
      <c r="O99" s="49">
        <f t="shared" si="1"/>
        <v>1.9791820291297058</v>
      </c>
      <c r="P99">
        <f>ABS((G99-O99)/O99)</f>
        <v>6.6674219261114338E-3</v>
      </c>
    </row>
    <row r="100" spans="1:16" ht="15.75" x14ac:dyDescent="0.3">
      <c r="A100" s="4" t="s">
        <v>15</v>
      </c>
      <c r="B100" s="14">
        <v>3981</v>
      </c>
      <c r="C100" s="30">
        <v>144</v>
      </c>
      <c r="D100" s="20">
        <v>1827</v>
      </c>
      <c r="E100" s="19">
        <v>0.77204269293924499</v>
      </c>
      <c r="F100" s="13">
        <v>45.6</v>
      </c>
      <c r="G100" s="31">
        <v>1.88574002017762</v>
      </c>
      <c r="H100" s="13" t="s">
        <v>5</v>
      </c>
      <c r="I100" s="32">
        <v>0.184</v>
      </c>
      <c r="J100" s="32"/>
      <c r="K100" s="23">
        <v>3.0246998091170203E-5</v>
      </c>
      <c r="L100" s="14">
        <v>4554</v>
      </c>
      <c r="M100" s="31">
        <v>1.86044577651448</v>
      </c>
      <c r="N100" s="13" t="s">
        <v>5</v>
      </c>
      <c r="O100" s="49">
        <f t="shared" si="1"/>
        <v>1.907444265586222</v>
      </c>
      <c r="P100">
        <f>ABS((G100-O100)/O100)</f>
        <v>1.1378704898584077E-2</v>
      </c>
    </row>
    <row r="101" spans="1:16" ht="15.75" x14ac:dyDescent="0.3">
      <c r="A101" s="3" t="s">
        <v>14</v>
      </c>
      <c r="B101" s="24">
        <v>3478</v>
      </c>
      <c r="C101" s="5">
        <v>189</v>
      </c>
      <c r="D101" s="24">
        <v>1669.824655779699</v>
      </c>
      <c r="E101" s="27">
        <v>0.90878470942589007</v>
      </c>
      <c r="F101" s="28">
        <v>45.1</v>
      </c>
      <c r="G101" s="26">
        <v>1.9542207314204327</v>
      </c>
      <c r="H101" s="13" t="s">
        <v>5</v>
      </c>
      <c r="I101" s="26">
        <v>0.23524203840575</v>
      </c>
      <c r="J101" s="7"/>
      <c r="K101" s="37">
        <v>1.58487149214415E-5</v>
      </c>
      <c r="L101" s="24">
        <v>5685</v>
      </c>
      <c r="M101" s="18">
        <v>1.8652054877412294</v>
      </c>
      <c r="N101" s="13" t="s">
        <v>5</v>
      </c>
      <c r="O101" s="49">
        <f t="shared" si="1"/>
        <v>1.972412112171928</v>
      </c>
      <c r="P101">
        <f>ABS((G101-O101)/O101)</f>
        <v>9.222910688509103E-3</v>
      </c>
    </row>
    <row r="102" spans="1:16" ht="15.75" x14ac:dyDescent="0.3">
      <c r="A102" s="3" t="s">
        <v>14</v>
      </c>
      <c r="B102" s="24">
        <v>3841.6959999999999</v>
      </c>
      <c r="C102" s="5">
        <v>161</v>
      </c>
      <c r="D102" s="24">
        <v>1908</v>
      </c>
      <c r="E102" s="27">
        <v>0.83407938415369509</v>
      </c>
      <c r="F102" s="28">
        <v>45.2</v>
      </c>
      <c r="G102" s="26">
        <v>1.98</v>
      </c>
      <c r="H102" s="13" t="s">
        <v>5</v>
      </c>
      <c r="I102" s="26">
        <v>0.24199999999999999</v>
      </c>
      <c r="J102" s="7"/>
      <c r="K102" s="37">
        <v>1.32050964869255E-5</v>
      </c>
      <c r="L102" s="24">
        <v>6914.9960000000001</v>
      </c>
      <c r="M102" s="18">
        <v>1.8716608335340812</v>
      </c>
      <c r="N102" s="13" t="s">
        <v>5</v>
      </c>
      <c r="O102" s="49">
        <f t="shared" si="1"/>
        <v>2.0111037506679792</v>
      </c>
      <c r="P102">
        <f>ABS((G102-O102)/O102)</f>
        <v>1.5466009974695856E-2</v>
      </c>
    </row>
    <row r="103" spans="1:16" ht="15.75" x14ac:dyDescent="0.3">
      <c r="A103" s="4" t="s">
        <v>15</v>
      </c>
      <c r="B103" s="14">
        <v>3955</v>
      </c>
      <c r="C103" s="30">
        <v>159</v>
      </c>
      <c r="D103" s="20">
        <v>1882</v>
      </c>
      <c r="E103" s="19">
        <v>0.83111498405951112</v>
      </c>
      <c r="F103" s="13">
        <v>46.47</v>
      </c>
      <c r="G103" s="31">
        <v>1.9730000000000001</v>
      </c>
      <c r="H103" s="13" t="s">
        <v>5</v>
      </c>
      <c r="I103" s="32">
        <v>0.17299999999999999</v>
      </c>
      <c r="J103" s="32"/>
      <c r="K103" s="6">
        <v>2.7320860476648599E-5</v>
      </c>
      <c r="L103" s="14">
        <v>6115</v>
      </c>
      <c r="M103" s="31">
        <v>1.887</v>
      </c>
      <c r="N103" s="13" t="s">
        <v>5</v>
      </c>
      <c r="O103" s="49">
        <f t="shared" si="1"/>
        <v>1.9881542371453997</v>
      </c>
      <c r="P103">
        <f>ABS((G103-O103)/O103)</f>
        <v>7.6222643405967185E-3</v>
      </c>
    </row>
    <row r="104" spans="1:16" ht="15.75" x14ac:dyDescent="0.3">
      <c r="A104" s="4" t="s">
        <v>15</v>
      </c>
      <c r="B104" s="14">
        <v>3815</v>
      </c>
      <c r="C104" s="30">
        <v>174</v>
      </c>
      <c r="D104" s="20">
        <v>1784</v>
      </c>
      <c r="E104" s="19">
        <v>0.83123413677130042</v>
      </c>
      <c r="F104" s="13">
        <v>48.3</v>
      </c>
      <c r="G104" s="31">
        <v>1.9897</v>
      </c>
      <c r="H104" s="13" t="s">
        <v>5</v>
      </c>
      <c r="I104" s="32">
        <v>0.20899999999999999</v>
      </c>
      <c r="J104" s="32"/>
      <c r="K104" s="6">
        <v>2.88053E-5</v>
      </c>
      <c r="L104" s="14">
        <v>6115</v>
      </c>
      <c r="M104" s="31">
        <v>1.89041397</v>
      </c>
      <c r="N104" s="13" t="s">
        <v>5</v>
      </c>
      <c r="O104" s="49">
        <f t="shared" si="1"/>
        <v>1.9914480571849476</v>
      </c>
      <c r="P104">
        <f>ABS((G104-O104)/O104)</f>
        <v>8.7778196304980657E-4</v>
      </c>
    </row>
    <row r="105" spans="1:16" ht="15.75" x14ac:dyDescent="0.3">
      <c r="A105" s="4" t="s">
        <v>15</v>
      </c>
      <c r="B105" s="14">
        <v>3658</v>
      </c>
      <c r="C105" s="30">
        <v>165</v>
      </c>
      <c r="D105" s="20">
        <v>1925</v>
      </c>
      <c r="E105" s="19">
        <v>0.81186086770028443</v>
      </c>
      <c r="F105" s="13">
        <v>46.8</v>
      </c>
      <c r="G105" s="31">
        <v>2.0635741274033896</v>
      </c>
      <c r="H105" s="13" t="s">
        <v>5</v>
      </c>
      <c r="I105" s="32">
        <v>0.17435896980184501</v>
      </c>
      <c r="J105" s="32"/>
      <c r="K105" s="6">
        <v>2.7064067788050001E-5</v>
      </c>
      <c r="L105" s="14">
        <v>8330</v>
      </c>
      <c r="M105" s="31">
        <v>1.8912825290639923</v>
      </c>
      <c r="N105" s="13" t="s">
        <v>5</v>
      </c>
      <c r="O105" s="49">
        <f t="shared" si="1"/>
        <v>2.0443769874135516</v>
      </c>
      <c r="P105">
        <f>ABS((G105-O105)/O105)</f>
        <v>9.390215262658274E-3</v>
      </c>
    </row>
    <row r="106" spans="1:16" ht="15.75" x14ac:dyDescent="0.3">
      <c r="A106" s="3" t="s">
        <v>14</v>
      </c>
      <c r="B106" s="24">
        <v>3584.9960000000001</v>
      </c>
      <c r="C106" s="5">
        <v>163</v>
      </c>
      <c r="D106" s="24">
        <v>1883.8370124237647</v>
      </c>
      <c r="E106" s="26">
        <v>0.78564357945546592</v>
      </c>
      <c r="F106" s="29">
        <v>47.771298521831739</v>
      </c>
      <c r="G106" s="26">
        <v>1.99739661192361</v>
      </c>
      <c r="H106" s="13" t="s">
        <v>5</v>
      </c>
      <c r="I106" s="26">
        <v>0.2286</v>
      </c>
      <c r="J106" s="7"/>
      <c r="K106" s="37">
        <v>1.6840000000000001E-5</v>
      </c>
      <c r="L106" s="24">
        <v>6015</v>
      </c>
      <c r="M106" s="18">
        <v>1.8919970656473581</v>
      </c>
      <c r="N106" s="13" t="s">
        <v>5</v>
      </c>
      <c r="O106" s="49">
        <f t="shared" si="1"/>
        <v>2.0220024307915851</v>
      </c>
      <c r="P106">
        <f>ABS((G106-O106)/O106)</f>
        <v>1.2169035255977593E-2</v>
      </c>
    </row>
    <row r="107" spans="1:16" ht="15.75" x14ac:dyDescent="0.3">
      <c r="A107" s="4" t="s">
        <v>15</v>
      </c>
      <c r="B107" s="14">
        <v>3955</v>
      </c>
      <c r="C107" s="30">
        <v>140</v>
      </c>
      <c r="D107" s="20">
        <v>1776</v>
      </c>
      <c r="E107" s="19">
        <v>0.83418704954954959</v>
      </c>
      <c r="F107" s="13">
        <v>44.12</v>
      </c>
      <c r="G107" s="31">
        <v>1.901</v>
      </c>
      <c r="H107" s="13" t="s">
        <v>5</v>
      </c>
      <c r="I107" s="32">
        <v>0.21299999999999999</v>
      </c>
      <c r="J107" s="32"/>
      <c r="K107" s="6">
        <v>2.2328200000000001E-5</v>
      </c>
      <c r="L107" s="14">
        <v>3726</v>
      </c>
      <c r="M107" s="31">
        <v>1.901</v>
      </c>
      <c r="N107" s="13" t="s">
        <v>5</v>
      </c>
      <c r="O107" s="49">
        <f t="shared" si="1"/>
        <v>1.8755719662101069</v>
      </c>
      <c r="P107">
        <f>ABS((G107-O107)/O107)</f>
        <v>1.3557482329656761E-2</v>
      </c>
    </row>
    <row r="108" spans="1:16" ht="15.75" x14ac:dyDescent="0.3">
      <c r="A108" s="4" t="s">
        <v>15</v>
      </c>
      <c r="B108" s="14">
        <v>3992</v>
      </c>
      <c r="C108" s="30">
        <v>169</v>
      </c>
      <c r="D108" s="20">
        <v>1902.8279498619736</v>
      </c>
      <c r="E108" s="19">
        <v>0.83751465827147997</v>
      </c>
      <c r="F108" s="13">
        <v>46.98</v>
      </c>
      <c r="G108" s="31">
        <v>2.0244</v>
      </c>
      <c r="H108" s="13" t="s">
        <v>5</v>
      </c>
      <c r="I108" s="32">
        <v>0.188</v>
      </c>
      <c r="J108" s="32"/>
      <c r="K108" s="6">
        <v>2.8958600000000001E-5</v>
      </c>
      <c r="L108" s="14">
        <v>7108</v>
      </c>
      <c r="M108" s="31">
        <v>1.9049</v>
      </c>
      <c r="N108" s="13" t="s">
        <v>5</v>
      </c>
      <c r="O108" s="49">
        <f t="shared" si="1"/>
        <v>2.0293407881867696</v>
      </c>
      <c r="P108">
        <f>ABS((G108-O108)/O108)</f>
        <v>2.4346764306571707E-3</v>
      </c>
    </row>
    <row r="109" spans="1:16" ht="15.75" x14ac:dyDescent="0.3">
      <c r="A109" s="4" t="s">
        <v>15</v>
      </c>
      <c r="B109" s="14">
        <v>4315.0249999999996</v>
      </c>
      <c r="C109" s="30">
        <v>165</v>
      </c>
      <c r="D109" s="20">
        <v>1928</v>
      </c>
      <c r="E109" s="19">
        <v>0.76893049792531121</v>
      </c>
      <c r="F109" s="13">
        <v>45.91</v>
      </c>
      <c r="G109" s="31">
        <v>1.99082731299834</v>
      </c>
      <c r="H109" s="13" t="s">
        <v>5</v>
      </c>
      <c r="I109" s="32">
        <v>0.33200000000000002</v>
      </c>
      <c r="J109" s="32"/>
      <c r="K109" s="6">
        <v>3.0369200000000001E-5</v>
      </c>
      <c r="L109" s="14">
        <v>6213.0249999999996</v>
      </c>
      <c r="M109" s="31">
        <v>1.9061399734829223</v>
      </c>
      <c r="N109" s="13" t="s">
        <v>5</v>
      </c>
      <c r="O109" s="49">
        <f t="shared" si="1"/>
        <v>2.0073989535908674</v>
      </c>
      <c r="P109">
        <f>ABS((G109-O109)/O109)</f>
        <v>8.2552800791709808E-3</v>
      </c>
    </row>
    <row r="110" spans="1:16" ht="15.75" x14ac:dyDescent="0.3">
      <c r="A110" s="4" t="s">
        <v>15</v>
      </c>
      <c r="B110" s="14">
        <v>3865</v>
      </c>
      <c r="C110" s="30">
        <v>147</v>
      </c>
      <c r="D110" s="20">
        <v>1786</v>
      </c>
      <c r="E110" s="19">
        <v>0.84211125419932797</v>
      </c>
      <c r="F110" s="13">
        <v>43.8</v>
      </c>
      <c r="G110" s="31">
        <v>1.9545999999999999</v>
      </c>
      <c r="H110" s="13" t="s">
        <v>5</v>
      </c>
      <c r="I110" s="32">
        <v>0.20799999999999999</v>
      </c>
      <c r="J110" s="32"/>
      <c r="K110" s="6">
        <v>2.40754E-5</v>
      </c>
      <c r="L110" s="14">
        <v>4774</v>
      </c>
      <c r="M110" s="31">
        <v>1.9172</v>
      </c>
      <c r="N110" s="13" t="s">
        <v>5</v>
      </c>
      <c r="O110" s="49">
        <f t="shared" si="1"/>
        <v>1.9057890185641511</v>
      </c>
      <c r="P110">
        <f>ABS((G110-O110)/O110)</f>
        <v>2.5611954398091625E-2</v>
      </c>
    </row>
    <row r="111" spans="1:16" ht="15.75" x14ac:dyDescent="0.3">
      <c r="A111" s="4" t="s">
        <v>15</v>
      </c>
      <c r="B111" s="14">
        <v>5249.65</v>
      </c>
      <c r="C111" s="30">
        <v>143</v>
      </c>
      <c r="D111" s="20">
        <v>1964</v>
      </c>
      <c r="E111" s="19">
        <v>0.69889205702647672</v>
      </c>
      <c r="F111" s="13">
        <v>44.34</v>
      </c>
      <c r="G111" s="31">
        <v>1.9510000000000001</v>
      </c>
      <c r="H111" s="13" t="s">
        <v>5</v>
      </c>
      <c r="I111" s="32">
        <v>0.223</v>
      </c>
      <c r="J111" s="32"/>
      <c r="K111" s="6">
        <v>2.46257E-5</v>
      </c>
      <c r="L111" s="14">
        <v>5594.65</v>
      </c>
      <c r="M111" s="31">
        <v>1.9350000000000001</v>
      </c>
      <c r="N111" s="13" t="s">
        <v>5</v>
      </c>
      <c r="O111" s="49">
        <f t="shared" si="1"/>
        <v>1.919442961427928</v>
      </c>
      <c r="P111">
        <f>ABS((G111-O111)/O111)</f>
        <v>1.6440727443443208E-2</v>
      </c>
    </row>
    <row r="112" spans="1:16" ht="15.75" x14ac:dyDescent="0.3">
      <c r="A112" s="4" t="s">
        <v>15</v>
      </c>
      <c r="B112" s="14">
        <v>4349</v>
      </c>
      <c r="C112" s="30">
        <v>148</v>
      </c>
      <c r="D112" s="20">
        <v>2038</v>
      </c>
      <c r="E112" s="19">
        <v>0.88824140253969686</v>
      </c>
      <c r="F112" s="13">
        <v>44.56</v>
      </c>
      <c r="G112" s="31">
        <v>2.0019999999999998</v>
      </c>
      <c r="H112" s="33" t="s">
        <v>5</v>
      </c>
      <c r="I112" s="32">
        <v>0.188</v>
      </c>
      <c r="J112" s="32"/>
      <c r="K112" s="6">
        <v>2.4738317170880355E-5</v>
      </c>
      <c r="L112" s="14">
        <v>6002</v>
      </c>
      <c r="M112" s="31">
        <v>1.9382999999999999</v>
      </c>
      <c r="N112" s="13" t="s">
        <v>5</v>
      </c>
      <c r="O112" s="49">
        <f t="shared" si="1"/>
        <v>2.0181707327370502</v>
      </c>
      <c r="P112">
        <f>ABS((G112-O112)/O112)</f>
        <v>8.0125692414137733E-3</v>
      </c>
    </row>
    <row r="113" spans="1:16" ht="15.75" x14ac:dyDescent="0.3">
      <c r="A113" s="4" t="s">
        <v>15</v>
      </c>
      <c r="B113" s="14">
        <v>4115.0249999999996</v>
      </c>
      <c r="C113" s="30">
        <v>147</v>
      </c>
      <c r="D113" s="20">
        <v>1858</v>
      </c>
      <c r="E113" s="19">
        <v>0.82734391819160391</v>
      </c>
      <c r="F113" s="13">
        <v>45.53</v>
      </c>
      <c r="G113" s="31">
        <v>2.0020581987014658</v>
      </c>
      <c r="H113" s="13" t="s">
        <v>5</v>
      </c>
      <c r="I113" s="32">
        <v>0.215</v>
      </c>
      <c r="J113" s="32"/>
      <c r="K113" s="6">
        <v>2.4649699999999999E-5</v>
      </c>
      <c r="L113" s="14">
        <v>5637.0249999999996</v>
      </c>
      <c r="M113" s="31">
        <v>1.9392476670579872</v>
      </c>
      <c r="N113" s="13" t="s">
        <v>5</v>
      </c>
      <c r="O113" s="49">
        <f t="shared" si="1"/>
        <v>1.9306071133632743</v>
      </c>
      <c r="P113">
        <f>ABS((G113-O113)/O113)</f>
        <v>3.7009645744916976E-2</v>
      </c>
    </row>
    <row r="114" spans="1:16" ht="15.75" x14ac:dyDescent="0.3">
      <c r="A114" s="4" t="s">
        <v>15</v>
      </c>
      <c r="B114" s="14">
        <v>4115</v>
      </c>
      <c r="C114" s="30">
        <v>165</v>
      </c>
      <c r="D114" s="20">
        <v>1921.8963562753036</v>
      </c>
      <c r="E114" s="19">
        <v>0.80648070107880954</v>
      </c>
      <c r="F114" s="13">
        <v>44.5</v>
      </c>
      <c r="G114" s="31">
        <v>2.032</v>
      </c>
      <c r="H114" s="33" t="s">
        <v>5</v>
      </c>
      <c r="I114" s="32">
        <v>0.13337967864028299</v>
      </c>
      <c r="J114" s="32"/>
      <c r="K114" s="6">
        <v>2.6290000000000001E-5</v>
      </c>
      <c r="L114" s="14">
        <v>6180</v>
      </c>
      <c r="M114" s="31">
        <v>1.944</v>
      </c>
      <c r="N114" s="13" t="s">
        <v>5</v>
      </c>
      <c r="O114" s="49">
        <f t="shared" si="1"/>
        <v>2.0150667430027425</v>
      </c>
      <c r="P114">
        <f>ABS((G114-O114)/O114)</f>
        <v>8.4033231435424061E-3</v>
      </c>
    </row>
    <row r="115" spans="1:16" ht="15.75" x14ac:dyDescent="0.3">
      <c r="A115" s="4" t="s">
        <v>15</v>
      </c>
      <c r="B115" s="14">
        <v>4280</v>
      </c>
      <c r="C115" s="30">
        <v>170</v>
      </c>
      <c r="D115" s="20">
        <v>2124</v>
      </c>
      <c r="E115" s="19">
        <v>0.78740556732153377</v>
      </c>
      <c r="F115" s="13">
        <v>46.5</v>
      </c>
      <c r="G115" s="31">
        <v>2.1372361680955811</v>
      </c>
      <c r="H115" s="13" t="s">
        <v>5</v>
      </c>
      <c r="I115" s="32">
        <v>0.16700000000000001</v>
      </c>
      <c r="J115" s="32"/>
      <c r="K115" s="23">
        <v>3.7546883008720921E-5</v>
      </c>
      <c r="L115" s="14">
        <v>8000</v>
      </c>
      <c r="M115" s="31">
        <v>1.9788422467159459</v>
      </c>
      <c r="N115" s="13" t="s">
        <v>5</v>
      </c>
      <c r="O115" s="49">
        <f t="shared" si="1"/>
        <v>2.1333229895771777</v>
      </c>
      <c r="P115">
        <f>ABS((G115-O115)/O115)</f>
        <v>1.8343113244089851E-3</v>
      </c>
    </row>
    <row r="116" spans="1:16" ht="15.75" x14ac:dyDescent="0.3">
      <c r="A116" s="4" t="s">
        <v>15</v>
      </c>
      <c r="B116" s="14">
        <v>4498</v>
      </c>
      <c r="C116" s="30">
        <v>148</v>
      </c>
      <c r="D116" s="20">
        <v>2143</v>
      </c>
      <c r="E116" s="19">
        <v>0.88665790947270184</v>
      </c>
      <c r="F116" s="13">
        <v>44.8</v>
      </c>
      <c r="G116" s="31">
        <v>2.0310990912762636</v>
      </c>
      <c r="H116" s="13" t="s">
        <v>5</v>
      </c>
      <c r="I116" s="32">
        <v>0.188</v>
      </c>
      <c r="J116" s="32"/>
      <c r="K116" s="6">
        <v>2.50258E-5</v>
      </c>
      <c r="L116" s="14">
        <v>5695</v>
      </c>
      <c r="M116" s="31">
        <v>1.9804513013419314</v>
      </c>
      <c r="N116" s="13" t="s">
        <v>5</v>
      </c>
      <c r="O116" s="49">
        <f t="shared" si="1"/>
        <v>2.0641907670311261</v>
      </c>
      <c r="P116">
        <f>ABS((G116-O116)/O116)</f>
        <v>1.6031306933155902E-2</v>
      </c>
    </row>
    <row r="117" spans="1:16" ht="15.75" x14ac:dyDescent="0.3">
      <c r="A117" s="4" t="s">
        <v>15</v>
      </c>
      <c r="B117" s="5">
        <v>4127</v>
      </c>
      <c r="C117" s="5">
        <v>158</v>
      </c>
      <c r="D117" s="20">
        <v>2179.0347581216583</v>
      </c>
      <c r="E117" s="19">
        <v>0.82586756361566482</v>
      </c>
      <c r="F117" s="17">
        <v>47.86</v>
      </c>
      <c r="G117" s="18">
        <v>2.14110065649654</v>
      </c>
      <c r="H117" s="13" t="s">
        <v>5</v>
      </c>
      <c r="I117" s="36">
        <v>0.21029315067669996</v>
      </c>
      <c r="J117" s="36"/>
      <c r="K117" s="6">
        <v>2.9301800000000001E-5</v>
      </c>
      <c r="L117" s="5">
        <v>7426</v>
      </c>
      <c r="M117" s="18">
        <v>2.0040266297345735</v>
      </c>
      <c r="N117" s="13" t="s">
        <v>5</v>
      </c>
      <c r="O117" s="49">
        <f t="shared" si="1"/>
        <v>2.1411020314146452</v>
      </c>
      <c r="P117">
        <f>ABS((G117-O117)/O117)</f>
        <v>6.4215440692355704E-7</v>
      </c>
    </row>
    <row r="118" spans="1:16" ht="15.75" x14ac:dyDescent="0.3">
      <c r="A118" s="4" t="s">
        <v>15</v>
      </c>
      <c r="B118" s="5">
        <v>4335</v>
      </c>
      <c r="C118" s="5">
        <v>135</v>
      </c>
      <c r="D118" s="22">
        <v>1973</v>
      </c>
      <c r="E118" s="19">
        <v>0.84994320263829215</v>
      </c>
      <c r="F118" s="17">
        <v>44.46</v>
      </c>
      <c r="G118" s="18">
        <v>2.0062134571101491</v>
      </c>
      <c r="H118" s="13" t="s">
        <v>5</v>
      </c>
      <c r="I118" s="5">
        <v>0.26300000000000001</v>
      </c>
      <c r="J118" s="5"/>
      <c r="K118" s="21">
        <v>2.3988000000000001E-5</v>
      </c>
      <c r="L118" s="5">
        <v>4275</v>
      </c>
      <c r="M118" s="18">
        <v>2.0122722217506217</v>
      </c>
      <c r="N118" s="13" t="s">
        <v>5</v>
      </c>
      <c r="O118" s="49">
        <f t="shared" si="1"/>
        <v>1.9413983452439689</v>
      </c>
      <c r="P118">
        <f>ABS((G118-O118)/O118)</f>
        <v>3.3385787118323247E-2</v>
      </c>
    </row>
    <row r="119" spans="1:16" ht="15.75" x14ac:dyDescent="0.3">
      <c r="A119" s="4" t="s">
        <v>15</v>
      </c>
      <c r="B119" s="14">
        <v>3995</v>
      </c>
      <c r="C119" s="30">
        <v>162</v>
      </c>
      <c r="D119" s="20">
        <v>2072</v>
      </c>
      <c r="E119" s="19">
        <v>0.84604101208844851</v>
      </c>
      <c r="F119" s="13">
        <v>44.89</v>
      </c>
      <c r="G119" s="31">
        <v>2.1619999999999999</v>
      </c>
      <c r="H119" s="13" t="s">
        <v>5</v>
      </c>
      <c r="I119" s="32">
        <v>0.151</v>
      </c>
      <c r="J119" s="32"/>
      <c r="K119" s="6">
        <v>2.9722599999999999E-5</v>
      </c>
      <c r="L119" s="14">
        <v>7154</v>
      </c>
      <c r="M119" s="31">
        <v>2.0295999999999998</v>
      </c>
      <c r="N119" s="13" t="s">
        <v>5</v>
      </c>
      <c r="O119" s="49">
        <f t="shared" si="1"/>
        <v>2.0956153133908226</v>
      </c>
      <c r="P119">
        <f>ABS((G119-O119)/O119)</f>
        <v>3.1677897267205574E-2</v>
      </c>
    </row>
    <row r="120" spans="1:16" ht="15.75" x14ac:dyDescent="0.3">
      <c r="A120" s="4" t="s">
        <v>15</v>
      </c>
      <c r="B120" s="14">
        <v>4133</v>
      </c>
      <c r="C120" s="30">
        <v>162</v>
      </c>
      <c r="D120" s="20">
        <v>2163</v>
      </c>
      <c r="E120" s="19">
        <v>0.84338973647711524</v>
      </c>
      <c r="F120" s="13">
        <v>47.21</v>
      </c>
      <c r="G120" s="31">
        <v>2.1421000000000001</v>
      </c>
      <c r="H120" s="13" t="s">
        <v>5</v>
      </c>
      <c r="I120" s="32">
        <v>0.17399999999999999</v>
      </c>
      <c r="J120" s="32"/>
      <c r="K120" s="6">
        <v>3.0348992576962501E-5</v>
      </c>
      <c r="L120" s="14">
        <v>6318</v>
      </c>
      <c r="M120" s="31">
        <v>2.0386000000000002</v>
      </c>
      <c r="N120" s="13" t="s">
        <v>5</v>
      </c>
      <c r="O120" s="49">
        <f t="shared" si="1"/>
        <v>2.1437482013281239</v>
      </c>
      <c r="P120">
        <f>ABS((G120-O120)/O120)</f>
        <v>7.6884091475981446E-4</v>
      </c>
    </row>
    <row r="121" spans="1:16" ht="15.75" x14ac:dyDescent="0.3">
      <c r="A121" s="4" t="s">
        <v>15</v>
      </c>
      <c r="B121" s="14">
        <v>4161</v>
      </c>
      <c r="C121" s="30">
        <v>169</v>
      </c>
      <c r="D121" s="20">
        <v>2206</v>
      </c>
      <c r="E121" s="19">
        <v>0.81640797824116051</v>
      </c>
      <c r="F121" s="13">
        <v>46.200069761207317</v>
      </c>
      <c r="G121" s="31">
        <v>2.14764883740115</v>
      </c>
      <c r="H121" s="13" t="s">
        <v>5</v>
      </c>
      <c r="I121" s="32">
        <v>0.17599999999999999</v>
      </c>
      <c r="J121" s="32"/>
      <c r="K121" s="23">
        <v>3.2677395172111213E-5</v>
      </c>
      <c r="L121" s="14">
        <v>6365</v>
      </c>
      <c r="M121" s="31">
        <v>2.0428687487688331</v>
      </c>
      <c r="N121" s="13" t="s">
        <v>5</v>
      </c>
      <c r="O121" s="49">
        <f t="shared" si="1"/>
        <v>2.1826316984879859</v>
      </c>
      <c r="P121">
        <f>ABS((G121-O121)/O121)</f>
        <v>1.6027835163885056E-2</v>
      </c>
    </row>
    <row r="122" spans="1:16" ht="15.75" x14ac:dyDescent="0.3">
      <c r="A122" s="4" t="s">
        <v>15</v>
      </c>
      <c r="B122" s="14">
        <v>4217</v>
      </c>
      <c r="C122" s="30">
        <v>146</v>
      </c>
      <c r="D122" s="20">
        <v>2247</v>
      </c>
      <c r="E122" s="19">
        <v>0.8427257117437722</v>
      </c>
      <c r="F122" s="13">
        <v>46.89</v>
      </c>
      <c r="G122" s="31">
        <v>2.1732999999999998</v>
      </c>
      <c r="H122" s="13" t="s">
        <v>5</v>
      </c>
      <c r="I122" s="32">
        <v>0.21099999999999999</v>
      </c>
      <c r="J122" s="32"/>
      <c r="K122" s="6">
        <v>3.1637200000000003E-5</v>
      </c>
      <c r="L122" s="14">
        <v>6728</v>
      </c>
      <c r="M122" s="31">
        <v>2.0609999999999999</v>
      </c>
      <c r="N122" s="13" t="s">
        <v>5</v>
      </c>
      <c r="O122" s="49">
        <f t="shared" si="1"/>
        <v>2.123454954297769</v>
      </c>
      <c r="P122">
        <f>ABS((G122-O122)/O122)</f>
        <v>2.3473559258390141E-2</v>
      </c>
    </row>
    <row r="123" spans="1:16" ht="15.75" x14ac:dyDescent="0.3">
      <c r="A123" s="3" t="s">
        <v>13</v>
      </c>
      <c r="B123" s="5">
        <v>3609</v>
      </c>
      <c r="C123" s="5">
        <v>240</v>
      </c>
      <c r="D123" s="30">
        <v>1830</v>
      </c>
      <c r="E123" s="18">
        <v>0.99679574727810316</v>
      </c>
      <c r="F123" s="17">
        <v>41.4</v>
      </c>
      <c r="G123" s="18">
        <v>2.2355892603576124</v>
      </c>
      <c r="H123" s="13" t="s">
        <v>5</v>
      </c>
      <c r="I123" s="18">
        <v>0.13567425546815229</v>
      </c>
      <c r="J123" s="7"/>
      <c r="K123" s="21">
        <v>4.0392901023486177E-5</v>
      </c>
      <c r="L123" s="5">
        <v>6815</v>
      </c>
      <c r="M123" s="18">
        <v>2.0624873723608794</v>
      </c>
      <c r="N123" s="13" t="s">
        <v>5</v>
      </c>
      <c r="O123" s="49">
        <f t="shared" si="1"/>
        <v>2.2091311463074228</v>
      </c>
      <c r="P123">
        <f>ABS((G123-O123)/O123)</f>
        <v>1.1976705907394641E-2</v>
      </c>
    </row>
    <row r="124" spans="1:16" ht="15.75" x14ac:dyDescent="0.3">
      <c r="A124" s="4" t="s">
        <v>15</v>
      </c>
      <c r="B124" s="14">
        <v>4328.6499999999996</v>
      </c>
      <c r="C124" s="30">
        <v>143</v>
      </c>
      <c r="D124" s="20">
        <v>2261</v>
      </c>
      <c r="E124" s="19">
        <v>0.8055714285714286</v>
      </c>
      <c r="F124" s="13">
        <v>45.352893388326464</v>
      </c>
      <c r="G124" s="31">
        <v>2.1920000000000002</v>
      </c>
      <c r="H124" s="13" t="s">
        <v>5</v>
      </c>
      <c r="I124" s="32">
        <v>0.16600000000000001</v>
      </c>
      <c r="J124" s="32"/>
      <c r="K124" s="6">
        <v>2.97878E-5</v>
      </c>
      <c r="L124" s="14">
        <v>7114.65</v>
      </c>
      <c r="M124" s="31">
        <v>2.0699999999999998</v>
      </c>
      <c r="N124" s="13" t="s">
        <v>5</v>
      </c>
      <c r="O124" s="49">
        <f t="shared" si="1"/>
        <v>2.1056353897234366</v>
      </c>
      <c r="P124">
        <f>ABS((G124-O124)/O124)</f>
        <v>4.1015937848530901E-2</v>
      </c>
    </row>
    <row r="125" spans="1:16" ht="15.75" x14ac:dyDescent="0.3">
      <c r="A125" s="4" t="s">
        <v>15</v>
      </c>
      <c r="B125" s="14">
        <v>4375</v>
      </c>
      <c r="C125" s="30">
        <v>167</v>
      </c>
      <c r="D125" s="20">
        <v>2645</v>
      </c>
      <c r="E125" s="19">
        <v>0.80427641371235392</v>
      </c>
      <c r="F125" s="13">
        <v>47.52</v>
      </c>
      <c r="G125" s="31">
        <v>2.3553999999999999</v>
      </c>
      <c r="H125" s="13" t="s">
        <v>5</v>
      </c>
      <c r="I125" s="32">
        <v>0.17699999999999999</v>
      </c>
      <c r="J125" s="32"/>
      <c r="K125" s="6">
        <v>3.3244699999999997E-5</v>
      </c>
      <c r="L125" s="14">
        <v>11083</v>
      </c>
      <c r="M125" s="31">
        <v>2.0859999999999999</v>
      </c>
      <c r="N125" s="13" t="s">
        <v>5</v>
      </c>
      <c r="O125" s="49">
        <f t="shared" si="1"/>
        <v>2.4062742186834103</v>
      </c>
      <c r="P125">
        <f>ABS((G125-O125)/O125)</f>
        <v>2.1142319644369592E-2</v>
      </c>
    </row>
    <row r="126" spans="1:16" ht="15.75" x14ac:dyDescent="0.3">
      <c r="A126" s="4" t="s">
        <v>15</v>
      </c>
      <c r="B126" s="14">
        <v>4145</v>
      </c>
      <c r="C126" s="30">
        <v>158</v>
      </c>
      <c r="D126" s="20">
        <v>2196</v>
      </c>
      <c r="E126" s="19">
        <v>0.82779175398633253</v>
      </c>
      <c r="F126" s="13">
        <v>47.32</v>
      </c>
      <c r="G126" s="31">
        <v>2.1798999999999999</v>
      </c>
      <c r="H126" s="13" t="s">
        <v>5</v>
      </c>
      <c r="I126" s="32">
        <v>0.185</v>
      </c>
      <c r="J126" s="32"/>
      <c r="K126" s="6">
        <v>3.0255000000000001E-5</v>
      </c>
      <c r="L126" s="14">
        <v>5823</v>
      </c>
      <c r="M126" s="31">
        <v>2.0948000000000002</v>
      </c>
      <c r="N126" s="13" t="s">
        <v>5</v>
      </c>
      <c r="O126" s="49">
        <f t="shared" si="1"/>
        <v>2.1459472919211957</v>
      </c>
      <c r="P126">
        <f>ABS((G126-O126)/O126)</f>
        <v>1.5821780994633612E-2</v>
      </c>
    </row>
    <row r="127" spans="1:16" ht="15.75" x14ac:dyDescent="0.3">
      <c r="A127" s="4" t="s">
        <v>15</v>
      </c>
      <c r="B127" s="14">
        <v>4088</v>
      </c>
      <c r="C127" s="30">
        <v>148</v>
      </c>
      <c r="D127" s="20">
        <v>2393</v>
      </c>
      <c r="E127" s="19">
        <v>0.80163309653155035</v>
      </c>
      <c r="F127" s="13">
        <v>47.6</v>
      </c>
      <c r="G127" s="31">
        <v>2.2130739781586799</v>
      </c>
      <c r="H127" s="13" t="s">
        <v>5</v>
      </c>
      <c r="I127" s="32">
        <v>0.14699999999999999</v>
      </c>
      <c r="J127" s="32"/>
      <c r="K127" s="23">
        <v>3.2993586346309899E-5</v>
      </c>
      <c r="L127" s="14">
        <v>6177</v>
      </c>
      <c r="M127" s="31">
        <v>2.1040654680209947</v>
      </c>
      <c r="N127" s="13" t="s">
        <v>5</v>
      </c>
      <c r="O127" s="49">
        <f t="shared" si="1"/>
        <v>2.212027719918328</v>
      </c>
      <c r="P127">
        <f>ABS((G127-O127)/O127)</f>
        <v>4.729860439499833E-4</v>
      </c>
    </row>
    <row r="128" spans="1:16" ht="15.75" x14ac:dyDescent="0.3">
      <c r="A128" s="3" t="s">
        <v>13</v>
      </c>
      <c r="B128" s="5">
        <v>3722</v>
      </c>
      <c r="C128" s="5">
        <v>270</v>
      </c>
      <c r="D128" s="30">
        <v>2205.9741313164527</v>
      </c>
      <c r="E128" s="18">
        <v>0.9681445936820593</v>
      </c>
      <c r="F128" s="17">
        <v>44.4</v>
      </c>
      <c r="G128" s="18">
        <v>2.4543779368789083</v>
      </c>
      <c r="H128" s="13" t="s">
        <v>5</v>
      </c>
      <c r="I128" s="18">
        <v>0.127</v>
      </c>
      <c r="J128" s="7"/>
      <c r="K128" s="21">
        <v>5.24157793085684E-5</v>
      </c>
      <c r="L128" s="5">
        <v>8200</v>
      </c>
      <c r="M128" s="18">
        <v>2.1447051970846669</v>
      </c>
      <c r="N128" s="13" t="s">
        <v>5</v>
      </c>
      <c r="O128" s="49">
        <f t="shared" si="1"/>
        <v>2.5330821648820989</v>
      </c>
      <c r="P128">
        <f>ABS((G128-O128)/O128)</f>
        <v>3.1070538924604488E-2</v>
      </c>
    </row>
    <row r="129" spans="1:16" ht="15.75" x14ac:dyDescent="0.3">
      <c r="A129" s="4" t="s">
        <v>15</v>
      </c>
      <c r="B129" s="14">
        <v>4397</v>
      </c>
      <c r="C129" s="30">
        <v>162</v>
      </c>
      <c r="D129" s="20">
        <v>2369</v>
      </c>
      <c r="E129" s="19">
        <v>0.80202568367570037</v>
      </c>
      <c r="F129" s="13">
        <v>47.8</v>
      </c>
      <c r="G129" s="31">
        <v>2.2797000000000001</v>
      </c>
      <c r="H129" s="13" t="s">
        <v>5</v>
      </c>
      <c r="I129" s="32">
        <v>0.155</v>
      </c>
      <c r="J129" s="32"/>
      <c r="K129" s="6">
        <v>3.2977396396851703E-5</v>
      </c>
      <c r="L129" s="14">
        <v>6724</v>
      </c>
      <c r="M129" s="31">
        <v>2.1575000000000002</v>
      </c>
      <c r="N129" s="13" t="s">
        <v>5</v>
      </c>
      <c r="O129" s="49">
        <f t="shared" si="1"/>
        <v>2.239393031830379</v>
      </c>
      <c r="P129">
        <f>ABS((G129-O129)/O129)</f>
        <v>1.7999059386496347E-2</v>
      </c>
    </row>
    <row r="130" spans="1:16" ht="15.75" x14ac:dyDescent="0.3">
      <c r="A130" s="4" t="s">
        <v>15</v>
      </c>
      <c r="B130" s="5">
        <v>4257</v>
      </c>
      <c r="C130" s="5">
        <v>165</v>
      </c>
      <c r="D130" s="22">
        <v>2453</v>
      </c>
      <c r="E130" s="19">
        <v>0.83708334249218064</v>
      </c>
      <c r="F130" s="17">
        <v>47.27</v>
      </c>
      <c r="G130" s="18">
        <v>2.3198206028112054</v>
      </c>
      <c r="H130" s="13" t="s">
        <v>5</v>
      </c>
      <c r="I130" s="36">
        <v>0.1697175980790222</v>
      </c>
      <c r="J130" s="36"/>
      <c r="K130" s="37">
        <v>3.4219600381535102E-5</v>
      </c>
      <c r="L130" s="5">
        <v>7334</v>
      </c>
      <c r="M130" s="18">
        <v>2.1651658959571254</v>
      </c>
      <c r="N130" s="13" t="s">
        <v>5</v>
      </c>
      <c r="O130" s="49">
        <f t="shared" si="1"/>
        <v>2.3037214445047702</v>
      </c>
      <c r="P130">
        <f>ABS((G130-O130)/O130)</f>
        <v>6.9883267982930918E-3</v>
      </c>
    </row>
    <row r="131" spans="1:16" ht="15.75" x14ac:dyDescent="0.3">
      <c r="A131" s="4" t="s">
        <v>15</v>
      </c>
      <c r="B131" s="14">
        <v>5655</v>
      </c>
      <c r="C131" s="30">
        <v>165</v>
      </c>
      <c r="D131" s="20">
        <v>2539</v>
      </c>
      <c r="E131" s="19">
        <v>0.77590107505608719</v>
      </c>
      <c r="F131" s="13">
        <v>41.67</v>
      </c>
      <c r="G131" s="31">
        <v>2.2337833825723759</v>
      </c>
      <c r="H131" s="13" t="s">
        <v>5</v>
      </c>
      <c r="I131" s="32">
        <v>0.249</v>
      </c>
      <c r="J131" s="32"/>
      <c r="K131" s="6">
        <v>2.70824E-5</v>
      </c>
      <c r="L131" s="14">
        <v>6515</v>
      </c>
      <c r="M131" s="31">
        <v>2.1887727105337955</v>
      </c>
      <c r="N131" s="13" t="s">
        <v>5</v>
      </c>
      <c r="O131" s="49">
        <f t="shared" si="1"/>
        <v>2.282011145627215</v>
      </c>
      <c r="P131">
        <f>ABS((G131-O131)/O131)</f>
        <v>2.1133885847688803E-2</v>
      </c>
    </row>
    <row r="132" spans="1:16" ht="15.75" x14ac:dyDescent="0.3">
      <c r="A132" s="3" t="s">
        <v>13</v>
      </c>
      <c r="B132" s="5">
        <v>3005</v>
      </c>
      <c r="C132" s="5">
        <v>242</v>
      </c>
      <c r="D132" s="30">
        <v>1290.7743124026983</v>
      </c>
      <c r="E132" s="18">
        <v>0.90783856762258497</v>
      </c>
      <c r="F132" s="17">
        <v>44.9</v>
      </c>
      <c r="G132" s="18">
        <v>1.8594969644768309</v>
      </c>
      <c r="H132" s="13" t="s">
        <v>5</v>
      </c>
      <c r="I132" s="18">
        <v>0.14699999999999999</v>
      </c>
      <c r="J132" s="7"/>
      <c r="K132" s="21">
        <v>2.9842397655878901E-5</v>
      </c>
      <c r="L132" s="5">
        <v>6577</v>
      </c>
      <c r="M132" s="18">
        <v>2.1945895929954657</v>
      </c>
      <c r="N132" s="13" t="s">
        <v>5</v>
      </c>
      <c r="O132" s="49">
        <f t="shared" si="1"/>
        <v>1.8492670820783459</v>
      </c>
      <c r="P132">
        <f>ABS((G132-O132)/O132)</f>
        <v>5.5318577276506093E-3</v>
      </c>
    </row>
    <row r="133" spans="1:16" ht="15.75" x14ac:dyDescent="0.3">
      <c r="A133" s="4" t="s">
        <v>15</v>
      </c>
      <c r="B133" s="14">
        <v>4535</v>
      </c>
      <c r="C133" s="30">
        <v>177</v>
      </c>
      <c r="D133" s="20">
        <v>2583</v>
      </c>
      <c r="E133" s="19">
        <v>0.78466681175390973</v>
      </c>
      <c r="F133" s="13">
        <v>47.68</v>
      </c>
      <c r="G133" s="31">
        <v>2.4142999999999999</v>
      </c>
      <c r="H133" s="13" t="s">
        <v>5</v>
      </c>
      <c r="I133" s="32">
        <v>0.125</v>
      </c>
      <c r="J133" s="32"/>
      <c r="K133" s="6">
        <v>3.9792000000000001E-5</v>
      </c>
      <c r="L133" s="14">
        <v>7617</v>
      </c>
      <c r="M133" s="31">
        <v>2.2368000000000001</v>
      </c>
      <c r="N133" s="13" t="s">
        <v>5</v>
      </c>
      <c r="O133" s="49">
        <f t="shared" si="1"/>
        <v>2.403070036974273</v>
      </c>
      <c r="P133">
        <f>ABS((G133-O133)/O133)</f>
        <v>4.6731734210570999E-3</v>
      </c>
    </row>
    <row r="134" spans="1:16" ht="15.75" x14ac:dyDescent="0.3">
      <c r="A134" s="4" t="s">
        <v>15</v>
      </c>
      <c r="B134" s="14">
        <v>4575</v>
      </c>
      <c r="C134" s="30">
        <v>176</v>
      </c>
      <c r="D134" s="20">
        <v>2592.8721580424876</v>
      </c>
      <c r="E134" s="19">
        <v>0.79100877299711558</v>
      </c>
      <c r="F134" s="13">
        <v>48.11</v>
      </c>
      <c r="G134" s="31">
        <v>2.4289999999999998</v>
      </c>
      <c r="H134" s="13" t="s">
        <v>5</v>
      </c>
      <c r="I134" s="32">
        <v>0.127</v>
      </c>
      <c r="J134" s="32"/>
      <c r="K134" s="6">
        <v>3.7751499999999999E-5</v>
      </c>
      <c r="L134" s="14">
        <v>7449</v>
      </c>
      <c r="M134" s="31">
        <v>2.2591000000000001</v>
      </c>
      <c r="N134" s="13" t="s">
        <v>5</v>
      </c>
      <c r="O134" s="49">
        <f t="shared" si="1"/>
        <v>2.406791745843901</v>
      </c>
      <c r="P134">
        <f>ABS((G134-O134)/O134)</f>
        <v>9.2273268738138747E-3</v>
      </c>
    </row>
    <row r="135" spans="1:16" ht="15.75" x14ac:dyDescent="0.3">
      <c r="A135" s="4" t="s">
        <v>15</v>
      </c>
      <c r="B135" s="14">
        <v>4451</v>
      </c>
      <c r="C135" s="30">
        <v>151</v>
      </c>
      <c r="D135" s="20">
        <v>2689</v>
      </c>
      <c r="E135" s="19">
        <v>0.86693904456452753</v>
      </c>
      <c r="F135" s="13">
        <v>46.13</v>
      </c>
      <c r="G135" s="31">
        <v>2.4154</v>
      </c>
      <c r="H135" s="13" t="s">
        <v>5</v>
      </c>
      <c r="I135" s="32">
        <v>0.186</v>
      </c>
      <c r="J135" s="32"/>
      <c r="K135" s="6">
        <v>3.8010199999999997E-5</v>
      </c>
      <c r="L135" s="14">
        <v>6961</v>
      </c>
      <c r="M135" s="31">
        <v>2.2726000000000002</v>
      </c>
      <c r="N135" s="13" t="s">
        <v>5</v>
      </c>
      <c r="O135" s="49">
        <f t="shared" si="1"/>
        <v>2.3520840131513734</v>
      </c>
      <c r="P135">
        <f>ABS((G135-O135)/O135)</f>
        <v>2.6919100888660209E-2</v>
      </c>
    </row>
    <row r="136" spans="1:16" ht="15.75" x14ac:dyDescent="0.3">
      <c r="A136" s="3" t="s">
        <v>13</v>
      </c>
      <c r="B136" s="5">
        <v>3697</v>
      </c>
      <c r="C136" s="5">
        <v>270</v>
      </c>
      <c r="D136" s="30">
        <v>2185.1652241112824</v>
      </c>
      <c r="E136" s="18">
        <v>0.98172449597075817</v>
      </c>
      <c r="F136" s="17">
        <v>44.2</v>
      </c>
      <c r="G136" s="18">
        <v>2.6244769978515015</v>
      </c>
      <c r="H136" s="13" t="s">
        <v>5</v>
      </c>
      <c r="I136" s="18">
        <v>8.9899999999999994E-2</v>
      </c>
      <c r="J136" s="7"/>
      <c r="K136" s="21">
        <v>5.6315497084457199E-5</v>
      </c>
      <c r="L136" s="5">
        <v>8260</v>
      </c>
      <c r="M136" s="18">
        <v>2.2977123139010298</v>
      </c>
      <c r="N136" s="13" t="s">
        <v>5</v>
      </c>
      <c r="O136" s="49">
        <f t="shared" si="1"/>
        <v>2.5207913749651816</v>
      </c>
      <c r="P136">
        <f>ABS((G136-O136)/O136)</f>
        <v>4.1132171395085022E-2</v>
      </c>
    </row>
    <row r="137" spans="1:16" ht="15.75" x14ac:dyDescent="0.3">
      <c r="A137" s="4" t="s">
        <v>15</v>
      </c>
      <c r="B137" s="14">
        <v>4374</v>
      </c>
      <c r="C137" s="30">
        <v>174</v>
      </c>
      <c r="D137" s="20">
        <v>2615</v>
      </c>
      <c r="E137" s="19">
        <v>0.79573762906309753</v>
      </c>
      <c r="F137" s="13">
        <v>47.5</v>
      </c>
      <c r="G137" s="31">
        <v>2.4460000000000002</v>
      </c>
      <c r="H137" s="13" t="s">
        <v>5</v>
      </c>
      <c r="I137" s="32">
        <v>0.14699999999999999</v>
      </c>
      <c r="J137" s="32"/>
      <c r="K137" s="6">
        <v>3.5503000000000002E-5</v>
      </c>
      <c r="L137" s="14">
        <v>6415</v>
      </c>
      <c r="M137" s="31">
        <v>2.3170000000000002</v>
      </c>
      <c r="N137" s="13" t="s">
        <v>5</v>
      </c>
      <c r="O137" s="49">
        <f t="shared" si="1"/>
        <v>2.418341743562801</v>
      </c>
      <c r="P137">
        <f>ABS((G137-O137)/O137)</f>
        <v>1.1436868470231972E-2</v>
      </c>
    </row>
    <row r="138" spans="1:16" ht="15.75" x14ac:dyDescent="0.3">
      <c r="A138" s="4" t="s">
        <v>15</v>
      </c>
      <c r="B138" s="14">
        <v>4633</v>
      </c>
      <c r="C138" s="30">
        <v>175</v>
      </c>
      <c r="D138" s="20">
        <v>2870</v>
      </c>
      <c r="E138" s="19">
        <v>0.77762717770034839</v>
      </c>
      <c r="F138" s="13">
        <v>50.2</v>
      </c>
      <c r="G138" s="31">
        <v>2.4930187474406478</v>
      </c>
      <c r="H138" s="13" t="s">
        <v>5</v>
      </c>
      <c r="I138" s="32">
        <v>0.123</v>
      </c>
      <c r="J138" s="32"/>
      <c r="K138" s="23">
        <v>3.9453414659042241E-5</v>
      </c>
      <c r="L138" s="14">
        <v>6900</v>
      </c>
      <c r="M138" s="31">
        <v>2.3387812897176889</v>
      </c>
      <c r="N138" s="13" t="s">
        <v>5</v>
      </c>
      <c r="O138" s="49">
        <f t="shared" si="1"/>
        <v>2.57757632183867</v>
      </c>
      <c r="P138">
        <f>ABS((G138-O138)/O138)</f>
        <v>3.2805071059042221E-2</v>
      </c>
    </row>
    <row r="139" spans="1:16" ht="15.75" x14ac:dyDescent="0.3">
      <c r="A139" s="4" t="s">
        <v>15</v>
      </c>
      <c r="B139" s="14">
        <v>4735</v>
      </c>
      <c r="C139" s="30">
        <v>169</v>
      </c>
      <c r="D139" s="20">
        <v>3019.0898226608274</v>
      </c>
      <c r="E139" s="19">
        <v>0.80864126002039083</v>
      </c>
      <c r="F139" s="13">
        <v>47.84</v>
      </c>
      <c r="G139" s="31">
        <v>2.6800771815122393</v>
      </c>
      <c r="H139" s="13" t="s">
        <v>5</v>
      </c>
      <c r="I139" s="32">
        <v>0.13800000000000001</v>
      </c>
      <c r="J139" s="32"/>
      <c r="K139" s="6">
        <v>4.4029273699827716E-5</v>
      </c>
      <c r="L139" s="14">
        <v>7619</v>
      </c>
      <c r="M139" s="31">
        <v>2.4782733289085912</v>
      </c>
      <c r="N139" s="13" t="s">
        <v>5</v>
      </c>
      <c r="O139" s="49">
        <f t="shared" si="1"/>
        <v>2.5965205318696927</v>
      </c>
      <c r="P139">
        <f>ABS((G139-O139)/O139)</f>
        <v>3.2180238367835838E-2</v>
      </c>
    </row>
    <row r="140" spans="1:16" ht="15.75" x14ac:dyDescent="0.3">
      <c r="A140" s="4" t="s">
        <v>15</v>
      </c>
      <c r="B140" s="5">
        <v>4503</v>
      </c>
      <c r="C140" s="5">
        <v>143</v>
      </c>
      <c r="D140" s="22">
        <v>2238</v>
      </c>
      <c r="E140" s="19">
        <v>0.80344012511170682</v>
      </c>
      <c r="F140" s="17">
        <v>47.09</v>
      </c>
      <c r="G140" s="5">
        <v>2.1539999999999999</v>
      </c>
      <c r="H140" s="13" t="s">
        <v>5</v>
      </c>
      <c r="I140" s="5">
        <v>0.17400000000000002</v>
      </c>
      <c r="J140" s="5"/>
      <c r="K140" s="21">
        <v>3.4412219858609198E-5</v>
      </c>
      <c r="L140" s="5">
        <v>4476</v>
      </c>
      <c r="M140" s="18">
        <v>2.4873492917847027</v>
      </c>
      <c r="N140" s="13" t="s">
        <v>5</v>
      </c>
      <c r="O140" s="49">
        <f t="shared" si="1"/>
        <v>2.0918667373626447</v>
      </c>
      <c r="P140">
        <f>ABS((G140-O140)/O140)</f>
        <v>2.9702304419109756E-2</v>
      </c>
    </row>
    <row r="141" spans="1:16" ht="15.75" x14ac:dyDescent="0.3">
      <c r="A141" s="4" t="s">
        <v>15</v>
      </c>
      <c r="B141" s="14">
        <v>4815</v>
      </c>
      <c r="C141" s="30">
        <v>171</v>
      </c>
      <c r="D141" s="20">
        <v>3198</v>
      </c>
      <c r="E141" s="19">
        <v>0.82248795518505935</v>
      </c>
      <c r="F141" s="13">
        <v>47.73</v>
      </c>
      <c r="G141" s="31">
        <v>2.7440000000000002</v>
      </c>
      <c r="H141" s="13" t="s">
        <v>5</v>
      </c>
      <c r="I141" s="32">
        <v>0.13600000000000001</v>
      </c>
      <c r="J141" s="32"/>
      <c r="K141" s="6">
        <f>41.7751123876564/10^6</f>
        <v>4.1775112387656397E-5</v>
      </c>
      <c r="L141" s="14">
        <v>8115</v>
      </c>
      <c r="M141" s="31">
        <v>2.5209999999999999</v>
      </c>
      <c r="N141" s="13" t="s">
        <v>5</v>
      </c>
      <c r="O141" s="49">
        <f t="shared" si="1"/>
        <v>2.6981135143335058</v>
      </c>
      <c r="P141">
        <f>ABS((G141-O141)/O141)</f>
        <v>1.7006877369216036E-2</v>
      </c>
    </row>
    <row r="142" spans="1:16" ht="15.75" x14ac:dyDescent="0.3">
      <c r="A142" s="3" t="s">
        <v>13</v>
      </c>
      <c r="B142" s="5">
        <v>3789</v>
      </c>
      <c r="C142" s="5">
        <v>270</v>
      </c>
      <c r="D142" s="30">
        <v>2716.0284119008852</v>
      </c>
      <c r="E142" s="18">
        <v>0.91100000000000003</v>
      </c>
      <c r="F142" s="17">
        <v>46.088188442211049</v>
      </c>
      <c r="G142" s="18">
        <v>2.8817680081356842</v>
      </c>
      <c r="H142" s="13" t="s">
        <v>5</v>
      </c>
      <c r="I142" s="18">
        <v>0.16739999999999999</v>
      </c>
      <c r="J142" s="7"/>
      <c r="K142" s="21">
        <v>6.0317517366866591E-5</v>
      </c>
      <c r="L142" s="5">
        <v>6691</v>
      </c>
      <c r="M142" s="18">
        <v>2.5504739334005579</v>
      </c>
      <c r="N142" s="13" t="s">
        <v>5</v>
      </c>
      <c r="O142" s="49">
        <f t="shared" si="1"/>
        <v>2.9122125070465015</v>
      </c>
      <c r="P142">
        <f>ABS((G142-O142)/O142)</f>
        <v>1.0454078758728136E-2</v>
      </c>
    </row>
    <row r="143" spans="1:16" ht="15.75" x14ac:dyDescent="0.3">
      <c r="A143" s="4" t="s">
        <v>15</v>
      </c>
      <c r="B143" s="14">
        <v>4856</v>
      </c>
      <c r="C143" s="30">
        <v>165</v>
      </c>
      <c r="D143" s="20">
        <v>3878</v>
      </c>
      <c r="E143" s="19">
        <v>0.81859073191566978</v>
      </c>
      <c r="F143" s="13">
        <v>49.45</v>
      </c>
      <c r="G143" s="31">
        <v>3.048</v>
      </c>
      <c r="H143" s="13" t="s">
        <v>5</v>
      </c>
      <c r="I143" s="32">
        <v>0.11</v>
      </c>
      <c r="J143" s="32"/>
      <c r="K143" s="6">
        <v>5.1286399999999997E-5</v>
      </c>
      <c r="L143" s="14">
        <v>7015</v>
      </c>
      <c r="M143" s="31">
        <v>2.8382000000000001</v>
      </c>
      <c r="N143" s="13" t="s">
        <v>5</v>
      </c>
      <c r="O143" s="49">
        <f t="shared" si="1"/>
        <v>3.0471281287172096</v>
      </c>
      <c r="P143">
        <f>ABS((G143-O143)/O143)</f>
        <v>2.8612885509263756E-4</v>
      </c>
    </row>
    <row r="144" spans="1:16" ht="15.75" x14ac:dyDescent="0.3">
      <c r="A144" s="4" t="s">
        <v>15</v>
      </c>
      <c r="B144" s="14">
        <v>4618</v>
      </c>
      <c r="C144" s="30">
        <v>205</v>
      </c>
      <c r="D144" s="20">
        <v>3786</v>
      </c>
      <c r="E144" s="19">
        <v>0.7799001584786055</v>
      </c>
      <c r="F144" s="13">
        <v>47.6</v>
      </c>
      <c r="G144" s="31">
        <v>3.1960000000000002</v>
      </c>
      <c r="H144" s="13" t="s">
        <v>5</v>
      </c>
      <c r="I144" s="32">
        <v>9.7000000000000003E-2</v>
      </c>
      <c r="J144" s="32"/>
      <c r="K144" s="23">
        <v>7.0318049317459581E-5</v>
      </c>
      <c r="L144" s="14">
        <v>7362</v>
      </c>
      <c r="M144" s="31">
        <v>2.8834312</v>
      </c>
      <c r="N144" s="13" t="s">
        <v>5</v>
      </c>
      <c r="O144" s="49">
        <f t="shared" si="1"/>
        <v>3.2380348665286514</v>
      </c>
      <c r="P144">
        <f>ABS((G144-O144)/O144)</f>
        <v>1.2981597870721766E-2</v>
      </c>
    </row>
    <row r="145" spans="1:15" ht="15.75" x14ac:dyDescent="0.3">
      <c r="A145" s="4"/>
      <c r="B145" s="14"/>
      <c r="C145" s="30"/>
      <c r="D145" s="20"/>
      <c r="E145" s="19"/>
      <c r="F145" s="13"/>
      <c r="G145" s="31"/>
      <c r="H145" s="33"/>
      <c r="I145" s="31"/>
      <c r="J145" s="31"/>
      <c r="K145" s="6"/>
      <c r="L145" s="14"/>
      <c r="M145" s="31"/>
      <c r="N145" s="13"/>
      <c r="O145" s="49"/>
    </row>
    <row r="146" spans="1:15" ht="15.75" x14ac:dyDescent="0.3">
      <c r="A146" s="4"/>
      <c r="B146" s="14"/>
      <c r="C146" s="30"/>
      <c r="D146" s="20"/>
      <c r="E146" s="19"/>
      <c r="F146" s="13"/>
      <c r="G146" s="31"/>
      <c r="H146" s="34"/>
      <c r="I146" s="32"/>
      <c r="J146" s="32"/>
      <c r="K146" s="23"/>
      <c r="L146" s="14"/>
      <c r="M146" s="31"/>
      <c r="N146" s="34"/>
      <c r="O146" s="49"/>
    </row>
    <row r="147" spans="1:15" ht="15.75" x14ac:dyDescent="0.3">
      <c r="A147" s="4"/>
      <c r="B147" s="14"/>
      <c r="C147" s="30"/>
      <c r="D147" s="20"/>
      <c r="E147" s="19"/>
      <c r="F147" s="13"/>
      <c r="G147" s="31"/>
      <c r="H147" s="13"/>
      <c r="I147" s="32"/>
      <c r="J147" s="32"/>
      <c r="K147" s="6"/>
      <c r="L147" s="14"/>
      <c r="M147" s="31"/>
      <c r="N147" s="13"/>
      <c r="O147" s="49"/>
    </row>
    <row r="148" spans="1:15" ht="15.75" x14ac:dyDescent="0.3">
      <c r="A148" s="4"/>
      <c r="B148" s="14"/>
      <c r="C148" s="30"/>
      <c r="D148" s="20"/>
      <c r="E148" s="19"/>
      <c r="F148" s="13"/>
      <c r="G148" s="31"/>
      <c r="H148" s="31"/>
      <c r="I148" s="32"/>
      <c r="J148" s="32"/>
      <c r="K148" s="6"/>
      <c r="L148" s="31"/>
      <c r="M148" s="31"/>
      <c r="N148" s="13"/>
      <c r="O148" s="49"/>
    </row>
    <row r="149" spans="1:15" ht="15.75" x14ac:dyDescent="0.3">
      <c r="A149" s="4"/>
      <c r="B149" s="14"/>
      <c r="C149" s="30"/>
      <c r="D149" s="20"/>
      <c r="E149" s="19"/>
      <c r="F149" s="13"/>
      <c r="G149" s="31"/>
      <c r="H149" s="33"/>
      <c r="I149" s="32"/>
      <c r="J149" s="32"/>
      <c r="K149" s="6"/>
      <c r="L149" s="14"/>
      <c r="M149" s="31"/>
      <c r="N149" s="13"/>
      <c r="O149" s="49"/>
    </row>
    <row r="150" spans="1:15" ht="15.75" x14ac:dyDescent="0.3">
      <c r="A150" s="4"/>
      <c r="B150" s="14"/>
      <c r="C150" s="30"/>
      <c r="D150" s="20"/>
      <c r="E150" s="19"/>
      <c r="F150" s="13"/>
      <c r="G150" s="31"/>
      <c r="H150" s="13"/>
      <c r="I150" s="32"/>
      <c r="J150" s="32"/>
      <c r="K150" s="6"/>
      <c r="L150" s="14"/>
      <c r="M150" s="31"/>
      <c r="N150" s="13"/>
      <c r="O150" s="49"/>
    </row>
    <row r="151" spans="1:15" ht="15.75" x14ac:dyDescent="0.3">
      <c r="A151" s="4"/>
      <c r="B151" s="14"/>
      <c r="C151" s="30"/>
      <c r="D151" s="20"/>
      <c r="E151" s="19"/>
      <c r="F151" s="13"/>
      <c r="G151" s="31"/>
      <c r="H151" s="34"/>
      <c r="I151" s="32"/>
      <c r="J151" s="32"/>
      <c r="K151" s="23"/>
      <c r="L151" s="14"/>
      <c r="M151" s="31"/>
      <c r="N151" s="34"/>
      <c r="O151" s="49"/>
    </row>
    <row r="152" spans="1:15" ht="15.75" x14ac:dyDescent="0.3">
      <c r="A152" s="4"/>
      <c r="B152" s="14"/>
      <c r="C152" s="30"/>
      <c r="D152" s="20"/>
      <c r="E152" s="19"/>
      <c r="F152" s="13"/>
      <c r="G152" s="31"/>
      <c r="H152" s="34"/>
      <c r="I152" s="32"/>
      <c r="J152" s="32"/>
      <c r="K152" s="23"/>
      <c r="L152" s="14"/>
      <c r="M152" s="31"/>
      <c r="N152" s="34"/>
      <c r="O152" s="49"/>
    </row>
    <row r="153" spans="1:15" ht="15.75" x14ac:dyDescent="0.3">
      <c r="A153" s="4"/>
      <c r="B153" s="14"/>
      <c r="C153" s="30"/>
      <c r="D153" s="20"/>
      <c r="E153" s="19"/>
      <c r="F153" s="13"/>
      <c r="G153" s="31"/>
      <c r="H153" s="34"/>
      <c r="I153" s="32"/>
      <c r="J153" s="32"/>
      <c r="K153" s="23"/>
      <c r="L153" s="14"/>
      <c r="M153" s="31"/>
      <c r="N153" s="34"/>
      <c r="O153" s="49"/>
    </row>
    <row r="154" spans="1:15" ht="15.75" x14ac:dyDescent="0.3">
      <c r="A154" s="4"/>
      <c r="B154" s="14"/>
      <c r="C154" s="30"/>
      <c r="D154" s="20"/>
      <c r="E154" s="19"/>
      <c r="F154" s="13"/>
      <c r="G154" s="31"/>
      <c r="H154" s="34"/>
      <c r="I154" s="32"/>
      <c r="J154" s="32"/>
      <c r="K154" s="23"/>
      <c r="L154" s="14"/>
      <c r="M154" s="31"/>
      <c r="N154" s="34"/>
      <c r="O154" s="49"/>
    </row>
    <row r="155" spans="1:15" ht="15.75" x14ac:dyDescent="0.3">
      <c r="A155" s="4"/>
      <c r="B155" s="14"/>
      <c r="C155" s="30"/>
      <c r="D155" s="20"/>
      <c r="E155" s="19"/>
      <c r="F155" s="13"/>
      <c r="G155" s="31"/>
      <c r="H155" s="34"/>
      <c r="I155" s="32"/>
      <c r="J155" s="32"/>
      <c r="K155" s="23"/>
      <c r="L155" s="14"/>
      <c r="M155" s="31"/>
      <c r="N155" s="34"/>
      <c r="O155" s="49"/>
    </row>
    <row r="156" spans="1:15" ht="15.75" x14ac:dyDescent="0.3">
      <c r="A156" s="4"/>
      <c r="B156" s="14"/>
      <c r="C156" s="30"/>
      <c r="D156" s="20"/>
      <c r="E156" s="19"/>
      <c r="F156" s="13"/>
      <c r="G156" s="31"/>
      <c r="H156" s="34"/>
      <c r="I156" s="32"/>
      <c r="J156" s="32"/>
      <c r="K156" s="23"/>
      <c r="L156" s="14"/>
      <c r="M156" s="31"/>
      <c r="N156" s="34"/>
      <c r="O156" s="49"/>
    </row>
    <row r="157" spans="1:15" ht="15.75" x14ac:dyDescent="0.3">
      <c r="A157" s="4"/>
      <c r="B157" s="5"/>
      <c r="C157" s="5"/>
      <c r="D157" s="20"/>
      <c r="E157" s="19"/>
      <c r="F157" s="17"/>
      <c r="G157" s="31"/>
      <c r="H157" s="5"/>
      <c r="I157" s="32"/>
      <c r="J157" s="32"/>
      <c r="K157" s="23"/>
      <c r="L157" s="5"/>
      <c r="M157" s="31"/>
      <c r="N157" s="5"/>
      <c r="O157" s="49"/>
    </row>
    <row r="158" spans="1:15" ht="15.75" x14ac:dyDescent="0.3">
      <c r="A158" s="4"/>
      <c r="B158" s="14"/>
      <c r="C158" s="30"/>
      <c r="D158" s="20"/>
      <c r="E158" s="19"/>
      <c r="F158" s="13"/>
      <c r="G158" s="31"/>
      <c r="H158" s="34"/>
      <c r="I158" s="32"/>
      <c r="J158" s="32"/>
      <c r="K158" s="23"/>
      <c r="L158" s="14"/>
      <c r="M158" s="31"/>
      <c r="N158" s="34"/>
      <c r="O158" s="49"/>
    </row>
    <row r="159" spans="1:15" ht="15.75" x14ac:dyDescent="0.3">
      <c r="A159" s="4"/>
      <c r="B159" s="14"/>
      <c r="C159" s="30"/>
      <c r="D159" s="20"/>
      <c r="E159" s="19"/>
      <c r="F159" s="13"/>
      <c r="G159" s="31"/>
      <c r="H159" s="34"/>
      <c r="I159" s="32"/>
      <c r="J159" s="32"/>
      <c r="K159" s="23"/>
      <c r="L159" s="14"/>
      <c r="M159" s="31"/>
      <c r="N159" s="34"/>
      <c r="O159" s="49"/>
    </row>
    <row r="160" spans="1:15" ht="15.75" x14ac:dyDescent="0.3">
      <c r="A160" s="4"/>
      <c r="B160" s="14"/>
      <c r="C160" s="30"/>
      <c r="D160" s="20"/>
      <c r="E160" s="19"/>
      <c r="F160" s="13"/>
      <c r="G160" s="31"/>
      <c r="H160" s="34"/>
      <c r="I160" s="32"/>
      <c r="J160" s="32"/>
      <c r="K160" s="23"/>
      <c r="L160" s="14"/>
      <c r="M160" s="31"/>
      <c r="N160" s="34"/>
      <c r="O160" s="49"/>
    </row>
    <row r="161" spans="1:15" ht="15.75" x14ac:dyDescent="0.3">
      <c r="A161" s="4"/>
      <c r="B161" s="14"/>
      <c r="C161" s="30"/>
      <c r="D161" s="20"/>
      <c r="E161" s="19"/>
      <c r="F161" s="13"/>
      <c r="G161" s="31"/>
      <c r="H161" s="34"/>
      <c r="I161" s="32"/>
      <c r="J161" s="32"/>
      <c r="K161" s="23"/>
      <c r="L161" s="14"/>
      <c r="M161" s="31"/>
      <c r="N161" s="34"/>
      <c r="O161" s="49"/>
    </row>
    <row r="162" spans="1:15" ht="15.75" x14ac:dyDescent="0.3">
      <c r="A162" s="4"/>
      <c r="B162" s="14"/>
      <c r="C162" s="30"/>
      <c r="D162" s="20"/>
      <c r="E162" s="19"/>
      <c r="F162" s="13"/>
      <c r="G162" s="31"/>
      <c r="H162" s="34"/>
      <c r="I162" s="32"/>
      <c r="J162" s="32"/>
      <c r="K162" s="23"/>
      <c r="L162" s="14"/>
      <c r="M162" s="31"/>
      <c r="N162" s="34"/>
      <c r="O162" s="49"/>
    </row>
    <row r="163" spans="1:15" ht="15.75" x14ac:dyDescent="0.3">
      <c r="A163" s="4"/>
      <c r="B163" s="14"/>
      <c r="C163" s="30"/>
      <c r="D163" s="20"/>
      <c r="E163" s="19"/>
      <c r="F163" s="13"/>
      <c r="G163" s="31"/>
      <c r="H163" s="34"/>
      <c r="I163" s="32"/>
      <c r="J163" s="32"/>
      <c r="K163" s="23"/>
      <c r="L163" s="14"/>
      <c r="M163" s="31"/>
      <c r="N163" s="34"/>
      <c r="O163" s="49"/>
    </row>
    <row r="164" spans="1:15" ht="15.75" x14ac:dyDescent="0.3">
      <c r="A164" s="4"/>
      <c r="B164" s="14"/>
      <c r="C164" s="30"/>
      <c r="D164" s="20"/>
      <c r="E164" s="19"/>
      <c r="F164" s="13"/>
      <c r="G164" s="31"/>
      <c r="H164" s="34"/>
      <c r="I164" s="32"/>
      <c r="J164" s="32"/>
      <c r="K164" s="23"/>
      <c r="L164" s="14"/>
      <c r="M164" s="31"/>
      <c r="N164" s="34"/>
      <c r="O164" s="49"/>
    </row>
    <row r="165" spans="1:15" ht="15.75" x14ac:dyDescent="0.3">
      <c r="A165" s="4"/>
      <c r="B165" s="14"/>
      <c r="C165" s="30"/>
      <c r="D165" s="20"/>
      <c r="E165" s="19"/>
      <c r="F165" s="13"/>
      <c r="G165" s="31"/>
      <c r="H165" s="34"/>
      <c r="I165" s="31"/>
      <c r="J165" s="31"/>
      <c r="K165" s="23"/>
      <c r="L165" s="14"/>
      <c r="M165" s="31"/>
      <c r="N165" s="34"/>
      <c r="O165" s="49"/>
    </row>
    <row r="166" spans="1:15" ht="15.75" x14ac:dyDescent="0.3">
      <c r="A166" s="4"/>
      <c r="B166" s="14"/>
      <c r="C166" s="30"/>
      <c r="D166" s="20"/>
      <c r="E166" s="19"/>
      <c r="F166" s="13"/>
      <c r="G166" s="31"/>
      <c r="H166" s="34"/>
      <c r="I166" s="32"/>
      <c r="J166" s="32"/>
      <c r="K166" s="23"/>
      <c r="L166" s="14"/>
      <c r="M166" s="31"/>
      <c r="N166" s="34"/>
      <c r="O166" s="49"/>
    </row>
    <row r="167" spans="1:15" ht="15.75" x14ac:dyDescent="0.3">
      <c r="A167" s="4"/>
      <c r="B167" s="14"/>
      <c r="C167" s="30"/>
      <c r="D167" s="20"/>
      <c r="E167" s="19"/>
      <c r="F167" s="13"/>
      <c r="G167" s="31"/>
      <c r="H167" s="34"/>
      <c r="I167" s="32"/>
      <c r="J167" s="32"/>
      <c r="K167" s="23"/>
      <c r="L167" s="14"/>
      <c r="M167" s="31"/>
      <c r="N167" s="34"/>
      <c r="O167" s="49"/>
    </row>
    <row r="168" spans="1:15" ht="15.75" x14ac:dyDescent="0.3">
      <c r="A168" s="4"/>
      <c r="B168" s="14"/>
      <c r="C168" s="30"/>
      <c r="D168" s="20"/>
      <c r="E168" s="19"/>
      <c r="F168" s="13"/>
      <c r="G168" s="31"/>
      <c r="H168" s="34"/>
      <c r="I168" s="32"/>
      <c r="J168" s="32"/>
      <c r="K168" s="23"/>
      <c r="L168" s="14"/>
      <c r="M168" s="31"/>
      <c r="N168" s="34"/>
      <c r="O168" s="49"/>
    </row>
    <row r="169" spans="1:15" ht="15.75" x14ac:dyDescent="0.3">
      <c r="A169" s="4"/>
      <c r="B169" s="5"/>
      <c r="C169" s="5"/>
      <c r="D169" s="20"/>
      <c r="E169" s="19"/>
      <c r="F169" s="17"/>
      <c r="G169" s="31"/>
      <c r="H169" s="5"/>
      <c r="I169" s="32"/>
      <c r="J169" s="32"/>
      <c r="K169" s="23"/>
      <c r="L169" s="5"/>
      <c r="M169" s="31"/>
      <c r="N169" s="5"/>
      <c r="O169" s="49"/>
    </row>
    <row r="170" spans="1:15" ht="15.75" x14ac:dyDescent="0.3">
      <c r="A170" s="4"/>
      <c r="B170" s="14"/>
      <c r="C170" s="30"/>
      <c r="D170" s="20"/>
      <c r="E170" s="19"/>
      <c r="F170" s="13"/>
      <c r="G170" s="31"/>
      <c r="H170" s="34"/>
      <c r="I170" s="32"/>
      <c r="J170" s="32"/>
      <c r="K170" s="23"/>
      <c r="L170" s="14"/>
      <c r="M170" s="31"/>
      <c r="N170" s="34"/>
      <c r="O170" s="49"/>
    </row>
    <row r="171" spans="1:15" ht="15.75" x14ac:dyDescent="0.3">
      <c r="A171" s="4"/>
      <c r="B171" s="14"/>
      <c r="C171" s="30"/>
      <c r="D171" s="20"/>
      <c r="E171" s="19"/>
      <c r="F171" s="13"/>
      <c r="G171" s="31"/>
      <c r="H171" s="34"/>
      <c r="I171" s="32"/>
      <c r="J171" s="32"/>
      <c r="K171" s="23"/>
      <c r="L171" s="14"/>
      <c r="M171" s="31"/>
      <c r="N171" s="34"/>
      <c r="O171" s="49"/>
    </row>
    <row r="172" spans="1:15" ht="15.75" x14ac:dyDescent="0.3">
      <c r="A172" s="4"/>
      <c r="B172" s="14"/>
      <c r="C172" s="30"/>
      <c r="D172" s="20"/>
      <c r="E172" s="19"/>
      <c r="F172" s="13"/>
      <c r="G172" s="31"/>
      <c r="H172" s="34"/>
      <c r="I172" s="32"/>
      <c r="J172" s="32"/>
      <c r="K172" s="23"/>
      <c r="L172" s="14"/>
      <c r="M172" s="31"/>
      <c r="N172" s="34"/>
      <c r="O172" s="49"/>
    </row>
    <row r="173" spans="1:15" ht="15.75" x14ac:dyDescent="0.3">
      <c r="A173" s="4"/>
      <c r="B173" s="14"/>
      <c r="C173" s="30"/>
      <c r="D173" s="20"/>
      <c r="E173" s="19"/>
      <c r="F173" s="13"/>
      <c r="G173" s="31"/>
      <c r="H173" s="34"/>
      <c r="I173" s="32"/>
      <c r="J173" s="32"/>
      <c r="K173" s="23"/>
      <c r="L173" s="14"/>
      <c r="M173" s="31"/>
      <c r="N173" s="34"/>
      <c r="O173" s="49"/>
    </row>
  </sheetData>
  <sortState xmlns:xlrd2="http://schemas.microsoft.com/office/spreadsheetml/2017/richdata2" ref="A20:P150">
    <sortCondition ref="M20:M150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3D68-4084-434C-B5E7-37E04F73C760}">
  <sheetPr>
    <tabColor rgb="FF00B050"/>
  </sheetPr>
  <dimension ref="A1:V173"/>
  <sheetViews>
    <sheetView zoomScale="70" zoomScaleNormal="70" workbookViewId="0">
      <selection activeCell="AE18" sqref="AE18"/>
    </sheetView>
  </sheetViews>
  <sheetFormatPr defaultRowHeight="15" x14ac:dyDescent="0.25"/>
  <cols>
    <col min="2" max="2" width="9.28515625" bestFit="1" customWidth="1"/>
    <col min="12" max="12" width="8.85546875" bestFit="1" customWidth="1"/>
    <col min="13" max="13" width="11.5703125" bestFit="1" customWidth="1"/>
    <col min="14" max="14" width="14.85546875" bestFit="1" customWidth="1"/>
    <col min="15" max="15" width="25.85546875" style="53" bestFit="1" customWidth="1"/>
    <col min="16" max="16" width="9.140625" style="53"/>
    <col min="19" max="19" width="25.85546875" bestFit="1" customWidth="1"/>
  </cols>
  <sheetData>
    <row r="1" spans="1:22" x14ac:dyDescent="0.25">
      <c r="A1" t="s">
        <v>27</v>
      </c>
      <c r="B1" s="49">
        <v>-3.151958</v>
      </c>
    </row>
    <row r="2" spans="1:22" x14ac:dyDescent="0.25">
      <c r="A2" t="s">
        <v>28</v>
      </c>
      <c r="B2" s="49">
        <v>1.262608</v>
      </c>
    </row>
    <row r="3" spans="1:22" x14ac:dyDescent="0.25">
      <c r="A3" t="s">
        <v>29</v>
      </c>
      <c r="B3" s="49">
        <v>-0.13404089999999999</v>
      </c>
      <c r="R3" s="50"/>
      <c r="S3" s="52" t="s">
        <v>49</v>
      </c>
      <c r="T3" s="52" t="s">
        <v>48</v>
      </c>
    </row>
    <row r="4" spans="1:22" x14ac:dyDescent="0.25">
      <c r="A4" t="s">
        <v>30</v>
      </c>
      <c r="B4" s="49">
        <v>1.5470539999999999</v>
      </c>
      <c r="R4" s="50" t="s">
        <v>47</v>
      </c>
      <c r="S4" s="51">
        <f>(100/COUNT(O20:O173))*SUM(P20:P173)</f>
        <v>18.275000290152796</v>
      </c>
      <c r="T4" s="51">
        <v>17.600000000000001</v>
      </c>
      <c r="V4">
        <f>T4/S4</f>
        <v>0.96306428019503187</v>
      </c>
    </row>
    <row r="5" spans="1:22" x14ac:dyDescent="0.25">
      <c r="A5" t="s">
        <v>31</v>
      </c>
      <c r="B5" s="49">
        <v>-0.35395749999999998</v>
      </c>
      <c r="N5" t="s">
        <v>44</v>
      </c>
      <c r="O5" s="54">
        <v>0</v>
      </c>
    </row>
    <row r="6" spans="1:22" x14ac:dyDescent="0.25">
      <c r="A6" t="s">
        <v>32</v>
      </c>
      <c r="B6" s="49">
        <v>-1.4569190000000001</v>
      </c>
      <c r="N6" t="s">
        <v>45</v>
      </c>
      <c r="O6" s="53">
        <v>1</v>
      </c>
    </row>
    <row r="7" spans="1:22" x14ac:dyDescent="0.25">
      <c r="A7" t="s">
        <v>33</v>
      </c>
      <c r="B7" s="49">
        <v>1.294165</v>
      </c>
    </row>
    <row r="8" spans="1:22" x14ac:dyDescent="0.25">
      <c r="A8" t="s">
        <v>34</v>
      </c>
      <c r="B8" s="49">
        <v>-0.1861708</v>
      </c>
    </row>
    <row r="9" spans="1:22" x14ac:dyDescent="0.25">
      <c r="A9" t="s">
        <v>35</v>
      </c>
      <c r="B9" s="49">
        <v>-7.1713760000000001E-3</v>
      </c>
    </row>
    <row r="10" spans="1:22" x14ac:dyDescent="0.25">
      <c r="A10" t="s">
        <v>36</v>
      </c>
      <c r="B10" s="49">
        <v>0.21275079999999999</v>
      </c>
    </row>
    <row r="11" spans="1:22" x14ac:dyDescent="0.25">
      <c r="A11" t="s">
        <v>37</v>
      </c>
      <c r="B11" s="49">
        <v>8.0562850000000005E-2</v>
      </c>
    </row>
    <row r="12" spans="1:22" x14ac:dyDescent="0.25">
      <c r="A12" t="s">
        <v>38</v>
      </c>
      <c r="B12" s="49">
        <v>0.1320093</v>
      </c>
    </row>
    <row r="13" spans="1:22" x14ac:dyDescent="0.25">
      <c r="A13" t="s">
        <v>39</v>
      </c>
      <c r="B13" s="49">
        <v>4.1414489999999997</v>
      </c>
    </row>
    <row r="14" spans="1:22" x14ac:dyDescent="0.25">
      <c r="A14" t="s">
        <v>40</v>
      </c>
      <c r="B14" s="49">
        <v>5.2154949999999999E-2</v>
      </c>
    </row>
    <row r="15" spans="1:22" x14ac:dyDescent="0.25">
      <c r="A15" t="s">
        <v>41</v>
      </c>
      <c r="B15" s="49">
        <v>-1.750326E-2</v>
      </c>
    </row>
    <row r="16" spans="1:22" x14ac:dyDescent="0.25">
      <c r="A16" t="s">
        <v>42</v>
      </c>
    </row>
    <row r="18" spans="1:16" ht="15.75" x14ac:dyDescent="0.3">
      <c r="A18" s="3"/>
      <c r="B18" s="1"/>
      <c r="C18" s="1"/>
      <c r="D18" s="1"/>
      <c r="E18" s="1"/>
      <c r="F18" s="2"/>
      <c r="G18" s="1"/>
      <c r="H18" s="1"/>
      <c r="I18" s="1"/>
      <c r="J18" s="1"/>
      <c r="K18" s="1"/>
      <c r="L18" s="1"/>
      <c r="M18" s="1"/>
      <c r="N18" s="1"/>
    </row>
    <row r="19" spans="1:16" ht="126" x14ac:dyDescent="0.3">
      <c r="A19" s="11" t="s">
        <v>17</v>
      </c>
      <c r="B19" s="12" t="s">
        <v>1</v>
      </c>
      <c r="C19" s="12" t="s">
        <v>4</v>
      </c>
      <c r="D19" s="12" t="s">
        <v>7</v>
      </c>
      <c r="E19" s="12" t="s">
        <v>3</v>
      </c>
      <c r="F19" s="15" t="s">
        <v>0</v>
      </c>
      <c r="G19" s="12" t="s">
        <v>11</v>
      </c>
      <c r="H19" s="12" t="s">
        <v>8</v>
      </c>
      <c r="I19" s="12" t="s">
        <v>6</v>
      </c>
      <c r="J19" s="12"/>
      <c r="K19" s="12" t="s">
        <v>12</v>
      </c>
      <c r="L19" s="12" t="s">
        <v>2</v>
      </c>
      <c r="M19" s="12" t="s">
        <v>10</v>
      </c>
      <c r="N19" s="12" t="s">
        <v>9</v>
      </c>
      <c r="O19" s="12" t="s">
        <v>50</v>
      </c>
      <c r="P19" s="12" t="s">
        <v>43</v>
      </c>
    </row>
    <row r="20" spans="1:16" ht="15.75" x14ac:dyDescent="0.3">
      <c r="A20" s="4" t="s">
        <v>15</v>
      </c>
      <c r="B20" s="14">
        <v>4820</v>
      </c>
      <c r="C20" s="30">
        <v>176</v>
      </c>
      <c r="D20" s="20">
        <v>7104</v>
      </c>
      <c r="E20" s="19">
        <v>0.75817891207484189</v>
      </c>
      <c r="F20" s="13">
        <v>52.3</v>
      </c>
      <c r="G20" s="31">
        <v>5.1120000000000001</v>
      </c>
      <c r="H20" s="34" t="s">
        <v>5</v>
      </c>
      <c r="I20" s="32">
        <v>5.0999999999999997E-2</v>
      </c>
      <c r="J20" s="32"/>
      <c r="K20" s="23">
        <v>7.5153502924252676E-5</v>
      </c>
      <c r="L20" s="14">
        <v>7596</v>
      </c>
      <c r="M20" s="31" t="s">
        <v>5</v>
      </c>
      <c r="N20" s="34" t="s">
        <v>5</v>
      </c>
      <c r="O20" s="54">
        <f>EXP(    ($B$1+$B$2*LN(C20) + $B$3*LN(C20)^2)   *   ($B$4+$B$5*LN(F20) +$B$6*LN(F20)^2)    *  ($B$7+$B$8*LN(D20) +$B$9*LN(D20)^2)    *  ($B$10+$B$11*LN(E20) +$B$12*LN(E20)^2)   *  ($B$13+$B$14*LN(B20) +$B$15*LN(B20)^2)   )</f>
        <v>5.5984149090435309E-2</v>
      </c>
      <c r="P20" s="53">
        <f>ABS((I20-O20)/O20)</f>
        <v>8.9027861839679839E-2</v>
      </c>
    </row>
    <row r="21" spans="1:16" ht="15.75" x14ac:dyDescent="0.3">
      <c r="A21" s="3" t="s">
        <v>13</v>
      </c>
      <c r="B21" s="5">
        <v>3697</v>
      </c>
      <c r="C21" s="5">
        <v>270</v>
      </c>
      <c r="D21" s="30">
        <v>2185.1652241112824</v>
      </c>
      <c r="E21" s="18">
        <v>0.98172449597075817</v>
      </c>
      <c r="F21" s="17">
        <v>44.2</v>
      </c>
      <c r="G21" s="18">
        <v>2.6244769978515015</v>
      </c>
      <c r="H21" s="13" t="s">
        <v>5</v>
      </c>
      <c r="I21" s="18">
        <v>8.9899999999999994E-2</v>
      </c>
      <c r="J21" s="7"/>
      <c r="K21" s="21">
        <v>5.6315497084457199E-5</v>
      </c>
      <c r="L21" s="5">
        <v>8260</v>
      </c>
      <c r="M21" s="18">
        <v>2.2977123139010298</v>
      </c>
      <c r="N21" s="13" t="s">
        <v>5</v>
      </c>
      <c r="O21" s="54">
        <f>EXP(    ($B$1+$B$2*LN(C21) + $B$3*LN(C21)^2)   *   ($B$4+$B$5*LN(F21) +$B$6*LN(F21)^2)    *  ($B$7+$B$8*LN(D21) +$B$9*LN(D21)^2)    *  ($B$10+$B$11*LN(E21) +$B$12*LN(E21)^2)   *  ($B$13+$B$14*LN(B21) +$B$15*LN(B21)^2)   )</f>
        <v>9.3645169349395541E-2</v>
      </c>
      <c r="P21" s="53">
        <f>ABS((I21-O21)/O21)</f>
        <v>3.9993193193149167E-2</v>
      </c>
    </row>
    <row r="22" spans="1:16" ht="15.75" x14ac:dyDescent="0.3">
      <c r="A22" s="4" t="s">
        <v>15</v>
      </c>
      <c r="B22" s="14">
        <v>4618</v>
      </c>
      <c r="C22" s="30">
        <v>205</v>
      </c>
      <c r="D22" s="20">
        <v>3786</v>
      </c>
      <c r="E22" s="19">
        <v>0.7799001584786055</v>
      </c>
      <c r="F22" s="13">
        <v>47.6</v>
      </c>
      <c r="G22" s="31">
        <v>3.1960000000000002</v>
      </c>
      <c r="H22" s="13" t="s">
        <v>5</v>
      </c>
      <c r="I22" s="32">
        <v>9.7000000000000003E-2</v>
      </c>
      <c r="J22" s="32"/>
      <c r="K22" s="23">
        <v>7.0318049317459581E-5</v>
      </c>
      <c r="L22" s="14">
        <v>7362</v>
      </c>
      <c r="M22" s="31">
        <v>2.8834312</v>
      </c>
      <c r="N22" s="13" t="s">
        <v>5</v>
      </c>
      <c r="O22" s="54">
        <f>EXP(    ($B$1+$B$2*LN(C22) + $B$3*LN(C22)^2)   *   ($B$4+$B$5*LN(F22) +$B$6*LN(F22)^2)    *  ($B$7+$B$8*LN(D22) +$B$9*LN(D22)^2)    *  ($B$10+$B$11*LN(E22) +$B$12*LN(E22)^2)   *  ($B$13+$B$14*LN(B22) +$B$15*LN(B22)^2)   )</f>
        <v>9.0366566404043086E-2</v>
      </c>
      <c r="P22" s="53">
        <f>ABS((I22-O22)/O22)</f>
        <v>7.3405838684827251E-2</v>
      </c>
    </row>
    <row r="23" spans="1:16" ht="15.75" x14ac:dyDescent="0.3">
      <c r="A23" s="4" t="s">
        <v>15</v>
      </c>
      <c r="B23" s="14">
        <v>4856</v>
      </c>
      <c r="C23" s="30">
        <v>165</v>
      </c>
      <c r="D23" s="20">
        <v>3878</v>
      </c>
      <c r="E23" s="19">
        <v>0.81859073191566978</v>
      </c>
      <c r="F23" s="13">
        <v>49.45</v>
      </c>
      <c r="G23" s="31">
        <v>3.048</v>
      </c>
      <c r="H23" s="13" t="s">
        <v>5</v>
      </c>
      <c r="I23" s="32">
        <v>0.11</v>
      </c>
      <c r="J23" s="32"/>
      <c r="K23" s="6">
        <v>5.1286399999999997E-5</v>
      </c>
      <c r="L23" s="14">
        <v>7015</v>
      </c>
      <c r="M23" s="31">
        <v>2.8382000000000001</v>
      </c>
      <c r="N23" s="13" t="s">
        <v>5</v>
      </c>
      <c r="O23" s="54">
        <f>EXP(    ($B$1+$B$2*LN(C23) + $B$3*LN(C23)^2)   *   ($B$4+$B$5*LN(F23) +$B$6*LN(F23)^2)    *  ($B$7+$B$8*LN(D23) +$B$9*LN(D23)^2)    *  ($B$10+$B$11*LN(E23) +$B$12*LN(E23)^2)   *  ($B$13+$B$14*LN(B23) +$B$15*LN(B23)^2)   )</f>
        <v>0.11491731942897374</v>
      </c>
      <c r="P23" s="53">
        <f>ABS((I23-O23)/O23)</f>
        <v>4.2790063790279699E-2</v>
      </c>
    </row>
    <row r="24" spans="1:16" ht="15.75" x14ac:dyDescent="0.3">
      <c r="A24" s="4" t="s">
        <v>15</v>
      </c>
      <c r="B24" s="14">
        <v>4633</v>
      </c>
      <c r="C24" s="30">
        <v>175</v>
      </c>
      <c r="D24" s="20">
        <v>2870</v>
      </c>
      <c r="E24" s="19">
        <v>0.77762717770034839</v>
      </c>
      <c r="F24" s="13">
        <v>50.2</v>
      </c>
      <c r="G24" s="31">
        <v>2.4930187474406478</v>
      </c>
      <c r="H24" s="13" t="s">
        <v>5</v>
      </c>
      <c r="I24" s="32">
        <v>0.123</v>
      </c>
      <c r="J24" s="32"/>
      <c r="K24" s="23">
        <v>3.9453414659042241E-5</v>
      </c>
      <c r="L24" s="14">
        <v>6900</v>
      </c>
      <c r="M24" s="31">
        <v>2.3387812897176889</v>
      </c>
      <c r="N24" s="13" t="s">
        <v>5</v>
      </c>
      <c r="O24" s="54">
        <f>EXP(    ($B$1+$B$2*LN(C24) + $B$3*LN(C24)^2)   *   ($B$4+$B$5*LN(F24) +$B$6*LN(F24)^2)    *  ($B$7+$B$8*LN(D24) +$B$9*LN(D24)^2)    *  ($B$10+$B$11*LN(E24) +$B$12*LN(E24)^2)   *  ($B$13+$B$14*LN(B24) +$B$15*LN(B24)^2)   )</f>
        <v>0.13934844726442519</v>
      </c>
      <c r="P24" s="53">
        <f>ABS((I24-O24)/O24)</f>
        <v>0.11732062742976004</v>
      </c>
    </row>
    <row r="25" spans="1:16" ht="15.75" x14ac:dyDescent="0.3">
      <c r="A25" s="4" t="s">
        <v>15</v>
      </c>
      <c r="B25" s="14">
        <v>4535</v>
      </c>
      <c r="C25" s="30">
        <v>177</v>
      </c>
      <c r="D25" s="20">
        <v>2583</v>
      </c>
      <c r="E25" s="19">
        <v>0.78466681175390973</v>
      </c>
      <c r="F25" s="13">
        <v>47.68</v>
      </c>
      <c r="G25" s="31">
        <v>2.4142999999999999</v>
      </c>
      <c r="H25" s="13" t="s">
        <v>5</v>
      </c>
      <c r="I25" s="32">
        <v>0.125</v>
      </c>
      <c r="J25" s="32"/>
      <c r="K25" s="6">
        <v>3.9792000000000001E-5</v>
      </c>
      <c r="L25" s="14">
        <v>7617</v>
      </c>
      <c r="M25" s="31">
        <v>2.2368000000000001</v>
      </c>
      <c r="N25" s="13" t="s">
        <v>5</v>
      </c>
      <c r="O25" s="54">
        <f>EXP(    ($B$1+$B$2*LN(C25) + $B$3*LN(C25)^2)   *   ($B$4+$B$5*LN(F25) +$B$6*LN(F25)^2)    *  ($B$7+$B$8*LN(D25) +$B$9*LN(D25)^2)    *  ($B$10+$B$11*LN(E25) +$B$12*LN(E25)^2)   *  ($B$13+$B$14*LN(B25) +$B$15*LN(B25)^2)   )</f>
        <v>0.15887356040443926</v>
      </c>
      <c r="P25" s="53">
        <f>ABS((I25-O25)/O25)</f>
        <v>0.2132108093896079</v>
      </c>
    </row>
    <row r="26" spans="1:16" ht="15.75" x14ac:dyDescent="0.3">
      <c r="A26" s="4" t="s">
        <v>15</v>
      </c>
      <c r="B26" s="14">
        <v>4575</v>
      </c>
      <c r="C26" s="30">
        <v>176</v>
      </c>
      <c r="D26" s="20">
        <v>2592.8721580424876</v>
      </c>
      <c r="E26" s="19">
        <v>0.79100877299711558</v>
      </c>
      <c r="F26" s="13">
        <v>48.11</v>
      </c>
      <c r="G26" s="31">
        <v>2.4289999999999998</v>
      </c>
      <c r="H26" s="13" t="s">
        <v>5</v>
      </c>
      <c r="I26" s="32">
        <v>0.127</v>
      </c>
      <c r="J26" s="32"/>
      <c r="K26" s="6">
        <v>3.7751499999999999E-5</v>
      </c>
      <c r="L26" s="14">
        <v>7449</v>
      </c>
      <c r="M26" s="31">
        <v>2.2591000000000001</v>
      </c>
      <c r="N26" s="13" t="s">
        <v>5</v>
      </c>
      <c r="O26" s="54">
        <f>EXP(    ($B$1+$B$2*LN(C26) + $B$3*LN(C26)^2)   *   ($B$4+$B$5*LN(F26) +$B$6*LN(F26)^2)    *  ($B$7+$B$8*LN(D26) +$B$9*LN(D26)^2)    *  ($B$10+$B$11*LN(E26) +$B$12*LN(E26)^2)   *  ($B$13+$B$14*LN(B26) +$B$15*LN(B26)^2)   )</f>
        <v>0.15789225948731228</v>
      </c>
      <c r="P26" s="53">
        <f>ABS((I26-O26)/O26)</f>
        <v>0.195654046548081</v>
      </c>
    </row>
    <row r="27" spans="1:16" ht="15.75" x14ac:dyDescent="0.3">
      <c r="A27" s="3" t="s">
        <v>13</v>
      </c>
      <c r="B27" s="5">
        <v>3722</v>
      </c>
      <c r="C27" s="5">
        <v>270</v>
      </c>
      <c r="D27" s="30">
        <v>2205.9741313164527</v>
      </c>
      <c r="E27" s="18">
        <v>0.9681445936820593</v>
      </c>
      <c r="F27" s="17">
        <v>44.4</v>
      </c>
      <c r="G27" s="18">
        <v>2.4543779368789083</v>
      </c>
      <c r="H27" s="13" t="s">
        <v>5</v>
      </c>
      <c r="I27" s="18">
        <v>0.127</v>
      </c>
      <c r="J27" s="7"/>
      <c r="K27" s="21">
        <v>5.24157793085684E-5</v>
      </c>
      <c r="L27" s="5">
        <v>8200</v>
      </c>
      <c r="M27" s="18">
        <v>2.1447051970846669</v>
      </c>
      <c r="N27" s="13" t="s">
        <v>5</v>
      </c>
      <c r="O27" s="54">
        <f>EXP(    ($B$1+$B$2*LN(C27) + $B$3*LN(C27)^2)   *   ($B$4+$B$5*LN(F27) +$B$6*LN(F27)^2)    *  ($B$7+$B$8*LN(D27) +$B$9*LN(D27)^2)    *  ($B$10+$B$11*LN(E27) +$B$12*LN(E27)^2)   *  ($B$13+$B$14*LN(B27) +$B$15*LN(B27)^2)   )</f>
        <v>9.3174127787070862E-2</v>
      </c>
      <c r="P27" s="53">
        <f>ABS((I27-O27)/O27)</f>
        <v>0.36303932235599551</v>
      </c>
    </row>
    <row r="28" spans="1:16" ht="15.75" x14ac:dyDescent="0.3">
      <c r="A28" s="3" t="s">
        <v>13</v>
      </c>
      <c r="B28" s="5">
        <v>3310</v>
      </c>
      <c r="C28" s="5">
        <v>240</v>
      </c>
      <c r="D28" s="30">
        <v>1471.8214907124384</v>
      </c>
      <c r="E28" s="18">
        <v>0.84899999999999998</v>
      </c>
      <c r="F28" s="17">
        <v>44.7</v>
      </c>
      <c r="G28" s="18">
        <v>1.93272514077489</v>
      </c>
      <c r="H28" s="13" t="s">
        <v>5</v>
      </c>
      <c r="I28" s="18">
        <v>0.128</v>
      </c>
      <c r="J28" s="7"/>
      <c r="K28" s="21">
        <v>3.481969076520409E-5</v>
      </c>
      <c r="L28" s="5">
        <v>5500</v>
      </c>
      <c r="M28" s="18">
        <v>1.8178851069538626</v>
      </c>
      <c r="N28" s="13" t="s">
        <v>5</v>
      </c>
      <c r="O28" s="54">
        <f>EXP(    ($B$1+$B$2*LN(C28) + $B$3*LN(C28)^2)   *   ($B$4+$B$5*LN(F28) +$B$6*LN(F28)^2)    *  ($B$7+$B$8*LN(D28) +$B$9*LN(D28)^2)    *  ($B$10+$B$11*LN(E28) +$B$12*LN(E28)^2)   *  ($B$13+$B$14*LN(B28) +$B$15*LN(B28)^2)   )</f>
        <v>0.18972100272867359</v>
      </c>
      <c r="P28" s="53">
        <f>ABS((I28-O28)/O28)</f>
        <v>0.32532509232487494</v>
      </c>
    </row>
    <row r="29" spans="1:16" ht="15.75" x14ac:dyDescent="0.3">
      <c r="A29" s="4" t="s">
        <v>15</v>
      </c>
      <c r="B29" s="14">
        <v>4115</v>
      </c>
      <c r="C29" s="30">
        <v>165</v>
      </c>
      <c r="D29" s="20">
        <v>1921.8963562753036</v>
      </c>
      <c r="E29" s="19">
        <v>0.80648070107880954</v>
      </c>
      <c r="F29" s="13">
        <v>44.5</v>
      </c>
      <c r="G29" s="31">
        <v>2.032</v>
      </c>
      <c r="H29" s="33" t="s">
        <v>5</v>
      </c>
      <c r="I29" s="32">
        <v>0.13337967864028299</v>
      </c>
      <c r="J29" s="32"/>
      <c r="K29" s="6">
        <v>2.6290000000000001E-5</v>
      </c>
      <c r="L29" s="14">
        <v>6180</v>
      </c>
      <c r="M29" s="31">
        <v>1.944</v>
      </c>
      <c r="N29" s="13" t="s">
        <v>5</v>
      </c>
      <c r="O29" s="54">
        <f>EXP(    ($B$1+$B$2*LN(C29) + $B$3*LN(C29)^2)   *   ($B$4+$B$5*LN(F29) +$B$6*LN(F29)^2)    *  ($B$7+$B$8*LN(D29) +$B$9*LN(D29)^2)    *  ($B$10+$B$11*LN(E29) +$B$12*LN(E29)^2)   *  ($B$13+$B$14*LN(B29) +$B$15*LN(B29)^2)   )</f>
        <v>0.22933844215637952</v>
      </c>
      <c r="P29" s="53">
        <f>ABS((I29-O29)/O29)</f>
        <v>0.41841551993566306</v>
      </c>
    </row>
    <row r="30" spans="1:16" ht="15.75" x14ac:dyDescent="0.3">
      <c r="A30" s="3" t="s">
        <v>13</v>
      </c>
      <c r="B30" s="5">
        <v>3609</v>
      </c>
      <c r="C30" s="5">
        <v>240</v>
      </c>
      <c r="D30" s="30">
        <v>1830</v>
      </c>
      <c r="E30" s="18">
        <v>0.99679574727810316</v>
      </c>
      <c r="F30" s="17">
        <v>41.4</v>
      </c>
      <c r="G30" s="18">
        <v>2.2355892603576124</v>
      </c>
      <c r="H30" s="13" t="s">
        <v>5</v>
      </c>
      <c r="I30" s="18">
        <v>0.13567425546815229</v>
      </c>
      <c r="J30" s="7"/>
      <c r="K30" s="21">
        <v>4.0392901023486177E-5</v>
      </c>
      <c r="L30" s="5">
        <v>6815</v>
      </c>
      <c r="M30" s="18">
        <v>2.0624873723608794</v>
      </c>
      <c r="N30" s="13" t="s">
        <v>5</v>
      </c>
      <c r="O30" s="54">
        <f>EXP(    ($B$1+$B$2*LN(C30) + $B$3*LN(C30)^2)   *   ($B$4+$B$5*LN(F30) +$B$6*LN(F30)^2)    *  ($B$7+$B$8*LN(D30) +$B$9*LN(D30)^2)    *  ($B$10+$B$11*LN(E30) +$B$12*LN(E30)^2)   *  ($B$13+$B$14*LN(B30) +$B$15*LN(B30)^2)   )</f>
        <v>0.15051442098633214</v>
      </c>
      <c r="P30" s="53">
        <f>ABS((I30-O30)/O30)</f>
        <v>9.8596303403561902E-2</v>
      </c>
    </row>
    <row r="31" spans="1:16" ht="15.75" x14ac:dyDescent="0.3">
      <c r="A31" s="4" t="s">
        <v>15</v>
      </c>
      <c r="B31" s="14">
        <v>4815</v>
      </c>
      <c r="C31" s="30">
        <v>171</v>
      </c>
      <c r="D31" s="20">
        <v>3198</v>
      </c>
      <c r="E31" s="19">
        <v>0.82248795518505935</v>
      </c>
      <c r="F31" s="13">
        <v>47.73</v>
      </c>
      <c r="G31" s="31">
        <v>2.7440000000000002</v>
      </c>
      <c r="H31" s="13" t="s">
        <v>5</v>
      </c>
      <c r="I31" s="32">
        <v>0.13600000000000001</v>
      </c>
      <c r="J31" s="32"/>
      <c r="K31" s="6">
        <f>41.7751123876564/10^6</f>
        <v>4.1775112387656397E-5</v>
      </c>
      <c r="L31" s="14">
        <v>8115</v>
      </c>
      <c r="M31" s="31">
        <v>2.5209999999999999</v>
      </c>
      <c r="N31" s="13" t="s">
        <v>5</v>
      </c>
      <c r="O31" s="54">
        <f>EXP(    ($B$1+$B$2*LN(C31) + $B$3*LN(C31)^2)   *   ($B$4+$B$5*LN(F31) +$B$6*LN(F31)^2)    *  ($B$7+$B$8*LN(D31) +$B$9*LN(D31)^2)    *  ($B$10+$B$11*LN(E31) +$B$12*LN(E31)^2)   *  ($B$13+$B$14*LN(B31) +$B$15*LN(B31)^2)   )</f>
        <v>0.13599724768356566</v>
      </c>
      <c r="P31" s="53">
        <f>ABS((I31-O31)/O31)</f>
        <v>2.0238030410363235E-5</v>
      </c>
    </row>
    <row r="32" spans="1:16" ht="15.75" x14ac:dyDescent="0.3">
      <c r="A32" s="3" t="s">
        <v>13</v>
      </c>
      <c r="B32" s="5">
        <v>2944</v>
      </c>
      <c r="C32" s="5">
        <v>270</v>
      </c>
      <c r="D32" s="30">
        <v>1300.3197900526727</v>
      </c>
      <c r="E32" s="18">
        <v>0.99283819657972716</v>
      </c>
      <c r="F32" s="17">
        <v>42.5</v>
      </c>
      <c r="G32" s="18">
        <v>1.9198054319023261</v>
      </c>
      <c r="H32" s="13" t="s">
        <v>5</v>
      </c>
      <c r="I32" s="18">
        <v>0.1363</v>
      </c>
      <c r="J32" s="7"/>
      <c r="K32" s="21">
        <v>3.66317661139909E-5</v>
      </c>
      <c r="L32" s="5">
        <v>8150</v>
      </c>
      <c r="M32" s="18">
        <v>1.7065076919342763</v>
      </c>
      <c r="N32" s="13" t="s">
        <v>5</v>
      </c>
      <c r="O32" s="54">
        <f>EXP(    ($B$1+$B$2*LN(C32) + $B$3*LN(C32)^2)   *   ($B$4+$B$5*LN(F32) +$B$6*LN(F32)^2)    *  ($B$7+$B$8*LN(D32) +$B$9*LN(D32)^2)    *  ($B$10+$B$11*LN(E32) +$B$12*LN(E32)^2)   *  ($B$13+$B$14*LN(B32) +$B$15*LN(B32)^2)   )</f>
        <v>0.17843936801932003</v>
      </c>
      <c r="P32" s="53">
        <f>ABS((I32-O32)/O32)</f>
        <v>0.23615510684143146</v>
      </c>
    </row>
    <row r="33" spans="1:16" ht="15.75" x14ac:dyDescent="0.3">
      <c r="A33" s="4" t="s">
        <v>15</v>
      </c>
      <c r="B33" s="14">
        <v>4735</v>
      </c>
      <c r="C33" s="30">
        <v>169</v>
      </c>
      <c r="D33" s="20">
        <v>3019.0898226608274</v>
      </c>
      <c r="E33" s="19">
        <v>0.80864126002039083</v>
      </c>
      <c r="F33" s="13">
        <v>47.84</v>
      </c>
      <c r="G33" s="31">
        <v>2.6800771815122393</v>
      </c>
      <c r="H33" s="13" t="s">
        <v>5</v>
      </c>
      <c r="I33" s="32">
        <v>0.13800000000000001</v>
      </c>
      <c r="J33" s="32"/>
      <c r="K33" s="6">
        <v>4.4029273699827716E-5</v>
      </c>
      <c r="L33" s="14">
        <v>7619</v>
      </c>
      <c r="M33" s="31">
        <v>2.4782733289085912</v>
      </c>
      <c r="N33" s="13" t="s">
        <v>5</v>
      </c>
      <c r="O33" s="54">
        <f>EXP(    ($B$1+$B$2*LN(C33) + $B$3*LN(C33)^2)   *   ($B$4+$B$5*LN(F33) +$B$6*LN(F33)^2)    *  ($B$7+$B$8*LN(D33) +$B$9*LN(D33)^2)    *  ($B$10+$B$11*LN(E33) +$B$12*LN(E33)^2)   *  ($B$13+$B$14*LN(B33) +$B$15*LN(B33)^2)   )</f>
        <v>0.14493879796050266</v>
      </c>
      <c r="P33" s="53">
        <f>ABS((I33-O33)/O33)</f>
        <v>4.7873985834997343E-2</v>
      </c>
    </row>
    <row r="34" spans="1:16" ht="15.75" x14ac:dyDescent="0.3">
      <c r="A34" s="3" t="s">
        <v>13</v>
      </c>
      <c r="B34" s="5">
        <v>3280</v>
      </c>
      <c r="C34" s="5">
        <v>280</v>
      </c>
      <c r="D34" s="30">
        <v>1454</v>
      </c>
      <c r="E34" s="18">
        <v>0.87214580467675373</v>
      </c>
      <c r="F34" s="17">
        <v>43.3</v>
      </c>
      <c r="G34" s="18">
        <v>2.008</v>
      </c>
      <c r="H34" s="13" t="s">
        <v>5</v>
      </c>
      <c r="I34" s="18">
        <v>0.13900000000000001</v>
      </c>
      <c r="J34" s="7"/>
      <c r="K34" s="21">
        <v>5.2865999999999998E-5</v>
      </c>
      <c r="L34" s="5">
        <v>8192</v>
      </c>
      <c r="M34" s="18">
        <v>1.78</v>
      </c>
      <c r="N34" s="13" t="s">
        <v>5</v>
      </c>
      <c r="O34" s="54">
        <f>EXP(    ($B$1+$B$2*LN(C34) + $B$3*LN(C34)^2)   *   ($B$4+$B$5*LN(F34) +$B$6*LN(F34)^2)    *  ($B$7+$B$8*LN(D34) +$B$9*LN(D34)^2)    *  ($B$10+$B$11*LN(E34) +$B$12*LN(E34)^2)   *  ($B$13+$B$14*LN(B34) +$B$15*LN(B34)^2)   )</f>
        <v>0.15704193971731362</v>
      </c>
      <c r="P34" s="53">
        <f>ABS((I34-O34)/O34)</f>
        <v>0.11488612373096223</v>
      </c>
    </row>
    <row r="35" spans="1:16" ht="15.75" x14ac:dyDescent="0.3">
      <c r="A35" s="4" t="s">
        <v>15</v>
      </c>
      <c r="B35" s="14">
        <v>4088</v>
      </c>
      <c r="C35" s="30">
        <v>148</v>
      </c>
      <c r="D35" s="20">
        <v>2393</v>
      </c>
      <c r="E35" s="19">
        <v>0.80163309653155035</v>
      </c>
      <c r="F35" s="13">
        <v>47.6</v>
      </c>
      <c r="G35" s="31">
        <v>2.2130739781586799</v>
      </c>
      <c r="H35" s="13" t="s">
        <v>5</v>
      </c>
      <c r="I35" s="32">
        <v>0.14699999999999999</v>
      </c>
      <c r="J35" s="32"/>
      <c r="K35" s="23">
        <v>3.2993586346309899E-5</v>
      </c>
      <c r="L35" s="14">
        <v>6177</v>
      </c>
      <c r="M35" s="31">
        <v>2.1040654680209947</v>
      </c>
      <c r="N35" s="13" t="s">
        <v>5</v>
      </c>
      <c r="O35" s="54">
        <f>EXP(    ($B$1+$B$2*LN(C35) + $B$3*LN(C35)^2)   *   ($B$4+$B$5*LN(F35) +$B$6*LN(F35)^2)    *  ($B$7+$B$8*LN(D35) +$B$9*LN(D35)^2)    *  ($B$10+$B$11*LN(E35) +$B$12*LN(E35)^2)   *  ($B$13+$B$14*LN(B35) +$B$15*LN(B35)^2)   )</f>
        <v>0.19574599001003676</v>
      </c>
      <c r="P35" s="53">
        <f>ABS((I35-O35)/O35)</f>
        <v>0.24902676171060947</v>
      </c>
    </row>
    <row r="36" spans="1:16" ht="15.75" x14ac:dyDescent="0.3">
      <c r="A36" s="4" t="s">
        <v>15</v>
      </c>
      <c r="B36" s="14">
        <v>4374</v>
      </c>
      <c r="C36" s="30">
        <v>174</v>
      </c>
      <c r="D36" s="20">
        <v>2615</v>
      </c>
      <c r="E36" s="19">
        <v>0.79573762906309753</v>
      </c>
      <c r="F36" s="13">
        <v>47.5</v>
      </c>
      <c r="G36" s="31">
        <v>2.4460000000000002</v>
      </c>
      <c r="H36" s="13" t="s">
        <v>5</v>
      </c>
      <c r="I36" s="32">
        <v>0.14699999999999999</v>
      </c>
      <c r="J36" s="32"/>
      <c r="K36" s="6">
        <v>3.5503000000000002E-5</v>
      </c>
      <c r="L36" s="14">
        <v>6415</v>
      </c>
      <c r="M36" s="31">
        <v>2.3170000000000002</v>
      </c>
      <c r="N36" s="13" t="s">
        <v>5</v>
      </c>
      <c r="O36" s="54">
        <f>EXP(    ($B$1+$B$2*LN(C36) + $B$3*LN(C36)^2)   *   ($B$4+$B$5*LN(F36) +$B$6*LN(F36)^2)    *  ($B$7+$B$8*LN(D36) +$B$9*LN(D36)^2)    *  ($B$10+$B$11*LN(E36) +$B$12*LN(E36)^2)   *  ($B$13+$B$14*LN(B36) +$B$15*LN(B36)^2)   )</f>
        <v>0.15954169390604975</v>
      </c>
      <c r="P36" s="53">
        <f>ABS((I36-O36)/O36)</f>
        <v>7.8610760604279753E-2</v>
      </c>
    </row>
    <row r="37" spans="1:16" ht="15.75" x14ac:dyDescent="0.3">
      <c r="A37" s="3" t="s">
        <v>13</v>
      </c>
      <c r="B37" s="5">
        <v>3005</v>
      </c>
      <c r="C37" s="5">
        <v>242</v>
      </c>
      <c r="D37" s="30">
        <v>1290.7743124026983</v>
      </c>
      <c r="E37" s="18">
        <v>0.90783856762258497</v>
      </c>
      <c r="F37" s="17">
        <v>44.9</v>
      </c>
      <c r="G37" s="18">
        <v>1.8594969644768309</v>
      </c>
      <c r="H37" s="13" t="s">
        <v>5</v>
      </c>
      <c r="I37" s="18">
        <v>0.14699999999999999</v>
      </c>
      <c r="J37" s="7"/>
      <c r="K37" s="21">
        <v>2.9842397655878901E-5</v>
      </c>
      <c r="L37" s="5">
        <v>6577</v>
      </c>
      <c r="M37" s="18">
        <v>2.1945895929954657</v>
      </c>
      <c r="N37" s="13" t="s">
        <v>5</v>
      </c>
      <c r="O37" s="54">
        <f>EXP(    ($B$1+$B$2*LN(C37) + $B$3*LN(C37)^2)   *   ($B$4+$B$5*LN(F37) +$B$6*LN(F37)^2)    *  ($B$7+$B$8*LN(D37) +$B$9*LN(D37)^2)    *  ($B$10+$B$11*LN(E37) +$B$12*LN(E37)^2)   *  ($B$13+$B$14*LN(B37) +$B$15*LN(B37)^2)   )</f>
        <v>0.20854055501725002</v>
      </c>
      <c r="P37" s="53">
        <f>ABS((I37-O37)/O37)</f>
        <v>0.29510113758045542</v>
      </c>
    </row>
    <row r="38" spans="1:16" ht="15.75" x14ac:dyDescent="0.3">
      <c r="A38" s="4" t="s">
        <v>15</v>
      </c>
      <c r="B38" s="14">
        <v>3995</v>
      </c>
      <c r="C38" s="30">
        <v>162</v>
      </c>
      <c r="D38" s="20">
        <v>2072</v>
      </c>
      <c r="E38" s="19">
        <v>0.84604101208844851</v>
      </c>
      <c r="F38" s="13">
        <v>44.89</v>
      </c>
      <c r="G38" s="31">
        <v>2.1619999999999999</v>
      </c>
      <c r="H38" s="13" t="s">
        <v>5</v>
      </c>
      <c r="I38" s="32">
        <v>0.151</v>
      </c>
      <c r="J38" s="32"/>
      <c r="K38" s="6">
        <v>2.9722599999999999E-5</v>
      </c>
      <c r="L38" s="14">
        <v>7154</v>
      </c>
      <c r="M38" s="31">
        <v>2.0295999999999998</v>
      </c>
      <c r="N38" s="13" t="s">
        <v>5</v>
      </c>
      <c r="O38" s="54">
        <f>EXP(    ($B$1+$B$2*LN(C38) + $B$3*LN(C38)^2)   *   ($B$4+$B$5*LN(F38) +$B$6*LN(F38)^2)    *  ($B$7+$B$8*LN(D38) +$B$9*LN(D38)^2)    *  ($B$10+$B$11*LN(E38) +$B$12*LN(E38)^2)   *  ($B$13+$B$14*LN(B38) +$B$15*LN(B38)^2)   )</f>
        <v>0.21399248800489509</v>
      </c>
      <c r="P38" s="53">
        <f>ABS((I38-O38)/O38)</f>
        <v>0.29436775371037388</v>
      </c>
    </row>
    <row r="39" spans="1:16" ht="15.75" x14ac:dyDescent="0.3">
      <c r="A39" s="4" t="s">
        <v>15</v>
      </c>
      <c r="B39" s="14">
        <v>4397</v>
      </c>
      <c r="C39" s="30">
        <v>162</v>
      </c>
      <c r="D39" s="20">
        <v>2369</v>
      </c>
      <c r="E39" s="19">
        <v>0.80202568367570037</v>
      </c>
      <c r="F39" s="13">
        <v>47.8</v>
      </c>
      <c r="G39" s="31">
        <v>2.2797000000000001</v>
      </c>
      <c r="H39" s="13" t="s">
        <v>5</v>
      </c>
      <c r="I39" s="32">
        <v>0.155</v>
      </c>
      <c r="J39" s="32"/>
      <c r="K39" s="6">
        <v>3.2977396396851703E-5</v>
      </c>
      <c r="L39" s="14">
        <v>6724</v>
      </c>
      <c r="M39" s="31">
        <v>2.1575000000000002</v>
      </c>
      <c r="N39" s="13" t="s">
        <v>5</v>
      </c>
      <c r="O39" s="54">
        <f>EXP(    ($B$1+$B$2*LN(C39) + $B$3*LN(C39)^2)   *   ($B$4+$B$5*LN(F39) +$B$6*LN(F39)^2)    *  ($B$7+$B$8*LN(D39) +$B$9*LN(D39)^2)    *  ($B$10+$B$11*LN(E39) +$B$12*LN(E39)^2)   *  ($B$13+$B$14*LN(B39) +$B$15*LN(B39)^2)   )</f>
        <v>0.18514034092163531</v>
      </c>
      <c r="P39" s="53">
        <f>ABS((I39-O39)/O39)</f>
        <v>0.16279726380320791</v>
      </c>
    </row>
    <row r="40" spans="1:16" ht="15.75" x14ac:dyDescent="0.3">
      <c r="A40" s="3" t="s">
        <v>13</v>
      </c>
      <c r="B40" s="5">
        <v>3066</v>
      </c>
      <c r="C40" s="5">
        <v>270</v>
      </c>
      <c r="D40" s="30">
        <v>1317.9111629386198</v>
      </c>
      <c r="E40" s="18">
        <v>0.97099999999999997</v>
      </c>
      <c r="F40" s="17">
        <v>41.8</v>
      </c>
      <c r="G40" s="18">
        <v>1.9114061086963996</v>
      </c>
      <c r="H40" s="13" t="s">
        <v>5</v>
      </c>
      <c r="I40" s="18">
        <v>0.15531206651272</v>
      </c>
      <c r="J40" s="7"/>
      <c r="K40" s="21">
        <v>3.0711608145691098E-5</v>
      </c>
      <c r="L40" s="5">
        <v>8100</v>
      </c>
      <c r="M40" s="18">
        <v>1.7229050776838599</v>
      </c>
      <c r="N40" s="13" t="s">
        <v>5</v>
      </c>
      <c r="O40" s="54">
        <f>EXP(    ($B$1+$B$2*LN(C40) + $B$3*LN(C40)^2)   *   ($B$4+$B$5*LN(F40) +$B$6*LN(F40)^2)    *  ($B$7+$B$8*LN(D40) +$B$9*LN(D40)^2)    *  ($B$10+$B$11*LN(E40) +$B$12*LN(E40)^2)   *  ($B$13+$B$14*LN(B40) +$B$15*LN(B40)^2)   )</f>
        <v>0.18167768692859246</v>
      </c>
      <c r="P40" s="53">
        <f>ABS((I40-O40)/O40)</f>
        <v>0.14512305204675649</v>
      </c>
    </row>
    <row r="41" spans="1:16" ht="15.75" x14ac:dyDescent="0.3">
      <c r="A41" s="3" t="s">
        <v>13</v>
      </c>
      <c r="B41" s="5">
        <v>3149</v>
      </c>
      <c r="C41" s="5">
        <v>241</v>
      </c>
      <c r="D41" s="30">
        <v>1302.9698972755696</v>
      </c>
      <c r="E41" s="18">
        <v>0.88902905853998426</v>
      </c>
      <c r="F41" s="17">
        <v>42.8</v>
      </c>
      <c r="G41" s="18">
        <v>1.8582176927835234</v>
      </c>
      <c r="H41" s="13" t="s">
        <v>5</v>
      </c>
      <c r="I41" s="18">
        <v>0.156</v>
      </c>
      <c r="J41" s="7"/>
      <c r="K41" s="21">
        <v>3.3405927508536401E-5</v>
      </c>
      <c r="L41" s="5">
        <v>6840</v>
      </c>
      <c r="M41" s="18">
        <v>1.7148134475218746</v>
      </c>
      <c r="N41" s="13" t="s">
        <v>5</v>
      </c>
      <c r="O41" s="54">
        <f>EXP(    ($B$1+$B$2*LN(C41) + $B$3*LN(C41)^2)   *   ($B$4+$B$5*LN(F41) +$B$6*LN(F41)^2)    *  ($B$7+$B$8*LN(D41) +$B$9*LN(D41)^2)    *  ($B$10+$B$11*LN(E41) +$B$12*LN(E41)^2)   *  ($B$13+$B$14*LN(B41) +$B$15*LN(B41)^2)   )</f>
        <v>0.21894132868077393</v>
      </c>
      <c r="P41" s="53">
        <f>ABS((I41-O41)/O41)</f>
        <v>0.28748034489433993</v>
      </c>
    </row>
    <row r="42" spans="1:16" ht="15.75" x14ac:dyDescent="0.3">
      <c r="A42" s="4" t="s">
        <v>15</v>
      </c>
      <c r="B42" s="14">
        <v>4328.6499999999996</v>
      </c>
      <c r="C42" s="30">
        <v>143</v>
      </c>
      <c r="D42" s="20">
        <v>2261</v>
      </c>
      <c r="E42" s="19">
        <v>0.8055714285714286</v>
      </c>
      <c r="F42" s="13">
        <v>45.352893388326464</v>
      </c>
      <c r="G42" s="31">
        <v>2.1920000000000002</v>
      </c>
      <c r="H42" s="13" t="s">
        <v>5</v>
      </c>
      <c r="I42" s="32">
        <v>0.16600000000000001</v>
      </c>
      <c r="J42" s="32"/>
      <c r="K42" s="6">
        <v>2.97878E-5</v>
      </c>
      <c r="L42" s="14">
        <v>7114.65</v>
      </c>
      <c r="M42" s="31">
        <v>2.0699999999999998</v>
      </c>
      <c r="N42" s="13" t="s">
        <v>5</v>
      </c>
      <c r="O42" s="54">
        <f>EXP(    ($B$1+$B$2*LN(C42) + $B$3*LN(C42)^2)   *   ($B$4+$B$5*LN(F42) +$B$6*LN(F42)^2)    *  ($B$7+$B$8*LN(D42) +$B$9*LN(D42)^2)    *  ($B$10+$B$11*LN(E42) +$B$12*LN(E42)^2)   *  ($B$13+$B$14*LN(B42) +$B$15*LN(B42)^2)   )</f>
        <v>0.21924884662385022</v>
      </c>
      <c r="P42" s="53">
        <f>ABS((I42-O42)/O42)</f>
        <v>0.24286944923001352</v>
      </c>
    </row>
    <row r="43" spans="1:16" ht="15.75" x14ac:dyDescent="0.3">
      <c r="A43" s="4" t="s">
        <v>15</v>
      </c>
      <c r="B43" s="14">
        <v>4280</v>
      </c>
      <c r="C43" s="30">
        <v>170</v>
      </c>
      <c r="D43" s="20">
        <v>2124</v>
      </c>
      <c r="E43" s="19">
        <v>0.78740556732153377</v>
      </c>
      <c r="F43" s="13">
        <v>46.5</v>
      </c>
      <c r="G43" s="31">
        <v>2.1372361680955811</v>
      </c>
      <c r="H43" s="13" t="s">
        <v>5</v>
      </c>
      <c r="I43" s="32">
        <v>0.16700000000000001</v>
      </c>
      <c r="J43" s="32"/>
      <c r="K43" s="23">
        <v>3.7546883008720921E-5</v>
      </c>
      <c r="L43" s="14">
        <v>8000</v>
      </c>
      <c r="M43" s="31">
        <v>1.9788422467159459</v>
      </c>
      <c r="N43" s="13" t="s">
        <v>5</v>
      </c>
      <c r="O43" s="54">
        <f>EXP(    ($B$1+$B$2*LN(C43) + $B$3*LN(C43)^2)   *   ($B$4+$B$5*LN(F43) +$B$6*LN(F43)^2)    *  ($B$7+$B$8*LN(D43) +$B$9*LN(D43)^2)    *  ($B$10+$B$11*LN(E43) +$B$12*LN(E43)^2)   *  ($B$13+$B$14*LN(B43) +$B$15*LN(B43)^2)   )</f>
        <v>0.19965837260040198</v>
      </c>
      <c r="P43" s="53">
        <f>ABS((I43-O43)/O43)</f>
        <v>0.16357126513178952</v>
      </c>
    </row>
    <row r="44" spans="1:16" ht="15.75" x14ac:dyDescent="0.3">
      <c r="A44" s="3" t="s">
        <v>13</v>
      </c>
      <c r="B44" s="5">
        <v>3789</v>
      </c>
      <c r="C44" s="5">
        <v>270</v>
      </c>
      <c r="D44" s="30">
        <v>2716.0284119008852</v>
      </c>
      <c r="E44" s="18">
        <v>0.91100000000000003</v>
      </c>
      <c r="F44" s="17">
        <v>46.088188442211049</v>
      </c>
      <c r="G44" s="18">
        <v>2.8817680081356842</v>
      </c>
      <c r="H44" s="13" t="s">
        <v>5</v>
      </c>
      <c r="I44" s="18">
        <v>0.16739999999999999</v>
      </c>
      <c r="J44" s="7"/>
      <c r="K44" s="21">
        <v>6.0317517366866591E-5</v>
      </c>
      <c r="L44" s="5">
        <v>6691</v>
      </c>
      <c r="M44" s="18">
        <v>2.5504739334005579</v>
      </c>
      <c r="N44" s="13" t="s">
        <v>5</v>
      </c>
      <c r="O44" s="54">
        <f>EXP(    ($B$1+$B$2*LN(C44) + $B$3*LN(C44)^2)   *   ($B$4+$B$5*LN(F44) +$B$6*LN(F44)^2)    *  ($B$7+$B$8*LN(D44) +$B$9*LN(D44)^2)    *  ($B$10+$B$11*LN(E44) +$B$12*LN(E44)^2)   *  ($B$13+$B$14*LN(B44) +$B$15*LN(B44)^2)   )</f>
        <v>7.1696725301587466E-2</v>
      </c>
      <c r="P44" s="53">
        <f>ABS((I44-O44)/O44)</f>
        <v>1.3348346705633085</v>
      </c>
    </row>
    <row r="45" spans="1:16" ht="15.75" x14ac:dyDescent="0.3">
      <c r="A45" s="4" t="s">
        <v>15</v>
      </c>
      <c r="B45" s="5">
        <v>4257</v>
      </c>
      <c r="C45" s="5">
        <v>165</v>
      </c>
      <c r="D45" s="22">
        <v>2453</v>
      </c>
      <c r="E45" s="19">
        <v>0.83708334249218064</v>
      </c>
      <c r="F45" s="17">
        <v>47.27</v>
      </c>
      <c r="G45" s="18">
        <v>2.3198206028112054</v>
      </c>
      <c r="H45" s="13" t="s">
        <v>5</v>
      </c>
      <c r="I45" s="36">
        <v>0.1697175980790222</v>
      </c>
      <c r="J45" s="36"/>
      <c r="K45" s="37">
        <v>3.4219600381535102E-5</v>
      </c>
      <c r="L45" s="5">
        <v>7334</v>
      </c>
      <c r="M45" s="18">
        <v>2.1651658959571254</v>
      </c>
      <c r="N45" s="13" t="s">
        <v>5</v>
      </c>
      <c r="O45" s="54">
        <f>EXP(    ($B$1+$B$2*LN(C45) + $B$3*LN(C45)^2)   *   ($B$4+$B$5*LN(F45) +$B$6*LN(F45)^2)    *  ($B$7+$B$8*LN(D45) +$B$9*LN(D45)^2)    *  ($B$10+$B$11*LN(E45) +$B$12*LN(E45)^2)   *  ($B$13+$B$14*LN(B45) +$B$15*LN(B45)^2)   )</f>
        <v>0.1760554250599175</v>
      </c>
      <c r="P45" s="53">
        <f>ABS((I45-O45)/O45)</f>
        <v>3.5999043930275525E-2</v>
      </c>
    </row>
    <row r="46" spans="1:16" ht="15.75" x14ac:dyDescent="0.3">
      <c r="A46" s="4" t="s">
        <v>15</v>
      </c>
      <c r="B46" s="14">
        <v>3955</v>
      </c>
      <c r="C46" s="30">
        <v>159</v>
      </c>
      <c r="D46" s="20">
        <v>1882</v>
      </c>
      <c r="E46" s="19">
        <v>0.83111498405951112</v>
      </c>
      <c r="F46" s="13">
        <v>46.47</v>
      </c>
      <c r="G46" s="31">
        <v>1.9730000000000001</v>
      </c>
      <c r="H46" s="13" t="s">
        <v>5</v>
      </c>
      <c r="I46" s="32">
        <v>0.17299999999999999</v>
      </c>
      <c r="J46" s="32"/>
      <c r="K46" s="6">
        <v>2.7320860476648599E-5</v>
      </c>
      <c r="L46" s="14">
        <v>6115</v>
      </c>
      <c r="M46" s="31">
        <v>1.887</v>
      </c>
      <c r="N46" s="13" t="s">
        <v>5</v>
      </c>
      <c r="O46" s="54">
        <f>EXP(    ($B$1+$B$2*LN(C46) + $B$3*LN(C46)^2)   *   ($B$4+$B$5*LN(F46) +$B$6*LN(F46)^2)    *  ($B$7+$B$8*LN(D46) +$B$9*LN(D46)^2)    *  ($B$10+$B$11*LN(E46) +$B$12*LN(E46)^2)   *  ($B$13+$B$14*LN(B46) +$B$15*LN(B46)^2)   )</f>
        <v>0.2294222861338748</v>
      </c>
      <c r="P46" s="53">
        <f>ABS((I46-O46)/O46)</f>
        <v>0.24593201944187199</v>
      </c>
    </row>
    <row r="47" spans="1:16" ht="15.75" x14ac:dyDescent="0.3">
      <c r="A47" s="4" t="s">
        <v>15</v>
      </c>
      <c r="B47" s="14">
        <v>4133</v>
      </c>
      <c r="C47" s="30">
        <v>162</v>
      </c>
      <c r="D47" s="20">
        <v>2163</v>
      </c>
      <c r="E47" s="19">
        <v>0.84338973647711524</v>
      </c>
      <c r="F47" s="13">
        <v>47.21</v>
      </c>
      <c r="G47" s="31">
        <v>2.1421000000000001</v>
      </c>
      <c r="H47" s="13" t="s">
        <v>5</v>
      </c>
      <c r="I47" s="32">
        <v>0.17399999999999999</v>
      </c>
      <c r="J47" s="32"/>
      <c r="K47" s="6">
        <v>3.0348992576962501E-5</v>
      </c>
      <c r="L47" s="14">
        <v>6318</v>
      </c>
      <c r="M47" s="31">
        <v>2.0386000000000002</v>
      </c>
      <c r="N47" s="13" t="s">
        <v>5</v>
      </c>
      <c r="O47" s="54">
        <f>EXP(    ($B$1+$B$2*LN(C47) + $B$3*LN(C47)^2)   *   ($B$4+$B$5*LN(F47) +$B$6*LN(F47)^2)    *  ($B$7+$B$8*LN(D47) +$B$9*LN(D47)^2)    *  ($B$10+$B$11*LN(E47) +$B$12*LN(E47)^2)   *  ($B$13+$B$14*LN(B47) +$B$15*LN(B47)^2)   )</f>
        <v>0.19853534776351023</v>
      </c>
      <c r="P47" s="53">
        <f>ABS((I47-O47)/O47)</f>
        <v>0.12358176032580385</v>
      </c>
    </row>
    <row r="48" spans="1:16" ht="15.75" x14ac:dyDescent="0.3">
      <c r="A48" s="4" t="s">
        <v>15</v>
      </c>
      <c r="B48" s="5">
        <v>4503</v>
      </c>
      <c r="C48" s="5">
        <v>143</v>
      </c>
      <c r="D48" s="22">
        <v>2238</v>
      </c>
      <c r="E48" s="19">
        <v>0.80344012511170682</v>
      </c>
      <c r="F48" s="17">
        <v>47.09</v>
      </c>
      <c r="G48" s="5">
        <v>2.1539999999999999</v>
      </c>
      <c r="H48" s="13" t="s">
        <v>5</v>
      </c>
      <c r="I48" s="5">
        <v>0.17400000000000002</v>
      </c>
      <c r="J48" s="5"/>
      <c r="K48" s="21">
        <v>3.4412219858609198E-5</v>
      </c>
      <c r="L48" s="5">
        <v>4476</v>
      </c>
      <c r="M48" s="18">
        <v>2.4873492917847027</v>
      </c>
      <c r="N48" s="13" t="s">
        <v>5</v>
      </c>
      <c r="O48" s="54">
        <f>EXP(    ($B$1+$B$2*LN(C48) + $B$3*LN(C48)^2)   *   ($B$4+$B$5*LN(F48) +$B$6*LN(F48)^2)    *  ($B$7+$B$8*LN(D48) +$B$9*LN(D48)^2)    *  ($B$10+$B$11*LN(E48) +$B$12*LN(E48)^2)   *  ($B$13+$B$14*LN(B48) +$B$15*LN(B48)^2)   )</f>
        <v>0.21529088354128401</v>
      </c>
      <c r="P48" s="53">
        <f>ABS((I48-O48)/O48)</f>
        <v>0.19179113793439417</v>
      </c>
    </row>
    <row r="49" spans="1:16" ht="15.75" x14ac:dyDescent="0.3">
      <c r="A49" s="4" t="s">
        <v>15</v>
      </c>
      <c r="B49" s="14">
        <v>3658</v>
      </c>
      <c r="C49" s="30">
        <v>165</v>
      </c>
      <c r="D49" s="20">
        <v>1925</v>
      </c>
      <c r="E49" s="19">
        <v>0.81186086770028443</v>
      </c>
      <c r="F49" s="13">
        <v>46.8</v>
      </c>
      <c r="G49" s="31">
        <v>2.0635741274033896</v>
      </c>
      <c r="H49" s="13" t="s">
        <v>5</v>
      </c>
      <c r="I49" s="32">
        <v>0.17435896980184501</v>
      </c>
      <c r="J49" s="32"/>
      <c r="K49" s="6">
        <v>2.7064067788050001E-5</v>
      </c>
      <c r="L49" s="14">
        <v>8330</v>
      </c>
      <c r="M49" s="31">
        <v>1.8912825290639923</v>
      </c>
      <c r="N49" s="13" t="s">
        <v>5</v>
      </c>
      <c r="O49" s="54">
        <f>EXP(    ($B$1+$B$2*LN(C49) + $B$3*LN(C49)^2)   *   ($B$4+$B$5*LN(F49) +$B$6*LN(F49)^2)    *  ($B$7+$B$8*LN(D49) +$B$9*LN(D49)^2)    *  ($B$10+$B$11*LN(E49) +$B$12*LN(E49)^2)   *  ($B$13+$B$14*LN(B49) +$B$15*LN(B49)^2)   )</f>
        <v>0.21680433460536766</v>
      </c>
      <c r="P49" s="53">
        <f>ABS((I49-O49)/O49)</f>
        <v>0.19577728868190158</v>
      </c>
    </row>
    <row r="50" spans="1:16" ht="15.75" x14ac:dyDescent="0.3">
      <c r="A50" s="4" t="s">
        <v>15</v>
      </c>
      <c r="B50" s="14">
        <v>4161</v>
      </c>
      <c r="C50" s="30">
        <v>169</v>
      </c>
      <c r="D50" s="20">
        <v>2206</v>
      </c>
      <c r="E50" s="19">
        <v>0.81640797824116051</v>
      </c>
      <c r="F50" s="13">
        <v>46.200069761207317</v>
      </c>
      <c r="G50" s="31">
        <v>2.14764883740115</v>
      </c>
      <c r="H50" s="13" t="s">
        <v>5</v>
      </c>
      <c r="I50" s="32">
        <v>0.17599999999999999</v>
      </c>
      <c r="J50" s="32"/>
      <c r="K50" s="23">
        <v>3.2677395172111213E-5</v>
      </c>
      <c r="L50" s="14">
        <v>6365</v>
      </c>
      <c r="M50" s="31">
        <v>2.0428687487688331</v>
      </c>
      <c r="N50" s="13" t="s">
        <v>5</v>
      </c>
      <c r="O50" s="54">
        <f>EXP(    ($B$1+$B$2*LN(C50) + $B$3*LN(C50)^2)   *   ($B$4+$B$5*LN(F50) +$B$6*LN(F50)^2)    *  ($B$7+$B$8*LN(D50) +$B$9*LN(D50)^2)    *  ($B$10+$B$11*LN(E50) +$B$12*LN(E50)^2)   *  ($B$13+$B$14*LN(B50) +$B$15*LN(B50)^2)   )</f>
        <v>0.19349027599885227</v>
      </c>
      <c r="P50" s="53">
        <f>ABS((I50-O50)/O50)</f>
        <v>9.0393565819070029E-2</v>
      </c>
    </row>
    <row r="51" spans="1:16" ht="15.75" x14ac:dyDescent="0.3">
      <c r="A51" s="3" t="s">
        <v>13</v>
      </c>
      <c r="B51" s="5">
        <v>3067</v>
      </c>
      <c r="C51" s="5">
        <v>242</v>
      </c>
      <c r="D51" s="30">
        <v>1195.9951434878585</v>
      </c>
      <c r="E51" s="18">
        <v>0.91600000000000004</v>
      </c>
      <c r="F51" s="17">
        <v>40.9</v>
      </c>
      <c r="G51" s="18">
        <v>1.7486462426644702</v>
      </c>
      <c r="H51" s="13" t="s">
        <v>5</v>
      </c>
      <c r="I51" s="18">
        <v>0.17599999999999999</v>
      </c>
      <c r="J51" s="7"/>
      <c r="K51" s="21">
        <v>2.6646440917223094E-5</v>
      </c>
      <c r="L51" s="5">
        <v>7528</v>
      </c>
      <c r="M51" s="18">
        <v>1.6073638122571077</v>
      </c>
      <c r="N51" s="13" t="s">
        <v>5</v>
      </c>
      <c r="O51" s="54">
        <f>EXP(    ($B$1+$B$2*LN(C51) + $B$3*LN(C51)^2)   *   ($B$4+$B$5*LN(F51) +$B$6*LN(F51)^2)    *  ($B$7+$B$8*LN(D51) +$B$9*LN(D51)^2)    *  ($B$10+$B$11*LN(E51) +$B$12*LN(E51)^2)   *  ($B$13+$B$14*LN(B51) +$B$15*LN(B51)^2)   )</f>
        <v>0.2442361905387016</v>
      </c>
      <c r="P51" s="53">
        <f>ABS((I51-O51)/O51)</f>
        <v>0.2793860745542906</v>
      </c>
    </row>
    <row r="52" spans="1:16" ht="15.75" x14ac:dyDescent="0.3">
      <c r="A52" s="4" t="s">
        <v>15</v>
      </c>
      <c r="B52" s="14">
        <v>4375</v>
      </c>
      <c r="C52" s="30">
        <v>167</v>
      </c>
      <c r="D52" s="20">
        <v>2645</v>
      </c>
      <c r="E52" s="19">
        <v>0.80427641371235392</v>
      </c>
      <c r="F52" s="13">
        <v>47.52</v>
      </c>
      <c r="G52" s="31">
        <v>2.3553999999999999</v>
      </c>
      <c r="H52" s="13" t="s">
        <v>5</v>
      </c>
      <c r="I52" s="32">
        <v>0.17699999999999999</v>
      </c>
      <c r="J52" s="32"/>
      <c r="K52" s="6">
        <v>3.3244699999999997E-5</v>
      </c>
      <c r="L52" s="14">
        <v>11083</v>
      </c>
      <c r="M52" s="31">
        <v>2.0859999999999999</v>
      </c>
      <c r="N52" s="13" t="s">
        <v>5</v>
      </c>
      <c r="O52" s="54">
        <f>EXP(    ($B$1+$B$2*LN(C52) + $B$3*LN(C52)^2)   *   ($B$4+$B$5*LN(F52) +$B$6*LN(F52)^2)    *  ($B$7+$B$8*LN(D52) +$B$9*LN(D52)^2)    *  ($B$10+$B$11*LN(E52) +$B$12*LN(E52)^2)   *  ($B$13+$B$14*LN(B52) +$B$15*LN(B52)^2)   )</f>
        <v>0.16435259015291723</v>
      </c>
      <c r="P52" s="53">
        <f>ABS((I52-O52)/O52)</f>
        <v>7.6952908593137095E-2</v>
      </c>
    </row>
    <row r="53" spans="1:16" ht="15.75" x14ac:dyDescent="0.3">
      <c r="A53" s="4" t="s">
        <v>15</v>
      </c>
      <c r="B53" s="14">
        <v>3501</v>
      </c>
      <c r="C53" s="30">
        <v>174</v>
      </c>
      <c r="D53" s="20">
        <v>1667.7686823505683</v>
      </c>
      <c r="E53" s="19">
        <v>0.83574909006792664</v>
      </c>
      <c r="F53" s="13">
        <v>46.658961138443573</v>
      </c>
      <c r="G53" s="31">
        <v>1.9055786070768399</v>
      </c>
      <c r="H53" s="13" t="s">
        <v>5</v>
      </c>
      <c r="I53" s="32">
        <v>0.1800575556996</v>
      </c>
      <c r="J53" s="32"/>
      <c r="K53" s="6">
        <v>2.5861872746664799E-5</v>
      </c>
      <c r="L53" s="14">
        <v>8227</v>
      </c>
      <c r="M53" s="31">
        <v>1.75703537278207</v>
      </c>
      <c r="N53" s="13" t="s">
        <v>5</v>
      </c>
      <c r="O53" s="54">
        <f>EXP(    ($B$1+$B$2*LN(C53) + $B$3*LN(C53)^2)   *   ($B$4+$B$5*LN(F53) +$B$6*LN(F53)^2)    *  ($B$7+$B$8*LN(D53) +$B$9*LN(D53)^2)    *  ($B$10+$B$11*LN(E53) +$B$12*LN(E53)^2)   *  ($B$13+$B$14*LN(B53) +$B$15*LN(B53)^2)   )</f>
        <v>0.23307631888832767</v>
      </c>
      <c r="P53" s="53">
        <f>ABS((I53-O53)/O53)</f>
        <v>0.22747383106788382</v>
      </c>
    </row>
    <row r="54" spans="1:16" ht="15.75" x14ac:dyDescent="0.3">
      <c r="A54" s="3" t="s">
        <v>13</v>
      </c>
      <c r="B54" s="5">
        <v>2923</v>
      </c>
      <c r="C54" s="5">
        <v>270</v>
      </c>
      <c r="D54" s="30">
        <v>1220.3824306769673</v>
      </c>
      <c r="E54" s="18">
        <v>0.95694427106172286</v>
      </c>
      <c r="F54" s="17">
        <v>42.6</v>
      </c>
      <c r="G54" s="18">
        <v>1.8679349568299397</v>
      </c>
      <c r="H54" s="13" t="s">
        <v>5</v>
      </c>
      <c r="I54" s="18">
        <v>0.183</v>
      </c>
      <c r="J54" s="7"/>
      <c r="K54" s="21">
        <v>3.5836299846315902E-5</v>
      </c>
      <c r="L54" s="5">
        <v>8200</v>
      </c>
      <c r="M54" s="18">
        <v>1.6671422130787923</v>
      </c>
      <c r="N54" s="13" t="s">
        <v>5</v>
      </c>
      <c r="O54" s="54">
        <f>EXP(    ($B$1+$B$2*LN(C54) + $B$3*LN(C54)^2)   *   ($B$4+$B$5*LN(F54) +$B$6*LN(F54)^2)    *  ($B$7+$B$8*LN(D54) +$B$9*LN(D54)^2)    *  ($B$10+$B$11*LN(E54) +$B$12*LN(E54)^2)   *  ($B$13+$B$14*LN(B54) +$B$15*LN(B54)^2)   )</f>
        <v>0.19627224574602856</v>
      </c>
      <c r="P54" s="53">
        <f>ABS((I54-O54)/O54)</f>
        <v>6.7621612498399389E-2</v>
      </c>
    </row>
    <row r="55" spans="1:16" ht="15.75" x14ac:dyDescent="0.3">
      <c r="A55" s="4" t="s">
        <v>15</v>
      </c>
      <c r="B55" s="14">
        <v>3981</v>
      </c>
      <c r="C55" s="30">
        <v>144</v>
      </c>
      <c r="D55" s="20">
        <v>1827</v>
      </c>
      <c r="E55" s="19">
        <v>0.77204269293924499</v>
      </c>
      <c r="F55" s="13">
        <v>45.6</v>
      </c>
      <c r="G55" s="31">
        <v>1.88574002017762</v>
      </c>
      <c r="H55" s="13" t="s">
        <v>5</v>
      </c>
      <c r="I55" s="32">
        <v>0.184</v>
      </c>
      <c r="J55" s="32"/>
      <c r="K55" s="23">
        <v>3.0246998091170203E-5</v>
      </c>
      <c r="L55" s="14">
        <v>4554</v>
      </c>
      <c r="M55" s="31">
        <v>1.86044577651448</v>
      </c>
      <c r="N55" s="13" t="s">
        <v>5</v>
      </c>
      <c r="O55" s="54">
        <f>EXP(    ($B$1+$B$2*LN(C55) + $B$3*LN(C55)^2)   *   ($B$4+$B$5*LN(F55) +$B$6*LN(F55)^2)    *  ($B$7+$B$8*LN(D55) +$B$9*LN(D55)^2)    *  ($B$10+$B$11*LN(E55) +$B$12*LN(E55)^2)   *  ($B$13+$B$14*LN(B55) +$B$15*LN(B55)^2)   )</f>
        <v>0.25645092717712636</v>
      </c>
      <c r="P55" s="53">
        <f>ABS((I55-O55)/O55)</f>
        <v>0.28251380478373439</v>
      </c>
    </row>
    <row r="56" spans="1:16" ht="15.75" x14ac:dyDescent="0.3">
      <c r="A56" s="4" t="s">
        <v>15</v>
      </c>
      <c r="B56" s="14">
        <v>4145</v>
      </c>
      <c r="C56" s="30">
        <v>158</v>
      </c>
      <c r="D56" s="20">
        <v>2196</v>
      </c>
      <c r="E56" s="19">
        <v>0.82779175398633253</v>
      </c>
      <c r="F56" s="13">
        <v>47.32</v>
      </c>
      <c r="G56" s="31">
        <v>2.1798999999999999</v>
      </c>
      <c r="H56" s="13" t="s">
        <v>5</v>
      </c>
      <c r="I56" s="32">
        <v>0.185</v>
      </c>
      <c r="J56" s="32"/>
      <c r="K56" s="6">
        <v>3.0255000000000001E-5</v>
      </c>
      <c r="L56" s="14">
        <v>5823</v>
      </c>
      <c r="M56" s="31">
        <v>2.0948000000000002</v>
      </c>
      <c r="N56" s="13" t="s">
        <v>5</v>
      </c>
      <c r="O56" s="54">
        <f>EXP(    ($B$1+$B$2*LN(C56) + $B$3*LN(C56)^2)   *   ($B$4+$B$5*LN(F56) +$B$6*LN(F56)^2)    *  ($B$7+$B$8*LN(D56) +$B$9*LN(D56)^2)    *  ($B$10+$B$11*LN(E56) +$B$12*LN(E56)^2)   *  ($B$13+$B$14*LN(B56) +$B$15*LN(B56)^2)   )</f>
        <v>0.20061143069508289</v>
      </c>
      <c r="P56" s="53">
        <f>ABS((I56-O56)/O56)</f>
        <v>7.7819248090659945E-2</v>
      </c>
    </row>
    <row r="57" spans="1:16" ht="15.75" x14ac:dyDescent="0.3">
      <c r="A57" s="4" t="s">
        <v>15</v>
      </c>
      <c r="B57" s="14">
        <v>4451</v>
      </c>
      <c r="C57" s="30">
        <v>151</v>
      </c>
      <c r="D57" s="20">
        <v>2689</v>
      </c>
      <c r="E57" s="19">
        <v>0.86693904456452753</v>
      </c>
      <c r="F57" s="13">
        <v>46.13</v>
      </c>
      <c r="G57" s="31">
        <v>2.4154</v>
      </c>
      <c r="H57" s="13" t="s">
        <v>5</v>
      </c>
      <c r="I57" s="32">
        <v>0.186</v>
      </c>
      <c r="J57" s="32"/>
      <c r="K57" s="6">
        <v>3.8010199999999997E-5</v>
      </c>
      <c r="L57" s="14">
        <v>6961</v>
      </c>
      <c r="M57" s="31">
        <v>2.2726000000000002</v>
      </c>
      <c r="N57" s="13" t="s">
        <v>5</v>
      </c>
      <c r="O57" s="54">
        <f>EXP(    ($B$1+$B$2*LN(C57) + $B$3*LN(C57)^2)   *   ($B$4+$B$5*LN(F57) +$B$6*LN(F57)^2)    *  ($B$7+$B$8*LN(D57) +$B$9*LN(D57)^2)    *  ($B$10+$B$11*LN(E57) +$B$12*LN(E57)^2)   *  ($B$13+$B$14*LN(B57) +$B$15*LN(B57)^2)   )</f>
        <v>0.17837996333094305</v>
      </c>
      <c r="P57" s="53">
        <f>ABS((I57-O57)/O57)</f>
        <v>4.2718007823108008E-2</v>
      </c>
    </row>
    <row r="58" spans="1:16" ht="15.75" x14ac:dyDescent="0.3">
      <c r="A58" s="4" t="s">
        <v>15</v>
      </c>
      <c r="B58" s="14">
        <v>3992</v>
      </c>
      <c r="C58" s="30">
        <v>169</v>
      </c>
      <c r="D58" s="20">
        <v>1902.8279498619736</v>
      </c>
      <c r="E58" s="19">
        <v>0.83751465827147997</v>
      </c>
      <c r="F58" s="13">
        <v>46.98</v>
      </c>
      <c r="G58" s="31">
        <v>2.0244</v>
      </c>
      <c r="H58" s="13" t="s">
        <v>5</v>
      </c>
      <c r="I58" s="32">
        <v>0.188</v>
      </c>
      <c r="J58" s="32"/>
      <c r="K58" s="6">
        <v>2.8958600000000001E-5</v>
      </c>
      <c r="L58" s="14">
        <v>7108</v>
      </c>
      <c r="M58" s="31">
        <v>1.9049</v>
      </c>
      <c r="N58" s="13" t="s">
        <v>5</v>
      </c>
      <c r="O58" s="54">
        <f>EXP(    ($B$1+$B$2*LN(C58) + $B$3*LN(C58)^2)   *   ($B$4+$B$5*LN(F58) +$B$6*LN(F58)^2)    *  ($B$7+$B$8*LN(D58) +$B$9*LN(D58)^2)    *  ($B$10+$B$11*LN(E58) +$B$12*LN(E58)^2)   *  ($B$13+$B$14*LN(B58) +$B$15*LN(B58)^2)   )</f>
        <v>0.21447933421916912</v>
      </c>
      <c r="P58" s="53">
        <f>ABS((I58-O58)/O58)</f>
        <v>0.1234586740749148</v>
      </c>
    </row>
    <row r="59" spans="1:16" ht="15.75" x14ac:dyDescent="0.3">
      <c r="A59" s="4" t="s">
        <v>15</v>
      </c>
      <c r="B59" s="14">
        <v>4498</v>
      </c>
      <c r="C59" s="30">
        <v>148</v>
      </c>
      <c r="D59" s="20">
        <v>2143</v>
      </c>
      <c r="E59" s="19">
        <v>0.88665790947270184</v>
      </c>
      <c r="F59" s="13">
        <v>44.8</v>
      </c>
      <c r="G59" s="31">
        <v>2.0310990912762636</v>
      </c>
      <c r="H59" s="13" t="s">
        <v>5</v>
      </c>
      <c r="I59" s="32">
        <v>0.188</v>
      </c>
      <c r="J59" s="32"/>
      <c r="K59" s="6">
        <v>2.50258E-5</v>
      </c>
      <c r="L59" s="14">
        <v>5695</v>
      </c>
      <c r="M59" s="31">
        <v>1.9804513013419314</v>
      </c>
      <c r="N59" s="13" t="s">
        <v>5</v>
      </c>
      <c r="O59" s="54">
        <f>EXP(    ($B$1+$B$2*LN(C59) + $B$3*LN(C59)^2)   *   ($B$4+$B$5*LN(F59) +$B$6*LN(F59)^2)    *  ($B$7+$B$8*LN(D59) +$B$9*LN(D59)^2)    *  ($B$10+$B$11*LN(E59) +$B$12*LN(E59)^2)   *  ($B$13+$B$14*LN(B59) +$B$15*LN(B59)^2)   )</f>
        <v>0.22172306673015732</v>
      </c>
      <c r="P59" s="53">
        <f>ABS((I59-O59)/O59)</f>
        <v>0.15209543701287137</v>
      </c>
    </row>
    <row r="60" spans="1:16" ht="15.75" x14ac:dyDescent="0.3">
      <c r="A60" s="4" t="s">
        <v>15</v>
      </c>
      <c r="B60" s="14">
        <v>4349</v>
      </c>
      <c r="C60" s="30">
        <v>148</v>
      </c>
      <c r="D60" s="20">
        <v>2038</v>
      </c>
      <c r="E60" s="19">
        <v>0.88824140253969686</v>
      </c>
      <c r="F60" s="13">
        <v>44.56</v>
      </c>
      <c r="G60" s="31">
        <v>2.0019999999999998</v>
      </c>
      <c r="H60" s="33" t="s">
        <v>5</v>
      </c>
      <c r="I60" s="32">
        <v>0.188</v>
      </c>
      <c r="J60" s="32"/>
      <c r="K60" s="6">
        <v>2.4738317170880355E-5</v>
      </c>
      <c r="L60" s="14">
        <v>6002</v>
      </c>
      <c r="M60" s="31">
        <v>1.9382999999999999</v>
      </c>
      <c r="N60" s="13" t="s">
        <v>5</v>
      </c>
      <c r="O60" s="54">
        <f>EXP(    ($B$1+$B$2*LN(C60) + $B$3*LN(C60)^2)   *   ($B$4+$B$5*LN(F60) +$B$6*LN(F60)^2)    *  ($B$7+$B$8*LN(D60) +$B$9*LN(D60)^2)    *  ($B$10+$B$11*LN(E60) +$B$12*LN(E60)^2)   *  ($B$13+$B$14*LN(B60) +$B$15*LN(B60)^2)   )</f>
        <v>0.23086743255256317</v>
      </c>
      <c r="P60" s="53">
        <f>ABS((I60-O60)/O60)</f>
        <v>0.18567985998979414</v>
      </c>
    </row>
    <row r="61" spans="1:16" ht="15.75" x14ac:dyDescent="0.3">
      <c r="A61" s="4" t="s">
        <v>15</v>
      </c>
      <c r="B61" s="14">
        <v>3515</v>
      </c>
      <c r="C61" s="30">
        <v>185</v>
      </c>
      <c r="D61" s="20">
        <v>1573</v>
      </c>
      <c r="E61" s="19">
        <v>0.84594531668754847</v>
      </c>
      <c r="F61" s="13">
        <v>45.82</v>
      </c>
      <c r="G61" s="31">
        <v>1.8840719058200459</v>
      </c>
      <c r="H61" s="13" t="s">
        <v>5</v>
      </c>
      <c r="I61" s="32">
        <v>0.2</v>
      </c>
      <c r="J61" s="32"/>
      <c r="K61" s="6">
        <v>2.7552E-5</v>
      </c>
      <c r="L61" s="14">
        <v>9815</v>
      </c>
      <c r="M61" s="31">
        <v>1.7033262209799349</v>
      </c>
      <c r="N61" s="13" t="s">
        <v>5</v>
      </c>
      <c r="O61" s="54">
        <f>EXP(    ($B$1+$B$2*LN(C61) + $B$3*LN(C61)^2)   *   ($B$4+$B$5*LN(F61) +$B$6*LN(F61)^2)    *  ($B$7+$B$8*LN(D61) +$B$9*LN(D61)^2)    *  ($B$10+$B$11*LN(E61) +$B$12*LN(E61)^2)   *  ($B$13+$B$14*LN(B61) +$B$15*LN(B61)^2)   )</f>
        <v>0.23529985827771108</v>
      </c>
      <c r="P61" s="53">
        <f>ABS((I61-O61)/O61)</f>
        <v>0.15002073752228379</v>
      </c>
    </row>
    <row r="62" spans="1:16" ht="15.75" x14ac:dyDescent="0.3">
      <c r="A62" s="4" t="s">
        <v>15</v>
      </c>
      <c r="B62" s="14">
        <v>3865</v>
      </c>
      <c r="C62" s="30">
        <v>147</v>
      </c>
      <c r="D62" s="20">
        <v>1786</v>
      </c>
      <c r="E62" s="19">
        <v>0.84211125419932797</v>
      </c>
      <c r="F62" s="13">
        <v>43.8</v>
      </c>
      <c r="G62" s="31">
        <v>1.9545999999999999</v>
      </c>
      <c r="H62" s="13" t="s">
        <v>5</v>
      </c>
      <c r="I62" s="32">
        <v>0.20799999999999999</v>
      </c>
      <c r="J62" s="32"/>
      <c r="K62" s="6">
        <v>2.40754E-5</v>
      </c>
      <c r="L62" s="14">
        <v>4774</v>
      </c>
      <c r="M62" s="31">
        <v>1.9172</v>
      </c>
      <c r="N62" s="13" t="s">
        <v>5</v>
      </c>
      <c r="O62" s="54">
        <f>EXP(    ($B$1+$B$2*LN(C62) + $B$3*LN(C62)^2)   *   ($B$4+$B$5*LN(F62) +$B$6*LN(F62)^2)    *  ($B$7+$B$8*LN(D62) +$B$9*LN(D62)^2)    *  ($B$10+$B$11*LN(E62) +$B$12*LN(E62)^2)   *  ($B$13+$B$14*LN(B62) +$B$15*LN(B62)^2)   )</f>
        <v>0.26172010421818365</v>
      </c>
      <c r="P62" s="53">
        <f>ABS((I62-O62)/O62)</f>
        <v>0.20525784359844115</v>
      </c>
    </row>
    <row r="63" spans="1:16" ht="15.75" x14ac:dyDescent="0.3">
      <c r="A63" s="4" t="s">
        <v>15</v>
      </c>
      <c r="B63" s="14">
        <v>3765.0250000000001</v>
      </c>
      <c r="C63" s="30">
        <v>164</v>
      </c>
      <c r="D63" s="20">
        <v>1633</v>
      </c>
      <c r="E63" s="19">
        <v>0.79283404776485</v>
      </c>
      <c r="F63" s="13">
        <v>47.66</v>
      </c>
      <c r="G63" s="31">
        <v>1.905</v>
      </c>
      <c r="H63" s="13" t="s">
        <v>5</v>
      </c>
      <c r="I63" s="32">
        <v>0.20899999999999999</v>
      </c>
      <c r="J63" s="32"/>
      <c r="K63" s="6">
        <v>2.86722E-5</v>
      </c>
      <c r="L63" s="14">
        <v>7671.0249999999996</v>
      </c>
      <c r="M63" s="31">
        <v>1.7716207204278491</v>
      </c>
      <c r="N63" s="13" t="s">
        <v>5</v>
      </c>
      <c r="O63" s="54">
        <f>EXP(    ($B$1+$B$2*LN(C63) + $B$3*LN(C63)^2)   *   ($B$4+$B$5*LN(F63) +$B$6*LN(F63)^2)    *  ($B$7+$B$8*LN(D63) +$B$9*LN(D63)^2)    *  ($B$10+$B$11*LN(E63) +$B$12*LN(E63)^2)   *  ($B$13+$B$14*LN(B63) +$B$15*LN(B63)^2)   )</f>
        <v>0.24891626935590283</v>
      </c>
      <c r="P63" s="53">
        <f>ABS((I63-O63)/O63)</f>
        <v>0.16036022659021207</v>
      </c>
    </row>
    <row r="64" spans="1:16" ht="15.75" x14ac:dyDescent="0.3">
      <c r="A64" s="4" t="s">
        <v>15</v>
      </c>
      <c r="B64" s="14">
        <v>3815</v>
      </c>
      <c r="C64" s="30">
        <v>174</v>
      </c>
      <c r="D64" s="20">
        <v>1784</v>
      </c>
      <c r="E64" s="19">
        <v>0.83123413677130042</v>
      </c>
      <c r="F64" s="13">
        <v>48.3</v>
      </c>
      <c r="G64" s="31">
        <v>1.9897</v>
      </c>
      <c r="H64" s="13" t="s">
        <v>5</v>
      </c>
      <c r="I64" s="32">
        <v>0.20899999999999999</v>
      </c>
      <c r="J64" s="32"/>
      <c r="K64" s="6">
        <v>2.88053E-5</v>
      </c>
      <c r="L64" s="14">
        <v>6115</v>
      </c>
      <c r="M64" s="31">
        <v>1.89041397</v>
      </c>
      <c r="N64" s="13" t="s">
        <v>5</v>
      </c>
      <c r="O64" s="54">
        <f>EXP(    ($B$1+$B$2*LN(C64) + $B$3*LN(C64)^2)   *   ($B$4+$B$5*LN(F64) +$B$6*LN(F64)^2)    *  ($B$7+$B$8*LN(D64) +$B$9*LN(D64)^2)    *  ($B$10+$B$11*LN(E64) +$B$12*LN(E64)^2)   *  ($B$13+$B$14*LN(B64) +$B$15*LN(B64)^2)   )</f>
        <v>0.21565517121108438</v>
      </c>
      <c r="P64" s="53">
        <f>ABS((I64-O64)/O64)</f>
        <v>3.0860244035466566E-2</v>
      </c>
    </row>
    <row r="65" spans="1:16" ht="15.75" x14ac:dyDescent="0.3">
      <c r="A65" s="4" t="s">
        <v>15</v>
      </c>
      <c r="B65" s="14">
        <v>3865</v>
      </c>
      <c r="C65" s="30">
        <v>154</v>
      </c>
      <c r="D65" s="20">
        <v>1611</v>
      </c>
      <c r="E65" s="19">
        <v>0.8241312228429547</v>
      </c>
      <c r="F65" s="13">
        <v>44.43</v>
      </c>
      <c r="G65" s="31">
        <v>1.8481000000000001</v>
      </c>
      <c r="H65" s="13" t="s">
        <v>5</v>
      </c>
      <c r="I65" s="32">
        <v>0.21</v>
      </c>
      <c r="J65" s="32"/>
      <c r="K65" s="6">
        <v>2.41219E-5</v>
      </c>
      <c r="L65" s="14">
        <v>5180</v>
      </c>
      <c r="M65" s="31">
        <v>1.7997000000000001</v>
      </c>
      <c r="N65" s="13" t="s">
        <v>5</v>
      </c>
      <c r="O65" s="54">
        <f>EXP(    ($B$1+$B$2*LN(C65) + $B$3*LN(C65)^2)   *   ($B$4+$B$5*LN(F65) +$B$6*LN(F65)^2)    *  ($B$7+$B$8*LN(D65) +$B$9*LN(D65)^2)    *  ($B$10+$B$11*LN(E65) +$B$12*LN(E65)^2)   *  ($B$13+$B$14*LN(B65) +$B$15*LN(B65)^2)   )</f>
        <v>0.27506427578956627</v>
      </c>
      <c r="P65" s="53">
        <f>ABS((I65-O65)/O65)</f>
        <v>0.23654207949324074</v>
      </c>
    </row>
    <row r="66" spans="1:16" ht="15.75" x14ac:dyDescent="0.3">
      <c r="A66" s="4" t="s">
        <v>15</v>
      </c>
      <c r="B66" s="5">
        <v>4127</v>
      </c>
      <c r="C66" s="5">
        <v>158</v>
      </c>
      <c r="D66" s="20">
        <v>2179.0347581216583</v>
      </c>
      <c r="E66" s="19">
        <v>0.82586756361566482</v>
      </c>
      <c r="F66" s="17">
        <v>47.86</v>
      </c>
      <c r="G66" s="18">
        <v>2.14110065649654</v>
      </c>
      <c r="H66" s="13" t="s">
        <v>5</v>
      </c>
      <c r="I66" s="36">
        <v>0.21029315067669996</v>
      </c>
      <c r="J66" s="36"/>
      <c r="K66" s="6">
        <v>2.9301800000000001E-5</v>
      </c>
      <c r="L66" s="5">
        <v>7426</v>
      </c>
      <c r="M66" s="18">
        <v>2.0040266297345735</v>
      </c>
      <c r="N66" s="13" t="s">
        <v>5</v>
      </c>
      <c r="O66" s="54">
        <f>EXP(    ($B$1+$B$2*LN(C66) + $B$3*LN(C66)^2)   *   ($B$4+$B$5*LN(F66) +$B$6*LN(F66)^2)    *  ($B$7+$B$8*LN(D66) +$B$9*LN(D66)^2)    *  ($B$10+$B$11*LN(E66) +$B$12*LN(E66)^2)   *  ($B$13+$B$14*LN(B66) +$B$15*LN(B66)^2)   )</f>
        <v>0.19997443311322094</v>
      </c>
      <c r="P66" s="53">
        <f>ABS((I66-O66)/O66)</f>
        <v>5.1600184097718119E-2</v>
      </c>
    </row>
    <row r="67" spans="1:16" ht="15.75" x14ac:dyDescent="0.3">
      <c r="A67" s="4" t="s">
        <v>15</v>
      </c>
      <c r="B67" s="14">
        <v>4217</v>
      </c>
      <c r="C67" s="30">
        <v>146</v>
      </c>
      <c r="D67" s="20">
        <v>2247</v>
      </c>
      <c r="E67" s="19">
        <v>0.8427257117437722</v>
      </c>
      <c r="F67" s="13">
        <v>46.89</v>
      </c>
      <c r="G67" s="31">
        <v>2.1732999999999998</v>
      </c>
      <c r="H67" s="13" t="s">
        <v>5</v>
      </c>
      <c r="I67" s="32">
        <v>0.21099999999999999</v>
      </c>
      <c r="J67" s="32"/>
      <c r="K67" s="6">
        <v>3.1637200000000003E-5</v>
      </c>
      <c r="L67" s="14">
        <v>6728</v>
      </c>
      <c r="M67" s="31">
        <v>2.0609999999999999</v>
      </c>
      <c r="N67" s="13" t="s">
        <v>5</v>
      </c>
      <c r="O67" s="54">
        <f>EXP(    ($B$1+$B$2*LN(C67) + $B$3*LN(C67)^2)   *   ($B$4+$B$5*LN(F67) +$B$6*LN(F67)^2)    *  ($B$7+$B$8*LN(D67) +$B$9*LN(D67)^2)    *  ($B$10+$B$11*LN(E67) +$B$12*LN(E67)^2)   *  ($B$13+$B$14*LN(B67) +$B$15*LN(B67)^2)   )</f>
        <v>0.20897986386866238</v>
      </c>
      <c r="P67" s="53">
        <f>ABS((I67-O67)/O67)</f>
        <v>9.6666544514892039E-3</v>
      </c>
    </row>
    <row r="68" spans="1:16" ht="15.75" x14ac:dyDescent="0.3">
      <c r="A68" s="4" t="s">
        <v>15</v>
      </c>
      <c r="B68" s="14">
        <v>3955</v>
      </c>
      <c r="C68" s="30">
        <v>140</v>
      </c>
      <c r="D68" s="20">
        <v>1776</v>
      </c>
      <c r="E68" s="19">
        <v>0.83418704954954959</v>
      </c>
      <c r="F68" s="13">
        <v>44.12</v>
      </c>
      <c r="G68" s="31">
        <v>1.901</v>
      </c>
      <c r="H68" s="13" t="s">
        <v>5</v>
      </c>
      <c r="I68" s="32">
        <v>0.21299999999999999</v>
      </c>
      <c r="J68" s="32"/>
      <c r="K68" s="6">
        <v>2.2328200000000001E-5</v>
      </c>
      <c r="L68" s="14">
        <v>3726</v>
      </c>
      <c r="M68" s="31">
        <v>1.901</v>
      </c>
      <c r="N68" s="13" t="s">
        <v>5</v>
      </c>
      <c r="O68" s="54">
        <f>EXP(    ($B$1+$B$2*LN(C68) + $B$3*LN(C68)^2)   *   ($B$4+$B$5*LN(F68) +$B$6*LN(F68)^2)    *  ($B$7+$B$8*LN(D68) +$B$9*LN(D68)^2)    *  ($B$10+$B$11*LN(E68) +$B$12*LN(E68)^2)   *  ($B$13+$B$14*LN(B68) +$B$15*LN(B68)^2)   )</f>
        <v>0.26888473311281746</v>
      </c>
      <c r="P68" s="53">
        <f>ABS((I68-O68)/O68)</f>
        <v>0.20783899653153456</v>
      </c>
    </row>
    <row r="69" spans="1:16" ht="15.75" x14ac:dyDescent="0.3">
      <c r="A69" s="4" t="s">
        <v>15</v>
      </c>
      <c r="B69" s="14">
        <v>4115.0249999999996</v>
      </c>
      <c r="C69" s="30">
        <v>147</v>
      </c>
      <c r="D69" s="20">
        <v>1858</v>
      </c>
      <c r="E69" s="19">
        <v>0.82734391819160391</v>
      </c>
      <c r="F69" s="13">
        <v>45.53</v>
      </c>
      <c r="G69" s="31">
        <v>2.0020581987014658</v>
      </c>
      <c r="H69" s="13" t="s">
        <v>5</v>
      </c>
      <c r="I69" s="32">
        <v>0.215</v>
      </c>
      <c r="J69" s="32"/>
      <c r="K69" s="6">
        <v>2.4649699999999999E-5</v>
      </c>
      <c r="L69" s="14">
        <v>5637.0249999999996</v>
      </c>
      <c r="M69" s="31">
        <v>1.9392476670579872</v>
      </c>
      <c r="N69" s="13" t="s">
        <v>5</v>
      </c>
      <c r="O69" s="54">
        <f>EXP(    ($B$1+$B$2*LN(C69) + $B$3*LN(C69)^2)   *   ($B$4+$B$5*LN(F69) +$B$6*LN(F69)^2)    *  ($B$7+$B$8*LN(D69) +$B$9*LN(D69)^2)    *  ($B$10+$B$11*LN(E69) +$B$12*LN(E69)^2)   *  ($B$13+$B$14*LN(B69) +$B$15*LN(B69)^2)   )</f>
        <v>0.24888441286976898</v>
      </c>
      <c r="P69" s="53">
        <f>ABS((I69-O69)/O69)</f>
        <v>0.13614517871595</v>
      </c>
    </row>
    <row r="70" spans="1:16" ht="15.75" x14ac:dyDescent="0.3">
      <c r="A70" s="4" t="s">
        <v>15</v>
      </c>
      <c r="B70" s="14">
        <v>5249.65</v>
      </c>
      <c r="C70" s="30">
        <v>143</v>
      </c>
      <c r="D70" s="20">
        <v>1964</v>
      </c>
      <c r="E70" s="19">
        <v>0.69889205702647672</v>
      </c>
      <c r="F70" s="13">
        <v>44.34</v>
      </c>
      <c r="G70" s="31">
        <v>1.9510000000000001</v>
      </c>
      <c r="H70" s="13" t="s">
        <v>5</v>
      </c>
      <c r="I70" s="32">
        <v>0.223</v>
      </c>
      <c r="J70" s="32"/>
      <c r="K70" s="6">
        <v>2.46257E-5</v>
      </c>
      <c r="L70" s="14">
        <v>5594.65</v>
      </c>
      <c r="M70" s="31">
        <v>1.9350000000000001</v>
      </c>
      <c r="N70" s="13" t="s">
        <v>5</v>
      </c>
      <c r="O70" s="54">
        <f>EXP(    ($B$1+$B$2*LN(C70) + $B$3*LN(C70)^2)   *   ($B$4+$B$5*LN(F70) +$B$6*LN(F70)^2)    *  ($B$7+$B$8*LN(D70) +$B$9*LN(D70)^2)    *  ($B$10+$B$11*LN(E70) +$B$12*LN(E70)^2)   *  ($B$13+$B$14*LN(B70) +$B$15*LN(B70)^2)   )</f>
        <v>0.25525913094571889</v>
      </c>
      <c r="P70" s="53">
        <f>ABS((I70-O70)/O70)</f>
        <v>0.12637797059874353</v>
      </c>
    </row>
    <row r="71" spans="1:16" ht="15.75" x14ac:dyDescent="0.3">
      <c r="A71" s="3" t="s">
        <v>14</v>
      </c>
      <c r="B71" s="24">
        <v>3584.9960000000001</v>
      </c>
      <c r="C71" s="5">
        <v>163</v>
      </c>
      <c r="D71" s="24">
        <v>1883.8370124237647</v>
      </c>
      <c r="E71" s="26">
        <v>0.78564357945546592</v>
      </c>
      <c r="F71" s="29">
        <v>47.771298521831739</v>
      </c>
      <c r="G71" s="26">
        <v>1.99739661192361</v>
      </c>
      <c r="H71" s="13" t="s">
        <v>5</v>
      </c>
      <c r="I71" s="26">
        <v>0.2286</v>
      </c>
      <c r="J71" s="7"/>
      <c r="K71" s="37">
        <v>1.6840000000000001E-5</v>
      </c>
      <c r="L71" s="24">
        <v>6015</v>
      </c>
      <c r="M71" s="18">
        <v>1.8919970656473581</v>
      </c>
      <c r="N71" s="13" t="s">
        <v>5</v>
      </c>
      <c r="O71" s="54">
        <f>EXP(    ($B$1+$B$2*LN(C71) + $B$3*LN(C71)^2)   *   ($B$4+$B$5*LN(F71) +$B$6*LN(F71)^2)    *  ($B$7+$B$8*LN(D71) +$B$9*LN(D71)^2)    *  ($B$10+$B$11*LN(E71) +$B$12*LN(E71)^2)   *  ($B$13+$B$14*LN(B71) +$B$15*LN(B71)^2)   )</f>
        <v>0.21999727964737173</v>
      </c>
      <c r="P71" s="53">
        <f>ABS((I71-O71)/O71)</f>
        <v>3.9103757857448775E-2</v>
      </c>
    </row>
    <row r="72" spans="1:16" ht="15.75" x14ac:dyDescent="0.3">
      <c r="A72" s="3" t="s">
        <v>13</v>
      </c>
      <c r="B72" s="5">
        <v>2356</v>
      </c>
      <c r="C72" s="5">
        <v>234</v>
      </c>
      <c r="D72" s="30">
        <v>997</v>
      </c>
      <c r="E72" s="18">
        <v>1.05</v>
      </c>
      <c r="F72" s="17">
        <v>42.5</v>
      </c>
      <c r="G72" s="18">
        <v>1.6846951018052452</v>
      </c>
      <c r="H72" s="13" t="s">
        <v>5</v>
      </c>
      <c r="I72" s="18">
        <v>0.23200000000000001</v>
      </c>
      <c r="J72" s="7"/>
      <c r="K72" s="21">
        <v>2.6910915673748293E-5</v>
      </c>
      <c r="L72" s="5">
        <v>7500</v>
      </c>
      <c r="M72" s="18">
        <v>1.547083293592789</v>
      </c>
      <c r="N72" s="13" t="s">
        <v>5</v>
      </c>
      <c r="O72" s="54">
        <f>EXP(    ($B$1+$B$2*LN(C72) + $B$3*LN(C72)^2)   *   ($B$4+$B$5*LN(F72) +$B$6*LN(F72)^2)    *  ($B$7+$B$8*LN(D72) +$B$9*LN(D72)^2)    *  ($B$10+$B$11*LN(E72) +$B$12*LN(E72)^2)   *  ($B$13+$B$14*LN(B72) +$B$15*LN(B72)^2)   )</f>
        <v>0.273955495402609</v>
      </c>
      <c r="P72" s="53">
        <f>ABS((I72-O72)/O72)</f>
        <v>0.15314712099843289</v>
      </c>
    </row>
    <row r="73" spans="1:16" ht="15.75" x14ac:dyDescent="0.3">
      <c r="A73" s="4" t="s">
        <v>15</v>
      </c>
      <c r="B73" s="14">
        <v>3165</v>
      </c>
      <c r="C73" s="30">
        <v>169</v>
      </c>
      <c r="D73" s="20">
        <v>1193</v>
      </c>
      <c r="E73" s="19">
        <v>0.92319242033006776</v>
      </c>
      <c r="F73" s="13">
        <v>43.95</v>
      </c>
      <c r="G73" s="31">
        <v>1.6789000000000001</v>
      </c>
      <c r="H73" s="13" t="s">
        <v>5</v>
      </c>
      <c r="I73" s="32">
        <v>0.23499999999999999</v>
      </c>
      <c r="J73" s="32"/>
      <c r="K73" s="6">
        <v>2.0536100000000001E-5</v>
      </c>
      <c r="L73" s="14">
        <v>6972</v>
      </c>
      <c r="M73" s="31">
        <v>1.5885</v>
      </c>
      <c r="N73" s="13" t="s">
        <v>5</v>
      </c>
      <c r="O73" s="54">
        <f>EXP(    ($B$1+$B$2*LN(C73) + $B$3*LN(C73)^2)   *   ($B$4+$B$5*LN(F73) +$B$6*LN(F73)^2)    *  ($B$7+$B$8*LN(D73) +$B$9*LN(D73)^2)    *  ($B$10+$B$11*LN(E73) +$B$12*LN(E73)^2)   *  ($B$13+$B$14*LN(B73) +$B$15*LN(B73)^2)   )</f>
        <v>0.31996239818610595</v>
      </c>
      <c r="P73" s="53">
        <f>ABS((I73-O73)/O73)</f>
        <v>0.26553869663362012</v>
      </c>
    </row>
    <row r="74" spans="1:16" ht="15.75" x14ac:dyDescent="0.3">
      <c r="A74" s="3" t="s">
        <v>14</v>
      </c>
      <c r="B74" s="24">
        <v>3478</v>
      </c>
      <c r="C74" s="5">
        <v>189</v>
      </c>
      <c r="D74" s="24">
        <v>1669.824655779699</v>
      </c>
      <c r="E74" s="27">
        <v>0.90878470942589007</v>
      </c>
      <c r="F74" s="28">
        <v>45.1</v>
      </c>
      <c r="G74" s="26">
        <v>1.9542207314204327</v>
      </c>
      <c r="H74" s="13" t="s">
        <v>5</v>
      </c>
      <c r="I74" s="26">
        <v>0.23524203840575</v>
      </c>
      <c r="J74" s="7"/>
      <c r="K74" s="37">
        <v>1.58487149214415E-5</v>
      </c>
      <c r="L74" s="24">
        <v>5685</v>
      </c>
      <c r="M74" s="18">
        <v>1.8652054877412294</v>
      </c>
      <c r="N74" s="13" t="s">
        <v>5</v>
      </c>
      <c r="O74" s="54">
        <f>EXP(    ($B$1+$B$2*LN(C74) + $B$3*LN(C74)^2)   *   ($B$4+$B$5*LN(F74) +$B$6*LN(F74)^2)    *  ($B$7+$B$8*LN(D74) +$B$9*LN(D74)^2)    *  ($B$10+$B$11*LN(E74) +$B$12*LN(E74)^2)   *  ($B$13+$B$14*LN(B74) +$B$15*LN(B74)^2)   )</f>
        <v>0.21552410002297592</v>
      </c>
      <c r="P74" s="53">
        <f>ABS((I74-O74)/O74)</f>
        <v>9.1488322561941116E-2</v>
      </c>
    </row>
    <row r="75" spans="1:16" ht="15.75" x14ac:dyDescent="0.3">
      <c r="A75" s="4" t="s">
        <v>15</v>
      </c>
      <c r="B75" s="14">
        <v>3615</v>
      </c>
      <c r="C75" s="30">
        <v>143</v>
      </c>
      <c r="D75" s="20">
        <v>1537</v>
      </c>
      <c r="E75" s="19">
        <v>0.83229050097592716</v>
      </c>
      <c r="F75" s="13">
        <v>44.76</v>
      </c>
      <c r="G75" s="31">
        <v>1.7962</v>
      </c>
      <c r="H75" s="13" t="s">
        <v>5</v>
      </c>
      <c r="I75" s="32">
        <v>0.23799999999999999</v>
      </c>
      <c r="J75" s="32"/>
      <c r="K75" s="6">
        <v>2.0970200000000001E-5</v>
      </c>
      <c r="L75" s="14">
        <v>5365</v>
      </c>
      <c r="M75" s="31">
        <v>1.7427999999999999</v>
      </c>
      <c r="N75" s="13" t="s">
        <v>5</v>
      </c>
      <c r="O75" s="54">
        <f>EXP(    ($B$1+$B$2*LN(C75) + $B$3*LN(C75)^2)   *   ($B$4+$B$5*LN(F75) +$B$6*LN(F75)^2)    *  ($B$7+$B$8*LN(D75) +$B$9*LN(D75)^2)    *  ($B$10+$B$11*LN(E75) +$B$12*LN(E75)^2)   *  ($B$13+$B$14*LN(B75) +$B$15*LN(B75)^2)   )</f>
        <v>0.2927979889874503</v>
      </c>
      <c r="P75" s="53">
        <f>ABS((I75-O75)/O75)</f>
        <v>0.18715288713884923</v>
      </c>
    </row>
    <row r="76" spans="1:16" ht="15.75" x14ac:dyDescent="0.3">
      <c r="A76" s="3" t="s">
        <v>14</v>
      </c>
      <c r="B76" s="24">
        <v>3841.6959999999999</v>
      </c>
      <c r="C76" s="5">
        <v>161</v>
      </c>
      <c r="D76" s="24">
        <v>1908</v>
      </c>
      <c r="E76" s="27">
        <v>0.83407938415369509</v>
      </c>
      <c r="F76" s="28">
        <v>45.2</v>
      </c>
      <c r="G76" s="26">
        <v>1.98</v>
      </c>
      <c r="H76" s="13" t="s">
        <v>5</v>
      </c>
      <c r="I76" s="26">
        <v>0.24199999999999999</v>
      </c>
      <c r="J76" s="7"/>
      <c r="K76" s="37">
        <v>1.32050964869255E-5</v>
      </c>
      <c r="L76" s="24">
        <v>6914.9960000000001</v>
      </c>
      <c r="M76" s="18">
        <v>1.8716608335340812</v>
      </c>
      <c r="N76" s="13" t="s">
        <v>5</v>
      </c>
      <c r="O76" s="54">
        <f>EXP(    ($B$1+$B$2*LN(C76) + $B$3*LN(C76)^2)   *   ($B$4+$B$5*LN(F76) +$B$6*LN(F76)^2)    *  ($B$7+$B$8*LN(D76) +$B$9*LN(D76)^2)    *  ($B$10+$B$11*LN(E76) +$B$12*LN(E76)^2)   *  ($B$13+$B$14*LN(B76) +$B$15*LN(B76)^2)   )</f>
        <v>0.22890530975706888</v>
      </c>
      <c r="P76" s="53">
        <f>ABS((I76-O76)/O76)</f>
        <v>5.7205707708694736E-2</v>
      </c>
    </row>
    <row r="77" spans="1:16" ht="15.75" x14ac:dyDescent="0.3">
      <c r="A77" s="3" t="s">
        <v>14</v>
      </c>
      <c r="B77" s="24">
        <v>3259</v>
      </c>
      <c r="C77" s="5">
        <v>188</v>
      </c>
      <c r="D77" s="24">
        <v>1662.9066039752083</v>
      </c>
      <c r="E77" s="27">
        <v>0.9249433431781553</v>
      </c>
      <c r="F77" s="28">
        <v>45.1</v>
      </c>
      <c r="G77" s="26">
        <v>1.9659859874729206</v>
      </c>
      <c r="H77" s="13" t="s">
        <v>5</v>
      </c>
      <c r="I77" s="26">
        <v>0.24250372633665854</v>
      </c>
      <c r="J77" s="7"/>
      <c r="K77" s="37">
        <v>1.4044040777892234E-5</v>
      </c>
      <c r="L77" s="24">
        <v>5915</v>
      </c>
      <c r="M77" s="18">
        <v>1.8588954904135278</v>
      </c>
      <c r="N77" s="13" t="s">
        <v>5</v>
      </c>
      <c r="O77" s="54">
        <f>EXP(    ($B$1+$B$2*LN(C77) + $B$3*LN(C77)^2)   *   ($B$4+$B$5*LN(F77) +$B$6*LN(F77)^2)    *  ($B$7+$B$8*LN(D77) +$B$9*LN(D77)^2)    *  ($B$10+$B$11*LN(E77) +$B$12*LN(E77)^2)   *  ($B$13+$B$14*LN(B77) +$B$15*LN(B77)^2)   )</f>
        <v>0.21442158693934527</v>
      </c>
      <c r="P77" s="53">
        <f>ABS((I77-O77)/O77)</f>
        <v>0.13096694133346301</v>
      </c>
    </row>
    <row r="78" spans="1:16" ht="15.75" x14ac:dyDescent="0.3">
      <c r="A78" s="3" t="s">
        <v>13</v>
      </c>
      <c r="B78" s="5">
        <v>2212</v>
      </c>
      <c r="C78" s="5">
        <v>234</v>
      </c>
      <c r="D78" s="30">
        <v>847.10507033279407</v>
      </c>
      <c r="E78" s="18">
        <v>1.042</v>
      </c>
      <c r="F78" s="17">
        <v>41.8</v>
      </c>
      <c r="G78" s="18">
        <v>1.5865404013686017</v>
      </c>
      <c r="H78" s="13" t="s">
        <v>5</v>
      </c>
      <c r="I78" s="18">
        <v>0.245</v>
      </c>
      <c r="J78" s="7"/>
      <c r="K78" s="21">
        <v>2.0657461797034198E-5</v>
      </c>
      <c r="L78" s="5">
        <v>7500</v>
      </c>
      <c r="M78" s="18">
        <v>1.4710532679434376</v>
      </c>
      <c r="N78" s="13" t="s">
        <v>5</v>
      </c>
      <c r="O78" s="54">
        <f>EXP(    ($B$1+$B$2*LN(C78) + $B$3*LN(C78)^2)   *   ($B$4+$B$5*LN(F78) +$B$6*LN(F78)^2)    *  ($B$7+$B$8*LN(D78) +$B$9*LN(D78)^2)    *  ($B$10+$B$11*LN(E78) +$B$12*LN(E78)^2)   *  ($B$13+$B$14*LN(B78) +$B$15*LN(B78)^2)   )</f>
        <v>0.33107078300441872</v>
      </c>
      <c r="P78" s="53">
        <f>ABS((I78-O78)/O78)</f>
        <v>0.25997698203187553</v>
      </c>
    </row>
    <row r="79" spans="1:16" ht="15.75" x14ac:dyDescent="0.3">
      <c r="A79" s="4" t="s">
        <v>15</v>
      </c>
      <c r="B79" s="14">
        <v>5655</v>
      </c>
      <c r="C79" s="30">
        <v>165</v>
      </c>
      <c r="D79" s="20">
        <v>2539</v>
      </c>
      <c r="E79" s="19">
        <v>0.77590107505608719</v>
      </c>
      <c r="F79" s="13">
        <v>41.67</v>
      </c>
      <c r="G79" s="31">
        <v>2.2337833825723759</v>
      </c>
      <c r="H79" s="13" t="s">
        <v>5</v>
      </c>
      <c r="I79" s="32">
        <v>0.249</v>
      </c>
      <c r="J79" s="32"/>
      <c r="K79" s="6">
        <v>2.70824E-5</v>
      </c>
      <c r="L79" s="14">
        <v>6515</v>
      </c>
      <c r="M79" s="31">
        <v>2.1887727105337955</v>
      </c>
      <c r="N79" s="13" t="s">
        <v>5</v>
      </c>
      <c r="O79" s="54">
        <f>EXP(    ($B$1+$B$2*LN(C79) + $B$3*LN(C79)^2)   *   ($B$4+$B$5*LN(F79) +$B$6*LN(F79)^2)    *  ($B$7+$B$8*LN(D79) +$B$9*LN(D79)^2)    *  ($B$10+$B$11*LN(E79) +$B$12*LN(E79)^2)   *  ($B$13+$B$14*LN(B79) +$B$15*LN(B79)^2)   )</f>
        <v>0.20187305950772061</v>
      </c>
      <c r="P79" s="53">
        <f>ABS((I79-O79)/O79)</f>
        <v>0.23344838884000282</v>
      </c>
    </row>
    <row r="80" spans="1:16" ht="15.75" x14ac:dyDescent="0.3">
      <c r="A80" s="4" t="s">
        <v>15</v>
      </c>
      <c r="B80" s="14">
        <v>3415</v>
      </c>
      <c r="C80" s="30">
        <v>153</v>
      </c>
      <c r="D80" s="20">
        <v>1371</v>
      </c>
      <c r="E80" s="19">
        <v>0.84958189781021909</v>
      </c>
      <c r="F80" s="13">
        <v>45.07</v>
      </c>
      <c r="G80" s="31">
        <v>1.7246999999999999</v>
      </c>
      <c r="H80" s="13" t="s">
        <v>5</v>
      </c>
      <c r="I80" s="32">
        <v>0.254</v>
      </c>
      <c r="J80" s="32"/>
      <c r="K80" s="6">
        <v>2.0641000000000001E-5</v>
      </c>
      <c r="L80" s="14">
        <v>5605</v>
      </c>
      <c r="M80" s="31">
        <v>1.6646000000000001</v>
      </c>
      <c r="N80" s="13" t="s">
        <v>5</v>
      </c>
      <c r="O80" s="54">
        <f>EXP(    ($B$1+$B$2*LN(C80) + $B$3*LN(C80)^2)   *   ($B$4+$B$5*LN(F80) +$B$6*LN(F80)^2)    *  ($B$7+$B$8*LN(D80) +$B$9*LN(D80)^2)    *  ($B$10+$B$11*LN(E80) +$B$12*LN(E80)^2)   *  ($B$13+$B$14*LN(B80) +$B$15*LN(B80)^2)   )</f>
        <v>0.30604048074616175</v>
      </c>
      <c r="P80" s="53">
        <f>ABS((I80-O80)/O80)</f>
        <v>0.1700444353612342</v>
      </c>
    </row>
    <row r="81" spans="1:16" ht="15.75" x14ac:dyDescent="0.3">
      <c r="A81" s="4" t="s">
        <v>15</v>
      </c>
      <c r="B81" s="14">
        <v>3815</v>
      </c>
      <c r="C81" s="30">
        <v>149</v>
      </c>
      <c r="D81" s="20">
        <v>1583</v>
      </c>
      <c r="E81" s="19">
        <v>0.82023585858585857</v>
      </c>
      <c r="F81" s="13">
        <v>44.41</v>
      </c>
      <c r="G81" s="31">
        <v>1.8231999999999999</v>
      </c>
      <c r="H81" s="13" t="s">
        <v>5</v>
      </c>
      <c r="I81" s="32">
        <v>0.254</v>
      </c>
      <c r="J81" s="32"/>
      <c r="K81" s="6">
        <v>2.1942399999999998E-5</v>
      </c>
      <c r="L81" s="14">
        <v>5215</v>
      </c>
      <c r="M81" s="31">
        <v>1.7758</v>
      </c>
      <c r="N81" s="13" t="s">
        <v>5</v>
      </c>
      <c r="O81" s="54">
        <f>EXP(    ($B$1+$B$2*LN(C81) + $B$3*LN(C81)^2)   *   ($B$4+$B$5*LN(F81) +$B$6*LN(F81)^2)    *  ($B$7+$B$8*LN(D81) +$B$9*LN(D81)^2)    *  ($B$10+$B$11*LN(E81) +$B$12*LN(E81)^2)   *  ($B$13+$B$14*LN(B81) +$B$15*LN(B81)^2)   )</f>
        <v>0.28406757986537423</v>
      </c>
      <c r="P81" s="53">
        <f>ABS((I81-O81)/O81)</f>
        <v>0.10584657312750685</v>
      </c>
    </row>
    <row r="82" spans="1:16" ht="15.75" x14ac:dyDescent="0.3">
      <c r="A82" s="4" t="s">
        <v>15</v>
      </c>
      <c r="B82" s="14">
        <v>3365</v>
      </c>
      <c r="C82" s="30">
        <v>170</v>
      </c>
      <c r="D82" s="20">
        <v>1226</v>
      </c>
      <c r="E82" s="19">
        <v>0.88517026618550887</v>
      </c>
      <c r="F82" s="13">
        <v>41.82</v>
      </c>
      <c r="G82" s="31">
        <v>1.6618999999999999</v>
      </c>
      <c r="H82" s="13" t="s">
        <v>5</v>
      </c>
      <c r="I82" s="32">
        <v>0.25700000000000001</v>
      </c>
      <c r="J82" s="32"/>
      <c r="K82" s="6">
        <v>1.8875599999999999E-5</v>
      </c>
      <c r="L82" s="14">
        <v>6515</v>
      </c>
      <c r="M82" s="31">
        <v>1.5886</v>
      </c>
      <c r="N82" s="13" t="s">
        <v>5</v>
      </c>
      <c r="O82" s="54">
        <f>EXP(    ($B$1+$B$2*LN(C82) + $B$3*LN(C82)^2)   *   ($B$4+$B$5*LN(F82) +$B$6*LN(F82)^2)    *  ($B$7+$B$8*LN(D82) +$B$9*LN(D82)^2)    *  ($B$10+$B$11*LN(E82) +$B$12*LN(E82)^2)   *  ($B$13+$B$14*LN(B82) +$B$15*LN(B82)^2)   )</f>
        <v>0.32697381081488591</v>
      </c>
      <c r="P82" s="53">
        <f>ABS((I82-O82)/O82)</f>
        <v>0.21400432848275155</v>
      </c>
    </row>
    <row r="83" spans="1:16" ht="15.75" x14ac:dyDescent="0.3">
      <c r="A83" s="4" t="s">
        <v>15</v>
      </c>
      <c r="B83" s="14">
        <v>3565</v>
      </c>
      <c r="C83" s="30">
        <v>142</v>
      </c>
      <c r="D83" s="20">
        <v>1598</v>
      </c>
      <c r="E83" s="19">
        <v>0.83444602876798013</v>
      </c>
      <c r="F83" s="13">
        <v>44.32</v>
      </c>
      <c r="G83" s="31">
        <v>1.8241000000000001</v>
      </c>
      <c r="H83" s="13" t="s">
        <v>5</v>
      </c>
      <c r="I83" s="32">
        <v>0.25900000000000001</v>
      </c>
      <c r="J83" s="32"/>
      <c r="K83" s="6">
        <v>2.1097100000000002E-5</v>
      </c>
      <c r="L83" s="14">
        <v>4731</v>
      </c>
      <c r="M83" s="31">
        <v>1.7854000000000001</v>
      </c>
      <c r="N83" s="13" t="s">
        <v>5</v>
      </c>
      <c r="O83" s="54">
        <f>EXP(    ($B$1+$B$2*LN(C83) + $B$3*LN(C83)^2)   *   ($B$4+$B$5*LN(F83) +$B$6*LN(F83)^2)    *  ($B$7+$B$8*LN(D83) +$B$9*LN(D83)^2)    *  ($B$10+$B$11*LN(E83) +$B$12*LN(E83)^2)   *  ($B$13+$B$14*LN(B83) +$B$15*LN(B83)^2)   )</f>
        <v>0.28636404338741239</v>
      </c>
      <c r="P83" s="53">
        <f>ABS((I83-O83)/O83)</f>
        <v>9.5556841088434E-2</v>
      </c>
    </row>
    <row r="84" spans="1:16" ht="15.75" x14ac:dyDescent="0.3">
      <c r="A84" s="4" t="s">
        <v>15</v>
      </c>
      <c r="B84" s="5">
        <v>4335</v>
      </c>
      <c r="C84" s="5">
        <v>135</v>
      </c>
      <c r="D84" s="22">
        <v>1973</v>
      </c>
      <c r="E84" s="19">
        <v>0.84994320263829215</v>
      </c>
      <c r="F84" s="17">
        <v>44.46</v>
      </c>
      <c r="G84" s="18">
        <v>2.0062134571101491</v>
      </c>
      <c r="H84" s="13" t="s">
        <v>5</v>
      </c>
      <c r="I84" s="5">
        <v>0.26300000000000001</v>
      </c>
      <c r="J84" s="5"/>
      <c r="K84" s="21">
        <v>2.3988000000000001E-5</v>
      </c>
      <c r="L84" s="5">
        <v>4275</v>
      </c>
      <c r="M84" s="18">
        <v>2.0122722217506217</v>
      </c>
      <c r="N84" s="13" t="s">
        <v>5</v>
      </c>
      <c r="O84" s="54">
        <f>EXP(    ($B$1+$B$2*LN(C84) + $B$3*LN(C84)^2)   *   ($B$4+$B$5*LN(F84) +$B$6*LN(F84)^2)    *  ($B$7+$B$8*LN(D84) +$B$9*LN(D84)^2)    *  ($B$10+$B$11*LN(E84) +$B$12*LN(E84)^2)   *  ($B$13+$B$14*LN(B84) +$B$15*LN(B84)^2)   )</f>
        <v>0.25147982208256936</v>
      </c>
      <c r="P84" s="53">
        <f>ABS((I84-O84)/O84)</f>
        <v>4.5809551724782863E-2</v>
      </c>
    </row>
    <row r="85" spans="1:16" ht="15.75" x14ac:dyDescent="0.3">
      <c r="A85" s="4" t="s">
        <v>15</v>
      </c>
      <c r="B85" s="14">
        <v>2515</v>
      </c>
      <c r="C85" s="30">
        <v>155</v>
      </c>
      <c r="D85" s="20">
        <v>895</v>
      </c>
      <c r="E85" s="19">
        <v>0.86946729910714293</v>
      </c>
      <c r="F85" s="13">
        <v>42.65</v>
      </c>
      <c r="G85" s="31">
        <v>1.4924999999999999</v>
      </c>
      <c r="H85" s="13" t="s">
        <v>5</v>
      </c>
      <c r="I85" s="32">
        <v>0.26800000000000002</v>
      </c>
      <c r="J85" s="32"/>
      <c r="K85" s="6">
        <v>1.72274E-5</v>
      </c>
      <c r="L85" s="14">
        <v>4278</v>
      </c>
      <c r="M85" s="31">
        <v>1.4563999999999999</v>
      </c>
      <c r="N85" s="13" t="s">
        <v>5</v>
      </c>
      <c r="O85" s="54">
        <f>EXP(    ($B$1+$B$2*LN(C85) + $B$3*LN(C85)^2)   *   ($B$4+$B$5*LN(F85) +$B$6*LN(F85)^2)    *  ($B$7+$B$8*LN(D85) +$B$9*LN(D85)^2)    *  ($B$10+$B$11*LN(E85) +$B$12*LN(E85)^2)   *  ($B$13+$B$14*LN(B85) +$B$15*LN(B85)^2)   )</f>
        <v>0.43023088854244279</v>
      </c>
      <c r="P85" s="53">
        <f>ABS((I85-O85)/O85)</f>
        <v>0.37707866371951232</v>
      </c>
    </row>
    <row r="86" spans="1:16" ht="15.75" x14ac:dyDescent="0.3">
      <c r="A86" s="3" t="s">
        <v>14</v>
      </c>
      <c r="B86" s="24">
        <v>3482</v>
      </c>
      <c r="C86" s="5">
        <v>165</v>
      </c>
      <c r="D86" s="24">
        <v>1482</v>
      </c>
      <c r="E86" s="27">
        <v>0.84429487179487173</v>
      </c>
      <c r="F86" s="28">
        <v>44.3</v>
      </c>
      <c r="G86" s="26">
        <v>1.7769999999999999</v>
      </c>
      <c r="H86" s="13" t="s">
        <v>5</v>
      </c>
      <c r="I86" s="26">
        <v>0.27500000000000002</v>
      </c>
      <c r="J86" s="7"/>
      <c r="K86" s="37">
        <v>1.36840244771081E-5</v>
      </c>
      <c r="L86" s="24">
        <v>5895</v>
      </c>
      <c r="M86" s="18">
        <v>1.7033367934411385</v>
      </c>
      <c r="N86" s="13" t="s">
        <v>5</v>
      </c>
      <c r="O86" s="54">
        <f>EXP(    ($B$1+$B$2*LN(C86) + $B$3*LN(C86)^2)   *   ($B$4+$B$5*LN(F86) +$B$6*LN(F86)^2)    *  ($B$7+$B$8*LN(D86) +$B$9*LN(D86)^2)    *  ($B$10+$B$11*LN(E86) +$B$12*LN(E86)^2)   *  ($B$13+$B$14*LN(B86) +$B$15*LN(B86)^2)   )</f>
        <v>0.27838871708521956</v>
      </c>
      <c r="P86" s="53">
        <f>ABS((I86-O86)/O86)</f>
        <v>1.2172609295017494E-2</v>
      </c>
    </row>
    <row r="87" spans="1:16" ht="15.75" x14ac:dyDescent="0.3">
      <c r="A87" s="4" t="s">
        <v>15</v>
      </c>
      <c r="B87" s="14">
        <v>3314.6959999999999</v>
      </c>
      <c r="C87" s="30">
        <v>165</v>
      </c>
      <c r="D87" s="20">
        <v>1230</v>
      </c>
      <c r="E87" s="19">
        <v>0.75937338889354078</v>
      </c>
      <c r="F87" s="13">
        <v>42.16</v>
      </c>
      <c r="G87" s="31" t="s">
        <v>5</v>
      </c>
      <c r="H87" s="13" t="s">
        <v>5</v>
      </c>
      <c r="I87" s="32">
        <v>0.2782</v>
      </c>
      <c r="J87" s="32"/>
      <c r="K87" s="6">
        <v>2.3399999999999996E-5</v>
      </c>
      <c r="L87" s="14">
        <v>5614.6959999999999</v>
      </c>
      <c r="M87" s="31" t="s">
        <v>5</v>
      </c>
      <c r="N87" s="13" t="s">
        <v>5</v>
      </c>
      <c r="O87" s="54">
        <f>EXP(    ($B$1+$B$2*LN(C87) + $B$3*LN(C87)^2)   *   ($B$4+$B$5*LN(F87) +$B$6*LN(F87)^2)    *  ($B$7+$B$8*LN(D87) +$B$9*LN(D87)^2)    *  ($B$10+$B$11*LN(E87) +$B$12*LN(E87)^2)   *  ($B$13+$B$14*LN(B87) +$B$15*LN(B87)^2)   )</f>
        <v>0.33783597334271886</v>
      </c>
      <c r="P87" s="53">
        <f>ABS((I87-O87)/O87)</f>
        <v>0.17652345531072544</v>
      </c>
    </row>
    <row r="88" spans="1:16" ht="15.75" x14ac:dyDescent="0.3">
      <c r="A88" s="4" t="s">
        <v>15</v>
      </c>
      <c r="B88" s="14">
        <v>3169.6959999999999</v>
      </c>
      <c r="C88" s="30">
        <v>157.9</v>
      </c>
      <c r="D88" s="20">
        <v>1190</v>
      </c>
      <c r="E88" s="19">
        <v>0.8476117647058824</v>
      </c>
      <c r="F88" s="13">
        <v>42.3</v>
      </c>
      <c r="G88" s="31">
        <v>1.639</v>
      </c>
      <c r="H88" s="13" t="s">
        <v>5</v>
      </c>
      <c r="I88" s="32">
        <v>0.28499999999999998</v>
      </c>
      <c r="J88" s="32"/>
      <c r="K88" s="23">
        <v>2.0018016214593399E-5</v>
      </c>
      <c r="L88" s="14">
        <v>7514.6959999999999</v>
      </c>
      <c r="M88" s="31">
        <v>1.544</v>
      </c>
      <c r="N88" s="13" t="s">
        <v>5</v>
      </c>
      <c r="O88" s="54">
        <f>EXP(    ($B$1+$B$2*LN(C88) + $B$3*LN(C88)^2)   *   ($B$4+$B$5*LN(F88) +$B$6*LN(F88)^2)    *  ($B$7+$B$8*LN(D88) +$B$9*LN(D88)^2)    *  ($B$10+$B$11*LN(E88) +$B$12*LN(E88)^2)   *  ($B$13+$B$14*LN(B88) +$B$15*LN(B88)^2)   )</f>
        <v>0.34876202993238498</v>
      </c>
      <c r="P88" s="53">
        <f>ABS((I88-O88)/O88)</f>
        <v>0.18282388694877891</v>
      </c>
    </row>
    <row r="89" spans="1:16" ht="15.75" x14ac:dyDescent="0.3">
      <c r="A89" s="4" t="s">
        <v>15</v>
      </c>
      <c r="B89" s="14">
        <v>3515</v>
      </c>
      <c r="C89" s="30">
        <v>190</v>
      </c>
      <c r="D89" s="20">
        <v>1303</v>
      </c>
      <c r="E89" s="19">
        <v>0.8405067484662575</v>
      </c>
      <c r="F89" s="13">
        <v>45.31</v>
      </c>
      <c r="G89" s="31">
        <v>1.7521</v>
      </c>
      <c r="H89" s="13" t="s">
        <v>5</v>
      </c>
      <c r="I89" s="32">
        <v>0.28499999999999998</v>
      </c>
      <c r="J89" s="32"/>
      <c r="K89" s="6">
        <v>2.47308E-5</v>
      </c>
      <c r="L89" s="14">
        <v>9015</v>
      </c>
      <c r="M89" s="31">
        <v>1.6107</v>
      </c>
      <c r="N89" s="13" t="s">
        <v>5</v>
      </c>
      <c r="O89" s="54">
        <f>EXP(    ($B$1+$B$2*LN(C89) + $B$3*LN(C89)^2)   *   ($B$4+$B$5*LN(F89) +$B$6*LN(F89)^2)    *  ($B$7+$B$8*LN(D89) +$B$9*LN(D89)^2)    *  ($B$10+$B$11*LN(E89) +$B$12*LN(E89)^2)   *  ($B$13+$B$14*LN(B89) +$B$15*LN(B89)^2)   )</f>
        <v>0.27536362935733777</v>
      </c>
      <c r="P89" s="53">
        <f>ABS((I89-O89)/O89)</f>
        <v>3.4995074204796833E-2</v>
      </c>
    </row>
    <row r="90" spans="1:16" ht="15.75" x14ac:dyDescent="0.3">
      <c r="A90" s="3" t="s">
        <v>14</v>
      </c>
      <c r="B90" s="25">
        <v>3452</v>
      </c>
      <c r="C90" s="5">
        <v>175</v>
      </c>
      <c r="D90" s="24">
        <v>1446</v>
      </c>
      <c r="E90" s="27">
        <v>0.84904356846473017</v>
      </c>
      <c r="F90" s="28">
        <v>45.4</v>
      </c>
      <c r="G90" s="26">
        <v>1.7769999999999999</v>
      </c>
      <c r="H90" s="13" t="s">
        <v>5</v>
      </c>
      <c r="I90" s="26">
        <v>0.28531483083514203</v>
      </c>
      <c r="J90" s="7"/>
      <c r="K90" s="37">
        <v>1.2663605579472001E-5</v>
      </c>
      <c r="L90" s="24">
        <v>6530</v>
      </c>
      <c r="M90" s="18">
        <v>1.6875706647617661</v>
      </c>
      <c r="N90" s="13" t="s">
        <v>5</v>
      </c>
      <c r="O90" s="54">
        <f>EXP(    ($B$1+$B$2*LN(C90) + $B$3*LN(C90)^2)   *   ($B$4+$B$5*LN(F90) +$B$6*LN(F90)^2)    *  ($B$7+$B$8*LN(D90) +$B$9*LN(D90)^2)    *  ($B$10+$B$11*LN(E90) +$B$12*LN(E90)^2)   *  ($B$13+$B$14*LN(B90) +$B$15*LN(B90)^2)   )</f>
        <v>0.26705058504311285</v>
      </c>
      <c r="P90" s="53">
        <f>ABS((I90-O90)/O90)</f>
        <v>6.8392457515420099E-2</v>
      </c>
    </row>
    <row r="91" spans="1:16" ht="15.75" x14ac:dyDescent="0.3">
      <c r="A91" s="4" t="s">
        <v>15</v>
      </c>
      <c r="B91" s="14">
        <v>3565</v>
      </c>
      <c r="C91" s="30">
        <v>152</v>
      </c>
      <c r="D91" s="20">
        <v>1562</v>
      </c>
      <c r="E91" s="19">
        <v>0.82400711082639333</v>
      </c>
      <c r="F91" s="13">
        <v>46.69</v>
      </c>
      <c r="G91" s="31">
        <v>1.8395999999999999</v>
      </c>
      <c r="H91" s="13" t="s">
        <v>5</v>
      </c>
      <c r="I91" s="32">
        <v>0.29299999999999998</v>
      </c>
      <c r="J91" s="32"/>
      <c r="K91" s="6">
        <v>2.3057500000000001E-5</v>
      </c>
      <c r="L91" s="14">
        <v>7315</v>
      </c>
      <c r="M91" s="31">
        <v>1.7322</v>
      </c>
      <c r="N91" s="13" t="s">
        <v>5</v>
      </c>
      <c r="O91" s="54">
        <f>EXP(    ($B$1+$B$2*LN(C91) + $B$3*LN(C91)^2)   *   ($B$4+$B$5*LN(F91) +$B$6*LN(F91)^2)    *  ($B$7+$B$8*LN(D91) +$B$9*LN(D91)^2)    *  ($B$10+$B$11*LN(E91) +$B$12*LN(E91)^2)   *  ($B$13+$B$14*LN(B91) +$B$15*LN(B91)^2)   )</f>
        <v>0.27239654530267832</v>
      </c>
      <c r="P91" s="53">
        <f>ABS((I91-O91)/O91)</f>
        <v>7.5637723945535973E-2</v>
      </c>
    </row>
    <row r="92" spans="1:16" ht="15.75" x14ac:dyDescent="0.3">
      <c r="A92" s="4" t="s">
        <v>15</v>
      </c>
      <c r="B92" s="14">
        <v>3005.6959999999999</v>
      </c>
      <c r="C92" s="30">
        <v>156</v>
      </c>
      <c r="D92" s="20">
        <v>1235</v>
      </c>
      <c r="E92" s="19">
        <v>0.86626456310679611</v>
      </c>
      <c r="F92" s="13">
        <v>42.3</v>
      </c>
      <c r="G92" s="31">
        <v>1.657</v>
      </c>
      <c r="H92" s="13" t="s">
        <v>5</v>
      </c>
      <c r="I92" s="32">
        <v>0.29399999999999998</v>
      </c>
      <c r="J92" s="32"/>
      <c r="K92" s="23">
        <v>1.9306598903568971E-5</v>
      </c>
      <c r="L92" s="14">
        <v>7609.6959999999999</v>
      </c>
      <c r="M92" s="31">
        <v>1.556</v>
      </c>
      <c r="N92" s="13" t="s">
        <v>5</v>
      </c>
      <c r="O92" s="54">
        <f>EXP(    ($B$1+$B$2*LN(C92) + $B$3*LN(C92)^2)   *   ($B$4+$B$5*LN(F92) +$B$6*LN(F92)^2)    *  ($B$7+$B$8*LN(D92) +$B$9*LN(D92)^2)    *  ($B$10+$B$11*LN(E92) +$B$12*LN(E92)^2)   *  ($B$13+$B$14*LN(B92) +$B$15*LN(B92)^2)   )</f>
        <v>0.33793403807766925</v>
      </c>
      <c r="P92" s="53">
        <f>ABS((I92-O92)/O92)</f>
        <v>0.13000773265571924</v>
      </c>
    </row>
    <row r="93" spans="1:16" ht="15.75" x14ac:dyDescent="0.3">
      <c r="A93" s="3" t="s">
        <v>14</v>
      </c>
      <c r="B93" s="24">
        <v>2774.6959999999999</v>
      </c>
      <c r="C93" s="5">
        <v>183</v>
      </c>
      <c r="D93" s="24">
        <v>1062</v>
      </c>
      <c r="E93" s="26">
        <v>0.88906403013182678</v>
      </c>
      <c r="F93" s="29">
        <v>43.58</v>
      </c>
      <c r="G93" s="26">
        <v>1.6372</v>
      </c>
      <c r="H93" s="13" t="s">
        <v>5</v>
      </c>
      <c r="I93" s="26">
        <v>0.29499999999999998</v>
      </c>
      <c r="J93" s="7"/>
      <c r="K93" s="39">
        <v>1.43895E-5</v>
      </c>
      <c r="L93" s="24">
        <v>5314.6959999999999</v>
      </c>
      <c r="M93" s="18">
        <v>1.5641317640000001</v>
      </c>
      <c r="N93" s="13" t="s">
        <v>5</v>
      </c>
      <c r="O93" s="54">
        <f>EXP(    ($B$1+$B$2*LN(C93) + $B$3*LN(C93)^2)   *   ($B$4+$B$5*LN(F93) +$B$6*LN(F93)^2)    *  ($B$7+$B$8*LN(D93) +$B$9*LN(D93)^2)    *  ($B$10+$B$11*LN(E93) +$B$12*LN(E93)^2)   *  ($B$13+$B$14*LN(B93) +$B$15*LN(B93)^2)   )</f>
        <v>0.33800083494783839</v>
      </c>
      <c r="P93" s="53">
        <f>ABS((I93-O93)/O93)</f>
        <v>0.12722109090196321</v>
      </c>
    </row>
    <row r="94" spans="1:16" ht="15.75" x14ac:dyDescent="0.3">
      <c r="A94" s="4" t="s">
        <v>15</v>
      </c>
      <c r="B94" s="14">
        <v>3162</v>
      </c>
      <c r="C94" s="30">
        <v>157</v>
      </c>
      <c r="D94" s="20">
        <v>1179</v>
      </c>
      <c r="E94" s="19">
        <v>0.85150169491525418</v>
      </c>
      <c r="F94" s="13">
        <v>42</v>
      </c>
      <c r="G94" s="31">
        <v>1.6050995510203501</v>
      </c>
      <c r="H94" s="33" t="s">
        <v>5</v>
      </c>
      <c r="I94" s="32">
        <v>0.29599999999999999</v>
      </c>
      <c r="J94" s="32"/>
      <c r="K94" s="23">
        <v>1.794705998628507E-5</v>
      </c>
      <c r="L94" s="14">
        <v>4698</v>
      </c>
      <c r="M94" s="31">
        <v>1.569312227992639</v>
      </c>
      <c r="N94" s="13" t="s">
        <v>5</v>
      </c>
      <c r="O94" s="54">
        <f>EXP(    ($B$1+$B$2*LN(C94) + $B$3*LN(C94)^2)   *   ($B$4+$B$5*LN(F94) +$B$6*LN(F94)^2)    *  ($B$7+$B$8*LN(D94) +$B$9*LN(D94)^2)    *  ($B$10+$B$11*LN(E94) +$B$12*LN(E94)^2)   *  ($B$13+$B$14*LN(B94) +$B$15*LN(B94)^2)   )</f>
        <v>0.35342593160471442</v>
      </c>
      <c r="P94" s="53">
        <f>ABS((I94-O94)/O94)</f>
        <v>0.16248363934127469</v>
      </c>
    </row>
    <row r="95" spans="1:16" ht="15.75" x14ac:dyDescent="0.3">
      <c r="A95" s="4" t="s">
        <v>15</v>
      </c>
      <c r="B95" s="14">
        <v>3265</v>
      </c>
      <c r="C95" s="30">
        <v>157</v>
      </c>
      <c r="D95" s="20">
        <v>1133.4462691607539</v>
      </c>
      <c r="E95" s="19">
        <v>0.8500077412459377</v>
      </c>
      <c r="F95" s="13">
        <v>44.23</v>
      </c>
      <c r="G95" s="31">
        <v>1.5995999999999999</v>
      </c>
      <c r="H95" s="13" t="s">
        <v>5</v>
      </c>
      <c r="I95" s="32">
        <v>0.30599999999999999</v>
      </c>
      <c r="J95" s="32"/>
      <c r="K95" s="6">
        <v>1.78112E-5</v>
      </c>
      <c r="L95" s="14">
        <v>5690</v>
      </c>
      <c r="M95" s="31">
        <v>1.5450999999999999</v>
      </c>
      <c r="N95" s="13" t="s">
        <v>5</v>
      </c>
      <c r="O95" s="54">
        <f>EXP(    ($B$1+$B$2*LN(C95) + $B$3*LN(C95)^2)   *   ($B$4+$B$5*LN(F95) +$B$6*LN(F95)^2)    *  ($B$7+$B$8*LN(D95) +$B$9*LN(D95)^2)    *  ($B$10+$B$11*LN(E95) +$B$12*LN(E95)^2)   *  ($B$13+$B$14*LN(B95) +$B$15*LN(B95)^2)   )</f>
        <v>0.35488072481708088</v>
      </c>
      <c r="P95" s="53">
        <f>ABS((I95-O95)/O95)</f>
        <v>0.13773846083716124</v>
      </c>
    </row>
    <row r="96" spans="1:16" ht="15.75" x14ac:dyDescent="0.3">
      <c r="A96" s="4" t="s">
        <v>15</v>
      </c>
      <c r="B96" s="14">
        <v>2915</v>
      </c>
      <c r="C96" s="30">
        <v>157</v>
      </c>
      <c r="D96" s="20">
        <v>1064</v>
      </c>
      <c r="E96" s="19">
        <v>0.8712595864661653</v>
      </c>
      <c r="F96" s="13">
        <v>42.8</v>
      </c>
      <c r="G96" s="31">
        <v>1.5653999999999999</v>
      </c>
      <c r="H96" s="13" t="s">
        <v>5</v>
      </c>
      <c r="I96" s="32">
        <v>0.309</v>
      </c>
      <c r="J96" s="32"/>
      <c r="K96" s="6">
        <v>1.7852200000000002E-5</v>
      </c>
      <c r="L96" s="14">
        <v>6165</v>
      </c>
      <c r="M96" s="31">
        <v>1.4995000000000001</v>
      </c>
      <c r="N96" s="13" t="s">
        <v>5</v>
      </c>
      <c r="O96" s="54">
        <f>EXP(    ($B$1+$B$2*LN(C96) + $B$3*LN(C96)^2)   *   ($B$4+$B$5*LN(F96) +$B$6*LN(F96)^2)    *  ($B$7+$B$8*LN(D96) +$B$9*LN(D96)^2)    *  ($B$10+$B$11*LN(E96) +$B$12*LN(E96)^2)   *  ($B$13+$B$14*LN(B96) +$B$15*LN(B96)^2)   )</f>
        <v>0.37542788938624694</v>
      </c>
      <c r="P96" s="53">
        <f>ABS((I96-O96)/O96)</f>
        <v>0.17693914401203353</v>
      </c>
    </row>
    <row r="97" spans="1:16" ht="15.75" x14ac:dyDescent="0.3">
      <c r="A97" s="3" t="s">
        <v>14</v>
      </c>
      <c r="B97" s="24">
        <v>3575</v>
      </c>
      <c r="C97" s="5">
        <v>151</v>
      </c>
      <c r="D97" s="24">
        <v>1428</v>
      </c>
      <c r="E97" s="27">
        <v>0.83362575680739615</v>
      </c>
      <c r="F97" s="28">
        <v>44.7</v>
      </c>
      <c r="G97" s="26">
        <v>1.712</v>
      </c>
      <c r="H97" s="13" t="s">
        <v>5</v>
      </c>
      <c r="I97" s="26">
        <v>0.309</v>
      </c>
      <c r="J97" s="7"/>
      <c r="K97" s="37">
        <v>1.29747949764333E-5</v>
      </c>
      <c r="L97" s="24">
        <v>5518</v>
      </c>
      <c r="M97" s="18">
        <v>1.6586662469385278</v>
      </c>
      <c r="N97" s="13" t="s">
        <v>5</v>
      </c>
      <c r="O97" s="54">
        <f>EXP(    ($B$1+$B$2*LN(C97) + $B$3*LN(C97)^2)   *   ($B$4+$B$5*LN(F97) +$B$6*LN(F97)^2)    *  ($B$7+$B$8*LN(D97) +$B$9*LN(D97)^2)    *  ($B$10+$B$11*LN(E97) +$B$12*LN(E97)^2)   *  ($B$13+$B$14*LN(B97) +$B$15*LN(B97)^2)   )</f>
        <v>0.30215600551072558</v>
      </c>
      <c r="P97" s="53">
        <f>ABS((I97-O97)/O97)</f>
        <v>2.2650532719699589E-2</v>
      </c>
    </row>
    <row r="98" spans="1:16" ht="15.75" x14ac:dyDescent="0.3">
      <c r="A98" s="3" t="s">
        <v>14</v>
      </c>
      <c r="B98" s="24">
        <v>2992</v>
      </c>
      <c r="C98" s="5">
        <v>160</v>
      </c>
      <c r="D98" s="24">
        <v>1178</v>
      </c>
      <c r="E98" s="27">
        <v>0.87219552541973877</v>
      </c>
      <c r="F98" s="28">
        <v>44.4</v>
      </c>
      <c r="G98" s="26">
        <v>1.6619999999999999</v>
      </c>
      <c r="H98" s="13" t="s">
        <v>5</v>
      </c>
      <c r="I98" s="26">
        <v>0.313</v>
      </c>
      <c r="J98" s="7"/>
      <c r="K98" s="37">
        <v>1.2937006721061701E-5</v>
      </c>
      <c r="L98" s="24">
        <v>5050</v>
      </c>
      <c r="M98" s="18">
        <v>1.6067700795736513</v>
      </c>
      <c r="N98" s="13" t="s">
        <v>5</v>
      </c>
      <c r="O98" s="54">
        <f>EXP(    ($B$1+$B$2*LN(C98) + $B$3*LN(C98)^2)   *   ($B$4+$B$5*LN(F98) +$B$6*LN(F98)^2)    *  ($B$7+$B$8*LN(D98) +$B$9*LN(D98)^2)    *  ($B$10+$B$11*LN(E98) +$B$12*LN(E98)^2)   *  ($B$13+$B$14*LN(B98) +$B$15*LN(B98)^2)   )</f>
        <v>0.33582976690027694</v>
      </c>
      <c r="P98" s="53">
        <f>ABS((I98-O98)/O98)</f>
        <v>6.798017671571123E-2</v>
      </c>
    </row>
    <row r="99" spans="1:16" ht="15.75" x14ac:dyDescent="0.3">
      <c r="A99" s="3" t="s">
        <v>14</v>
      </c>
      <c r="B99" s="40">
        <v>3629</v>
      </c>
      <c r="C99" s="5">
        <v>156</v>
      </c>
      <c r="D99" s="24">
        <v>1477</v>
      </c>
      <c r="E99" s="27">
        <v>0.82269146712161434</v>
      </c>
      <c r="F99" s="28">
        <v>44</v>
      </c>
      <c r="G99" s="26">
        <v>1.7509999999999999</v>
      </c>
      <c r="H99" s="13" t="s">
        <v>5</v>
      </c>
      <c r="I99" s="26">
        <v>0.314</v>
      </c>
      <c r="J99" s="7"/>
      <c r="K99" s="37">
        <v>1.33689711230295E-5</v>
      </c>
      <c r="L99" s="24">
        <v>5723</v>
      </c>
      <c r="M99" s="18">
        <v>1.6913580368436223</v>
      </c>
      <c r="N99" s="13" t="s">
        <v>5</v>
      </c>
      <c r="O99" s="54">
        <f>EXP(    ($B$1+$B$2*LN(C99) + $B$3*LN(C99)^2)   *   ($B$4+$B$5*LN(F99) +$B$6*LN(F99)^2)    *  ($B$7+$B$8*LN(D99) +$B$9*LN(D99)^2)    *  ($B$10+$B$11*LN(E99) +$B$12*LN(E99)^2)   *  ($B$13+$B$14*LN(B99) +$B$15*LN(B99)^2)   )</f>
        <v>0.29308190266124828</v>
      </c>
      <c r="P99" s="53">
        <f>ABS((I99-O99)/O99)</f>
        <v>7.1372872732198001E-2</v>
      </c>
    </row>
    <row r="100" spans="1:16" ht="15.75" x14ac:dyDescent="0.3">
      <c r="A100" s="3" t="s">
        <v>14</v>
      </c>
      <c r="B100" s="24">
        <v>2900</v>
      </c>
      <c r="C100" s="5">
        <v>159</v>
      </c>
      <c r="D100" s="24">
        <v>1315</v>
      </c>
      <c r="E100" s="26">
        <v>0.89081440935686729</v>
      </c>
      <c r="F100" s="28">
        <v>43.6</v>
      </c>
      <c r="G100" s="26">
        <v>1.6970000000000001</v>
      </c>
      <c r="H100" s="13" t="s">
        <v>5</v>
      </c>
      <c r="I100" s="26">
        <v>0.316</v>
      </c>
      <c r="J100" s="7"/>
      <c r="K100" s="37">
        <v>1.35736506880662E-5</v>
      </c>
      <c r="L100" s="24">
        <v>4870</v>
      </c>
      <c r="M100" s="18">
        <v>1.6419999999999999</v>
      </c>
      <c r="N100" s="13" t="s">
        <v>5</v>
      </c>
      <c r="O100" s="54">
        <f>EXP(    ($B$1+$B$2*LN(C100) + $B$3*LN(C100)^2)   *   ($B$4+$B$5*LN(F100) +$B$6*LN(F100)^2)    *  ($B$7+$B$8*LN(D100) +$B$9*LN(D100)^2)    *  ($B$10+$B$11*LN(E100) +$B$12*LN(E100)^2)   *  ($B$13+$B$14*LN(B100) +$B$15*LN(B100)^2)   )</f>
        <v>0.30889949545112683</v>
      </c>
      <c r="P100" s="53">
        <f>ABS((I100-O100)/O100)</f>
        <v>2.2986455638276036E-2</v>
      </c>
    </row>
    <row r="101" spans="1:16" ht="15.75" x14ac:dyDescent="0.3">
      <c r="A101" s="4" t="s">
        <v>15</v>
      </c>
      <c r="B101" s="14">
        <v>4315.0249999999996</v>
      </c>
      <c r="C101" s="30">
        <v>165</v>
      </c>
      <c r="D101" s="20">
        <v>1928</v>
      </c>
      <c r="E101" s="19">
        <v>0.76893049792531121</v>
      </c>
      <c r="F101" s="13">
        <v>45.91</v>
      </c>
      <c r="G101" s="31">
        <v>1.99082731299834</v>
      </c>
      <c r="H101" s="13" t="s">
        <v>5</v>
      </c>
      <c r="I101" s="32">
        <v>0.33200000000000002</v>
      </c>
      <c r="J101" s="32"/>
      <c r="K101" s="6">
        <v>3.0369200000000001E-5</v>
      </c>
      <c r="L101" s="14">
        <v>6213.0249999999996</v>
      </c>
      <c r="M101" s="31">
        <v>1.9061399734829223</v>
      </c>
      <c r="N101" s="13" t="s">
        <v>5</v>
      </c>
      <c r="O101" s="54">
        <f>EXP(    ($B$1+$B$2*LN(C101) + $B$3*LN(C101)^2)   *   ($B$4+$B$5*LN(F101) +$B$6*LN(F101)^2)    *  ($B$7+$B$8*LN(D101) +$B$9*LN(D101)^2)    *  ($B$10+$B$11*LN(E101) +$B$12*LN(E101)^2)   *  ($B$13+$B$14*LN(B101) +$B$15*LN(B101)^2)   )</f>
        <v>0.22553378690997658</v>
      </c>
      <c r="P101" s="53">
        <f>ABS((I101-O101)/O101)</f>
        <v>0.4720632529108385</v>
      </c>
    </row>
    <row r="102" spans="1:16" ht="15.75" x14ac:dyDescent="0.3">
      <c r="A102" s="4" t="s">
        <v>15</v>
      </c>
      <c r="B102" s="14">
        <v>2965</v>
      </c>
      <c r="C102" s="30">
        <v>147</v>
      </c>
      <c r="D102" s="20">
        <v>1022</v>
      </c>
      <c r="E102" s="19">
        <v>0.85086647116324532</v>
      </c>
      <c r="F102" s="13">
        <v>41.15</v>
      </c>
      <c r="G102" s="31">
        <v>1.5425604341844183</v>
      </c>
      <c r="H102" s="13" t="s">
        <v>5</v>
      </c>
      <c r="I102" s="32">
        <v>0.33800000000000002</v>
      </c>
      <c r="J102" s="32"/>
      <c r="K102" s="6">
        <v>1.72767E-5</v>
      </c>
      <c r="L102" s="14">
        <v>4253</v>
      </c>
      <c r="M102" s="31">
        <v>1.5130603680982628</v>
      </c>
      <c r="N102" s="13" t="s">
        <v>5</v>
      </c>
      <c r="O102" s="54">
        <f>EXP(    ($B$1+$B$2*LN(C102) + $B$3*LN(C102)^2)   *   ($B$4+$B$5*LN(F102) +$B$6*LN(F102)^2)    *  ($B$7+$B$8*LN(D102) +$B$9*LN(D102)^2)    *  ($B$10+$B$11*LN(E102) +$B$12*LN(E102)^2)   *  ($B$13+$B$14*LN(B102) +$B$15*LN(B102)^2)   )</f>
        <v>0.4084416174118265</v>
      </c>
      <c r="P102" s="53">
        <f>ABS((I102-O102)/O102)</f>
        <v>0.17246434841335251</v>
      </c>
    </row>
    <row r="103" spans="1:16" ht="15.75" x14ac:dyDescent="0.3">
      <c r="A103" s="3" t="s">
        <v>14</v>
      </c>
      <c r="B103" s="24">
        <v>2976</v>
      </c>
      <c r="C103" s="5">
        <v>157</v>
      </c>
      <c r="D103" s="24">
        <v>1010</v>
      </c>
      <c r="E103" s="27">
        <v>0.84965544554455452</v>
      </c>
      <c r="F103" s="28">
        <v>42.2</v>
      </c>
      <c r="G103" s="26">
        <v>1.5229999999999999</v>
      </c>
      <c r="H103" s="13" t="s">
        <v>5</v>
      </c>
      <c r="I103" s="26">
        <v>0.35599999999999998</v>
      </c>
      <c r="J103" s="7"/>
      <c r="K103" s="37">
        <v>1.1999722138184901E-5</v>
      </c>
      <c r="L103" s="24">
        <v>4420</v>
      </c>
      <c r="M103" s="18">
        <v>1.4927313190414608</v>
      </c>
      <c r="N103" s="13" t="s">
        <v>5</v>
      </c>
      <c r="O103" s="54">
        <f>EXP(    ($B$1+$B$2*LN(C103) + $B$3*LN(C103)^2)   *   ($B$4+$B$5*LN(F103) +$B$6*LN(F103)^2)    *  ($B$7+$B$8*LN(D103) +$B$9*LN(D103)^2)    *  ($B$10+$B$11*LN(E103) +$B$12*LN(E103)^2)   *  ($B$13+$B$14*LN(B103) +$B$15*LN(B103)^2)   )</f>
        <v>0.39655233190355488</v>
      </c>
      <c r="P103" s="53">
        <f>ABS((I103-O103)/O103)</f>
        <v>0.10226224546176062</v>
      </c>
    </row>
    <row r="104" spans="1:16" ht="15.75" x14ac:dyDescent="0.3">
      <c r="A104" s="3" t="s">
        <v>14</v>
      </c>
      <c r="B104" s="24">
        <v>2656.22</v>
      </c>
      <c r="C104" s="5">
        <v>161</v>
      </c>
      <c r="D104" s="24">
        <v>1078.8275574104816</v>
      </c>
      <c r="E104" s="26">
        <v>0.92547543459989179</v>
      </c>
      <c r="F104" s="28">
        <v>42.825489712948126</v>
      </c>
      <c r="G104" s="26">
        <v>1.60545129758015</v>
      </c>
      <c r="H104" s="13" t="s">
        <v>5</v>
      </c>
      <c r="I104" s="27">
        <v>0.35863015920792102</v>
      </c>
      <c r="J104" s="7"/>
      <c r="K104" s="37">
        <v>1.24280420547592E-5</v>
      </c>
      <c r="L104" s="25">
        <v>5064</v>
      </c>
      <c r="M104" s="18">
        <v>1.5489326936445311</v>
      </c>
      <c r="N104" s="13" t="s">
        <v>5</v>
      </c>
      <c r="O104" s="54">
        <f>EXP(    ($B$1+$B$2*LN(C104) + $B$3*LN(C104)^2)   *   ($B$4+$B$5*LN(F104) +$B$6*LN(F104)^2)    *  ($B$7+$B$8*LN(D104) +$B$9*LN(D104)^2)    *  ($B$10+$B$11*LN(E104) +$B$12*LN(E104)^2)   *  ($B$13+$B$14*LN(B104) +$B$15*LN(B104)^2)   )</f>
        <v>0.35878005074380126</v>
      </c>
      <c r="P104" s="53">
        <f>ABS((I104-O104)/O104)</f>
        <v>4.1778113239433474E-4</v>
      </c>
    </row>
    <row r="105" spans="1:16" ht="15.75" x14ac:dyDescent="0.3">
      <c r="A105" s="4" t="s">
        <v>15</v>
      </c>
      <c r="B105" s="14">
        <v>3915</v>
      </c>
      <c r="C105" s="30">
        <v>154</v>
      </c>
      <c r="D105" s="20">
        <v>1759</v>
      </c>
      <c r="E105" s="19">
        <v>0.84009799161896836</v>
      </c>
      <c r="F105" s="13">
        <v>45.09</v>
      </c>
      <c r="G105" s="31">
        <v>1.8997852987184269</v>
      </c>
      <c r="H105" s="13" t="s">
        <v>5</v>
      </c>
      <c r="I105" s="32">
        <v>0.36199999999999999</v>
      </c>
      <c r="J105" s="32"/>
      <c r="K105" s="6">
        <v>2.5837527208457165E-5</v>
      </c>
      <c r="L105" s="14">
        <v>6002</v>
      </c>
      <c r="M105" s="31">
        <v>1.8224080208375946</v>
      </c>
      <c r="N105" s="13" t="s">
        <v>5</v>
      </c>
      <c r="O105" s="54">
        <f>EXP(    ($B$1+$B$2*LN(C105) + $B$3*LN(C105)^2)   *   ($B$4+$B$5*LN(F105) +$B$6*LN(F105)^2)    *  ($B$7+$B$8*LN(D105) +$B$9*LN(D105)^2)    *  ($B$10+$B$11*LN(E105) +$B$12*LN(E105)^2)   *  ($B$13+$B$14*LN(B105) +$B$15*LN(B105)^2)   )</f>
        <v>0.25280771455541334</v>
      </c>
      <c r="P105" s="53">
        <f>ABS((I105-O105)/O105)</f>
        <v>0.43191832827021032</v>
      </c>
    </row>
    <row r="106" spans="1:16" ht="15.75" x14ac:dyDescent="0.3">
      <c r="A106" s="4" t="s">
        <v>15</v>
      </c>
      <c r="B106" s="14">
        <v>3865</v>
      </c>
      <c r="C106" s="30">
        <v>165</v>
      </c>
      <c r="D106" s="20">
        <v>1311</v>
      </c>
      <c r="E106" s="19">
        <v>0.80779518026477171</v>
      </c>
      <c r="F106" s="13">
        <v>41.31</v>
      </c>
      <c r="G106" s="31">
        <v>1.7010000000000001</v>
      </c>
      <c r="H106" s="13" t="s">
        <v>5</v>
      </c>
      <c r="I106" s="32">
        <v>0.36599999999999999</v>
      </c>
      <c r="J106" s="32"/>
      <c r="K106" s="6">
        <v>2.0366100000000001E-5</v>
      </c>
      <c r="L106" s="14">
        <v>7215</v>
      </c>
      <c r="M106" s="31">
        <v>1.6188</v>
      </c>
      <c r="N106" s="13" t="s">
        <v>5</v>
      </c>
      <c r="O106" s="54">
        <f>EXP(    ($B$1+$B$2*LN(C106) + $B$3*LN(C106)^2)   *   ($B$4+$B$5*LN(F106) +$B$6*LN(F106)^2)    *  ($B$7+$B$8*LN(D106) +$B$9*LN(D106)^2)    *  ($B$10+$B$11*LN(E106) +$B$12*LN(E106)^2)   *  ($B$13+$B$14*LN(B106) +$B$15*LN(B106)^2)   )</f>
        <v>0.32733862682117976</v>
      </c>
      <c r="P106" s="53">
        <f>ABS((I106-O106)/O106)</f>
        <v>0.11810819136826273</v>
      </c>
    </row>
    <row r="107" spans="1:16" ht="15.75" x14ac:dyDescent="0.3">
      <c r="A107" s="4" t="s">
        <v>15</v>
      </c>
      <c r="B107" s="14">
        <v>2965</v>
      </c>
      <c r="C107" s="30">
        <v>164</v>
      </c>
      <c r="D107" s="20">
        <v>975</v>
      </c>
      <c r="E107" s="19">
        <v>0.86339910857758939</v>
      </c>
      <c r="F107" s="13">
        <v>40.47</v>
      </c>
      <c r="G107" s="31">
        <v>1.5153000000000001</v>
      </c>
      <c r="H107" s="13" t="s">
        <v>5</v>
      </c>
      <c r="I107" s="32">
        <v>0.36799999999999999</v>
      </c>
      <c r="J107" s="32"/>
      <c r="K107" s="6">
        <v>1.6968699999999999E-5</v>
      </c>
      <c r="L107" s="14">
        <v>8323</v>
      </c>
      <c r="M107" s="31">
        <v>1.4247000000000001</v>
      </c>
      <c r="N107" s="13" t="s">
        <v>5</v>
      </c>
      <c r="O107" s="54">
        <f>EXP(    ($B$1+$B$2*LN(C107) + $B$3*LN(C107)^2)   *   ($B$4+$B$5*LN(F107) +$B$6*LN(F107)^2)    *  ($B$7+$B$8*LN(D107) +$B$9*LN(D107)^2)    *  ($B$10+$B$11*LN(E107) +$B$12*LN(E107)^2)   *  ($B$13+$B$14*LN(B107) +$B$15*LN(B107)^2)   )</f>
        <v>0.40701381131370651</v>
      </c>
      <c r="P107" s="53">
        <f>ABS((I107-O107)/O107)</f>
        <v>9.585377751133993E-2</v>
      </c>
    </row>
    <row r="108" spans="1:16" ht="15.75" x14ac:dyDescent="0.3">
      <c r="A108" s="3" t="s">
        <v>14</v>
      </c>
      <c r="B108" s="24">
        <v>2988</v>
      </c>
      <c r="C108" s="5">
        <v>165</v>
      </c>
      <c r="D108" s="24">
        <v>1147</v>
      </c>
      <c r="E108" s="27">
        <v>0.87540818768020245</v>
      </c>
      <c r="F108" s="28">
        <v>44</v>
      </c>
      <c r="G108" s="26">
        <v>1.649</v>
      </c>
      <c r="H108" s="13" t="s">
        <v>5</v>
      </c>
      <c r="I108" s="26">
        <v>0.36799999999999999</v>
      </c>
      <c r="J108" s="7"/>
      <c r="K108" s="37">
        <v>1.0355057978956E-5</v>
      </c>
      <c r="L108" s="24">
        <v>6566</v>
      </c>
      <c r="M108" s="18">
        <v>1.5684215927998539</v>
      </c>
      <c r="N108" s="13" t="s">
        <v>5</v>
      </c>
      <c r="O108" s="54">
        <f>EXP(    ($B$1+$B$2*LN(C108) + $B$3*LN(C108)^2)   *   ($B$4+$B$5*LN(F108) +$B$6*LN(F108)^2)    *  ($B$7+$B$8*LN(D108) +$B$9*LN(D108)^2)    *  ($B$10+$B$11*LN(E108) +$B$12*LN(E108)^2)   *  ($B$13+$B$14*LN(B108) +$B$15*LN(B108)^2)   )</f>
        <v>0.33896405763934595</v>
      </c>
      <c r="P108" s="53">
        <f>ABS((I108-O108)/O108)</f>
        <v>8.5660829537118566E-2</v>
      </c>
    </row>
    <row r="109" spans="1:16" ht="15.75" x14ac:dyDescent="0.3">
      <c r="A109" s="3" t="s">
        <v>14</v>
      </c>
      <c r="B109" s="24">
        <v>3131</v>
      </c>
      <c r="C109" s="5">
        <v>161</v>
      </c>
      <c r="D109" s="24">
        <v>1124</v>
      </c>
      <c r="E109" s="27">
        <v>0.85542971530249112</v>
      </c>
      <c r="F109" s="28">
        <v>43.6</v>
      </c>
      <c r="G109" s="26">
        <v>1.5860000000000001</v>
      </c>
      <c r="H109" s="13" t="s">
        <v>5</v>
      </c>
      <c r="I109" s="26">
        <v>0.376</v>
      </c>
      <c r="J109" s="7"/>
      <c r="K109" s="37">
        <v>1.23492033978367E-5</v>
      </c>
      <c r="L109" s="24">
        <v>5009</v>
      </c>
      <c r="M109" s="18">
        <v>1.5429931315257974</v>
      </c>
      <c r="N109" s="13" t="s">
        <v>5</v>
      </c>
      <c r="O109" s="54">
        <f>EXP(    ($B$1+$B$2*LN(C109) + $B$3*LN(C109)^2)   *   ($B$4+$B$5*LN(F109) +$B$6*LN(F109)^2)    *  ($B$7+$B$8*LN(D109) +$B$9*LN(D109)^2)    *  ($B$10+$B$11*LN(E109) +$B$12*LN(E109)^2)   *  ($B$13+$B$14*LN(B109) +$B$15*LN(B109)^2)   )</f>
        <v>0.35416019119498493</v>
      </c>
      <c r="P109" s="53">
        <f>ABS((I109-O109)/O109)</f>
        <v>6.1666469998574849E-2</v>
      </c>
    </row>
    <row r="110" spans="1:16" ht="15.75" x14ac:dyDescent="0.3">
      <c r="A110" s="4" t="s">
        <v>15</v>
      </c>
      <c r="B110" s="14">
        <v>2615</v>
      </c>
      <c r="C110" s="30">
        <v>156</v>
      </c>
      <c r="D110" s="20">
        <v>743</v>
      </c>
      <c r="E110" s="19">
        <v>0.89798317631224767</v>
      </c>
      <c r="F110" s="13">
        <v>40.68</v>
      </c>
      <c r="G110" s="31">
        <v>1.3936999999999999</v>
      </c>
      <c r="H110" s="13" t="s">
        <v>5</v>
      </c>
      <c r="I110" s="32">
        <v>0.38100000000000001</v>
      </c>
      <c r="J110" s="32"/>
      <c r="K110" s="6">
        <v>1.37521E-5</v>
      </c>
      <c r="L110" s="14">
        <v>6575</v>
      </c>
      <c r="M110" s="31">
        <v>1.3373999999999999</v>
      </c>
      <c r="N110" s="13" t="s">
        <v>5</v>
      </c>
      <c r="O110" s="54">
        <f>EXP(    ($B$1+$B$2*LN(C110) + $B$3*LN(C110)^2)   *   ($B$4+$B$5*LN(F110) +$B$6*LN(F110)^2)    *  ($B$7+$B$8*LN(D110) +$B$9*LN(D110)^2)    *  ($B$10+$B$11*LN(E110) +$B$12*LN(E110)^2)   *  ($B$13+$B$14*LN(B110) +$B$15*LN(B110)^2)   )</f>
        <v>0.50450212770578684</v>
      </c>
      <c r="P110" s="53">
        <f>ABS((I110-O110)/O110)</f>
        <v>0.24480001356468059</v>
      </c>
    </row>
    <row r="111" spans="1:16" ht="15.75" x14ac:dyDescent="0.3">
      <c r="A111" s="4" t="s">
        <v>15</v>
      </c>
      <c r="B111" s="14">
        <v>2965</v>
      </c>
      <c r="C111" s="30">
        <v>156</v>
      </c>
      <c r="D111" s="20">
        <v>979</v>
      </c>
      <c r="E111" s="19">
        <v>0.84233779366700712</v>
      </c>
      <c r="F111" s="13">
        <v>41.5</v>
      </c>
      <c r="G111" s="31">
        <v>1.5277000000000001</v>
      </c>
      <c r="H111" s="33" t="s">
        <v>5</v>
      </c>
      <c r="I111" s="32">
        <v>0.38600000000000001</v>
      </c>
      <c r="J111" s="32"/>
      <c r="K111" s="6">
        <v>1.84603E-5</v>
      </c>
      <c r="L111" s="14">
        <v>5578</v>
      </c>
      <c r="M111" s="31">
        <v>1.4709000000000001</v>
      </c>
      <c r="N111" s="13" t="s">
        <v>5</v>
      </c>
      <c r="O111" s="54">
        <f>EXP(    ($B$1+$B$2*LN(C111) + $B$3*LN(C111)^2)   *   ($B$4+$B$5*LN(F111) +$B$6*LN(F111)^2)    *  ($B$7+$B$8*LN(D111) +$B$9*LN(D111)^2)    *  ($B$10+$B$11*LN(E111) +$B$12*LN(E111)^2)   *  ($B$13+$B$14*LN(B111) +$B$15*LN(B111)^2)   )</f>
        <v>0.41135416072909459</v>
      </c>
      <c r="P111" s="53">
        <f>ABS((I111-O111)/O111)</f>
        <v>6.1635843634488145E-2</v>
      </c>
    </row>
    <row r="112" spans="1:16" ht="15.75" x14ac:dyDescent="0.3">
      <c r="A112" s="4" t="s">
        <v>15</v>
      </c>
      <c r="B112" s="14">
        <v>2835</v>
      </c>
      <c r="C112" s="30">
        <v>149</v>
      </c>
      <c r="D112" s="20">
        <v>840</v>
      </c>
      <c r="E112" s="19">
        <v>0.89454904761904763</v>
      </c>
      <c r="F112" s="13">
        <v>39.229999999999997</v>
      </c>
      <c r="G112" s="31">
        <v>1.4476</v>
      </c>
      <c r="H112" s="13" t="s">
        <v>5</v>
      </c>
      <c r="I112" s="32">
        <v>0.38700000000000001</v>
      </c>
      <c r="J112" s="32"/>
      <c r="K112" s="6">
        <v>1.46948E-5</v>
      </c>
      <c r="L112" s="14">
        <v>6021</v>
      </c>
      <c r="M112" s="31">
        <v>1.3939999999999999</v>
      </c>
      <c r="N112" s="13" t="s">
        <v>5</v>
      </c>
      <c r="O112" s="54">
        <f>EXP(    ($B$1+$B$2*LN(C112) + $B$3*LN(C112)^2)   *   ($B$4+$B$5*LN(F112) +$B$6*LN(F112)^2)    *  ($B$7+$B$8*LN(D112) +$B$9*LN(D112)^2)    *  ($B$10+$B$11*LN(E112) +$B$12*LN(E112)^2)   *  ($B$13+$B$14*LN(B112) +$B$15*LN(B112)^2)   )</f>
        <v>0.47567516829283357</v>
      </c>
      <c r="P112" s="53">
        <f>ABS((I112-O112)/O112)</f>
        <v>0.18641958673412115</v>
      </c>
    </row>
    <row r="113" spans="1:16" ht="15.75" x14ac:dyDescent="0.3">
      <c r="A113" s="4" t="s">
        <v>15</v>
      </c>
      <c r="B113" s="14">
        <v>3365</v>
      </c>
      <c r="C113" s="30">
        <v>154</v>
      </c>
      <c r="D113" s="20">
        <v>1335</v>
      </c>
      <c r="E113" s="19">
        <v>0.83274397003745326</v>
      </c>
      <c r="F113" s="13">
        <v>44.91</v>
      </c>
      <c r="G113" s="31">
        <v>1.6715649852853085</v>
      </c>
      <c r="H113" s="13" t="s">
        <v>5</v>
      </c>
      <c r="I113" s="32">
        <v>0.39200000000000002</v>
      </c>
      <c r="J113" s="32"/>
      <c r="K113" s="6">
        <v>2.0557999999999999E-5</v>
      </c>
      <c r="L113" s="14">
        <v>5925</v>
      </c>
      <c r="M113" s="31">
        <v>1.6063696848506726</v>
      </c>
      <c r="N113" s="13" t="s">
        <v>5</v>
      </c>
      <c r="O113" s="54">
        <f>EXP(    ($B$1+$B$2*LN(C113) + $B$3*LN(C113)^2)   *   ($B$4+$B$5*LN(F113) +$B$6*LN(F113)^2)    *  ($B$7+$B$8*LN(D113) +$B$9*LN(D113)^2)    *  ($B$10+$B$11*LN(E113) +$B$12*LN(E113)^2)   *  ($B$13+$B$14*LN(B113) +$B$15*LN(B113)^2)   )</f>
        <v>0.3132118386960494</v>
      </c>
      <c r="P113" s="53">
        <f>ABS((I113-O113)/O113)</f>
        <v>0.25154911650836131</v>
      </c>
    </row>
    <row r="114" spans="1:16" ht="15.75" x14ac:dyDescent="0.3">
      <c r="A114" s="4" t="s">
        <v>15</v>
      </c>
      <c r="B114" s="14">
        <v>2236.6959999999999</v>
      </c>
      <c r="C114" s="30">
        <v>155</v>
      </c>
      <c r="D114" s="20">
        <v>897</v>
      </c>
      <c r="E114" s="19">
        <v>0.8641896139865074</v>
      </c>
      <c r="F114" s="13">
        <v>40.33</v>
      </c>
      <c r="G114" s="31" t="s">
        <v>5</v>
      </c>
      <c r="H114" s="33" t="s">
        <v>5</v>
      </c>
      <c r="I114" s="32">
        <v>0.39649000000000001</v>
      </c>
      <c r="J114" s="32"/>
      <c r="K114" s="6">
        <v>1.8600000000000001E-5</v>
      </c>
      <c r="L114" s="14">
        <v>5014.6959999999999</v>
      </c>
      <c r="M114" s="31" t="s">
        <v>5</v>
      </c>
      <c r="N114" s="13" t="s">
        <v>5</v>
      </c>
      <c r="O114" s="54">
        <f>EXP(    ($B$1+$B$2*LN(C114) + $B$3*LN(C114)^2)   *   ($B$4+$B$5*LN(F114) +$B$6*LN(F114)^2)    *  ($B$7+$B$8*LN(D114) +$B$9*LN(D114)^2)    *  ($B$10+$B$11*LN(E114) +$B$12*LN(E114)^2)   *  ($B$13+$B$14*LN(B114) +$B$15*LN(B114)^2)   )</f>
        <v>0.43861997462238567</v>
      </c>
      <c r="P114" s="53">
        <f>ABS((I114-O114)/O114)</f>
        <v>9.605119935236868E-2</v>
      </c>
    </row>
    <row r="115" spans="1:16" ht="15.75" x14ac:dyDescent="0.3">
      <c r="A115" s="3" t="s">
        <v>14</v>
      </c>
      <c r="B115" s="24">
        <v>2737</v>
      </c>
      <c r="C115" s="5">
        <v>180</v>
      </c>
      <c r="D115" s="24">
        <v>1028</v>
      </c>
      <c r="E115" s="27">
        <f>(923*0.844+105*1.292)/1028</f>
        <v>0.88975875486381317</v>
      </c>
      <c r="F115" s="29">
        <v>44.1</v>
      </c>
      <c r="G115" s="26">
        <v>1.5669999999999999</v>
      </c>
      <c r="H115" s="13" t="s">
        <v>5</v>
      </c>
      <c r="I115" s="26">
        <v>0.40500000000000003</v>
      </c>
      <c r="J115" s="7"/>
      <c r="K115" s="39">
        <v>1.013E-5</v>
      </c>
      <c r="L115" s="24">
        <v>6500</v>
      </c>
      <c r="M115" s="18">
        <v>1.4873964</v>
      </c>
      <c r="N115" s="13" t="s">
        <v>5</v>
      </c>
      <c r="O115" s="54">
        <f>EXP(    ($B$1+$B$2*LN(C115) + $B$3*LN(C115)^2)   *   ($B$4+$B$5*LN(F115) +$B$6*LN(F115)^2)    *  ($B$7+$B$8*LN(D115) +$B$9*LN(D115)^2)    *  ($B$10+$B$11*LN(E115) +$B$12*LN(E115)^2)   *  ($B$13+$B$14*LN(B115) +$B$15*LN(B115)^2)   )</f>
        <v>0.34884204382729755</v>
      </c>
      <c r="P115" s="53">
        <f>ABS((I115-O115)/O115)</f>
        <v>0.16098390995697981</v>
      </c>
    </row>
    <row r="116" spans="1:16" ht="15.75" x14ac:dyDescent="0.3">
      <c r="A116" s="3" t="s">
        <v>14</v>
      </c>
      <c r="B116" s="24">
        <v>2290</v>
      </c>
      <c r="C116" s="5">
        <v>147</v>
      </c>
      <c r="D116" s="24">
        <v>926.67416705051619</v>
      </c>
      <c r="E116" s="27">
        <v>0.92190427125757779</v>
      </c>
      <c r="F116" s="28">
        <v>41.9</v>
      </c>
      <c r="G116" s="26">
        <v>1.5015039137706185</v>
      </c>
      <c r="H116" s="13" t="s">
        <v>5</v>
      </c>
      <c r="I116" s="26">
        <v>0.41020653230299997</v>
      </c>
      <c r="J116" s="7"/>
      <c r="K116" s="37">
        <v>1.503354094425121E-5</v>
      </c>
      <c r="L116" s="24">
        <v>2870</v>
      </c>
      <c r="M116" s="18">
        <v>1.4871518886211128</v>
      </c>
      <c r="N116" s="13" t="s">
        <v>5</v>
      </c>
      <c r="O116" s="54">
        <f>EXP(    ($B$1+$B$2*LN(C116) + $B$3*LN(C116)^2)   *   ($B$4+$B$5*LN(F116) +$B$6*LN(F116)^2)    *  ($B$7+$B$8*LN(D116) +$B$9*LN(D116)^2)    *  ($B$10+$B$11*LN(E116) +$B$12*LN(E116)^2)   *  ($B$13+$B$14*LN(B116) +$B$15*LN(B116)^2)   )</f>
        <v>0.42296919495938673</v>
      </c>
      <c r="P116" s="53">
        <f>ABS((I116-O116)/O116)</f>
        <v>3.0173976754057048E-2</v>
      </c>
    </row>
    <row r="117" spans="1:16" ht="15.75" x14ac:dyDescent="0.3">
      <c r="A117" s="4" t="s">
        <v>15</v>
      </c>
      <c r="B117" s="14">
        <v>2515</v>
      </c>
      <c r="C117" s="30">
        <v>149</v>
      </c>
      <c r="D117" s="20">
        <v>761</v>
      </c>
      <c r="E117" s="19">
        <v>0.88659053876478311</v>
      </c>
      <c r="F117" s="13">
        <v>40.659999999999997</v>
      </c>
      <c r="G117" s="31">
        <v>1.4036</v>
      </c>
      <c r="H117" s="13" t="s">
        <v>5</v>
      </c>
      <c r="I117" s="32">
        <v>0.41199999999999998</v>
      </c>
      <c r="J117" s="32"/>
      <c r="K117" s="6">
        <v>1.3774100000000001E-5</v>
      </c>
      <c r="L117" s="14">
        <v>5309</v>
      </c>
      <c r="M117" s="31">
        <v>1.3613999999999999</v>
      </c>
      <c r="N117" s="13" t="s">
        <v>5</v>
      </c>
      <c r="O117" s="54">
        <f>EXP(    ($B$1+$B$2*LN(C117) + $B$3*LN(C117)^2)   *   ($B$4+$B$5*LN(F117) +$B$6*LN(F117)^2)    *  ($B$7+$B$8*LN(D117) +$B$9*LN(D117)^2)    *  ($B$10+$B$11*LN(E117) +$B$12*LN(E117)^2)   *  ($B$13+$B$14*LN(B117) +$B$15*LN(B117)^2)   )</f>
        <v>0.50265519644840628</v>
      </c>
      <c r="P117" s="53">
        <f>ABS((I117-O117)/O117)</f>
        <v>0.1803526494681556</v>
      </c>
    </row>
    <row r="118" spans="1:16" ht="15.75" x14ac:dyDescent="0.3">
      <c r="A118" s="3" t="s">
        <v>14</v>
      </c>
      <c r="B118" s="24">
        <v>2562</v>
      </c>
      <c r="C118" s="5">
        <v>153</v>
      </c>
      <c r="D118" s="24">
        <v>878</v>
      </c>
      <c r="E118" s="27">
        <v>0.86815831435079716</v>
      </c>
      <c r="F118" s="28">
        <v>42.6</v>
      </c>
      <c r="G118" s="26">
        <v>1.4550000000000001</v>
      </c>
      <c r="H118" s="13" t="s">
        <v>5</v>
      </c>
      <c r="I118" s="26">
        <v>0.41299999999999998</v>
      </c>
      <c r="J118" s="7"/>
      <c r="K118" s="37">
        <v>1.23589010327442E-5</v>
      </c>
      <c r="L118" s="24">
        <v>3635</v>
      </c>
      <c r="M118" s="18">
        <v>1.4338039390944741</v>
      </c>
      <c r="N118" s="13" t="s">
        <v>5</v>
      </c>
      <c r="O118" s="54">
        <f>EXP(    ($B$1+$B$2*LN(C118) + $B$3*LN(C118)^2)   *   ($B$4+$B$5*LN(F118) +$B$6*LN(F118)^2)    *  ($B$7+$B$8*LN(D118) +$B$9*LN(D118)^2)    *  ($B$10+$B$11*LN(E118) +$B$12*LN(E118)^2)   *  ($B$13+$B$14*LN(B118) +$B$15*LN(B118)^2)   )</f>
        <v>0.43971640249115068</v>
      </c>
      <c r="P118" s="53">
        <f>ABS((I118-O118)/O118)</f>
        <v>6.0758257685619023E-2</v>
      </c>
    </row>
    <row r="119" spans="1:16" ht="15.75" x14ac:dyDescent="0.3">
      <c r="A119" s="3" t="s">
        <v>14</v>
      </c>
      <c r="B119" s="24">
        <v>3313</v>
      </c>
      <c r="C119" s="5">
        <v>157</v>
      </c>
      <c r="D119" s="24">
        <v>1077</v>
      </c>
      <c r="E119" s="26">
        <v>0.85875487465181055</v>
      </c>
      <c r="F119" s="28">
        <v>40.200000000000003</v>
      </c>
      <c r="G119" s="26">
        <v>1.5429999999999999</v>
      </c>
      <c r="H119" s="13" t="s">
        <v>5</v>
      </c>
      <c r="I119" s="26">
        <v>0.41899999999999998</v>
      </c>
      <c r="J119" s="7"/>
      <c r="K119" s="37">
        <v>1.2187330891871359E-5</v>
      </c>
      <c r="L119" s="25">
        <v>4526.6959999999999</v>
      </c>
      <c r="M119" s="18">
        <v>1.5166742807596807</v>
      </c>
      <c r="N119" s="13" t="s">
        <v>5</v>
      </c>
      <c r="O119" s="54">
        <f>EXP(    ($B$1+$B$2*LN(C119) + $B$3*LN(C119)^2)   *   ($B$4+$B$5*LN(F119) +$B$6*LN(F119)^2)    *  ($B$7+$B$8*LN(D119) +$B$9*LN(D119)^2)    *  ($B$10+$B$11*LN(E119) +$B$12*LN(E119)^2)   *  ($B$13+$B$14*LN(B119) +$B$15*LN(B119)^2)   )</f>
        <v>0.3889801161661991</v>
      </c>
      <c r="P119" s="53">
        <f>ABS((I119-O119)/O119)</f>
        <v>7.7175882740942794E-2</v>
      </c>
    </row>
    <row r="120" spans="1:16" ht="15.75" x14ac:dyDescent="0.3">
      <c r="A120" s="3" t="s">
        <v>14</v>
      </c>
      <c r="B120" s="24">
        <v>3165</v>
      </c>
      <c r="C120" s="5">
        <v>159</v>
      </c>
      <c r="D120" s="24">
        <v>1309.5712971320097</v>
      </c>
      <c r="E120" s="26">
        <v>0.86290875140960577</v>
      </c>
      <c r="F120" s="29">
        <v>44.21</v>
      </c>
      <c r="G120" s="26">
        <v>1.69395136437296</v>
      </c>
      <c r="H120" s="13" t="s">
        <v>5</v>
      </c>
      <c r="I120" s="26">
        <v>0.42370000000000002</v>
      </c>
      <c r="J120" s="7"/>
      <c r="K120" s="37">
        <v>1.3256093623020083E-5</v>
      </c>
      <c r="L120" s="24">
        <v>5162</v>
      </c>
      <c r="M120" s="18">
        <v>1.6414422741091423</v>
      </c>
      <c r="N120" s="13" t="s">
        <v>5</v>
      </c>
      <c r="O120" s="54">
        <f>EXP(    ($B$1+$B$2*LN(C120) + $B$3*LN(C120)^2)   *   ($B$4+$B$5*LN(F120) +$B$6*LN(F120)^2)    *  ($B$7+$B$8*LN(D120) +$B$9*LN(D120)^2)    *  ($B$10+$B$11*LN(E120) +$B$12*LN(E120)^2)   *  ($B$13+$B$14*LN(B120) +$B$15*LN(B120)^2)   )</f>
        <v>0.31187480597045619</v>
      </c>
      <c r="P120" s="53">
        <f>ABS((I120-O120)/O120)</f>
        <v>0.35855795944009983</v>
      </c>
    </row>
    <row r="121" spans="1:16" ht="15.75" x14ac:dyDescent="0.3">
      <c r="A121" s="4" t="s">
        <v>15</v>
      </c>
      <c r="B121" s="14">
        <v>3465</v>
      </c>
      <c r="C121" s="30">
        <v>140</v>
      </c>
      <c r="D121" s="20">
        <v>1455</v>
      </c>
      <c r="E121" s="19">
        <v>0.80935814432989683</v>
      </c>
      <c r="F121" s="13">
        <v>43.88</v>
      </c>
      <c r="G121" s="31">
        <v>1.7339</v>
      </c>
      <c r="H121" s="13" t="s">
        <v>5</v>
      </c>
      <c r="I121" s="32">
        <v>0.434</v>
      </c>
      <c r="J121" s="32"/>
      <c r="K121" s="6">
        <v>2.06329E-5</v>
      </c>
      <c r="L121" s="14">
        <v>4865</v>
      </c>
      <c r="M121" s="31">
        <v>1.6921999999999999</v>
      </c>
      <c r="N121" s="13" t="s">
        <v>5</v>
      </c>
      <c r="O121" s="54">
        <f>EXP(    ($B$1+$B$2*LN(C121) + $B$3*LN(C121)^2)   *   ($B$4+$B$5*LN(F121) +$B$6*LN(F121)^2)    *  ($B$7+$B$8*LN(D121) +$B$9*LN(D121)^2)    *  ($B$10+$B$11*LN(E121) +$B$12*LN(E121)^2)   *  ($B$13+$B$14*LN(B121) +$B$15*LN(B121)^2)   )</f>
        <v>0.31260926949291062</v>
      </c>
      <c r="P121" s="53">
        <f>ABS((I121-O121)/O121)</f>
        <v>0.38831455863096948</v>
      </c>
    </row>
    <row r="122" spans="1:16" ht="15.75" x14ac:dyDescent="0.3">
      <c r="A122" s="4" t="s">
        <v>15</v>
      </c>
      <c r="B122" s="14">
        <v>2915.0250000000001</v>
      </c>
      <c r="C122" s="30">
        <v>132</v>
      </c>
      <c r="D122" s="20">
        <v>977</v>
      </c>
      <c r="E122" s="19">
        <v>0.81936949846468798</v>
      </c>
      <c r="F122" s="13">
        <v>39.19</v>
      </c>
      <c r="G122" s="31">
        <v>1.4986911732675505</v>
      </c>
      <c r="H122" s="33" t="s">
        <v>5</v>
      </c>
      <c r="I122" s="32">
        <v>0.44900000000000001</v>
      </c>
      <c r="J122" s="32"/>
      <c r="K122" s="6">
        <v>1.54185158706069E-5</v>
      </c>
      <c r="L122" s="14">
        <v>3962.0250000000001</v>
      </c>
      <c r="M122" s="31">
        <v>1.4773948236521384</v>
      </c>
      <c r="N122" s="13" t="s">
        <v>5</v>
      </c>
      <c r="O122" s="54">
        <f>EXP(    ($B$1+$B$2*LN(C122) + $B$3*LN(C122)^2)   *   ($B$4+$B$5*LN(F122) +$B$6*LN(F122)^2)    *  ($B$7+$B$8*LN(D122) +$B$9*LN(D122)^2)    *  ($B$10+$B$11*LN(E122) +$B$12*LN(E122)^2)   *  ($B$13+$B$14*LN(B122) +$B$15*LN(B122)^2)   )</f>
        <v>0.44704943414907206</v>
      </c>
      <c r="P122" s="53">
        <f>ABS((I122-O122)/O122)</f>
        <v>4.36319946280823E-3</v>
      </c>
    </row>
    <row r="123" spans="1:16" ht="15.75" x14ac:dyDescent="0.3">
      <c r="A123" s="4" t="s">
        <v>15</v>
      </c>
      <c r="B123" s="14">
        <v>3365</v>
      </c>
      <c r="C123" s="30">
        <v>129</v>
      </c>
      <c r="D123" s="20">
        <v>1106</v>
      </c>
      <c r="E123" s="19">
        <v>0.83125307414104888</v>
      </c>
      <c r="F123" s="13">
        <v>38.78</v>
      </c>
      <c r="G123" s="31">
        <v>1.5330965401161434</v>
      </c>
      <c r="H123" s="13" t="s">
        <v>5</v>
      </c>
      <c r="I123" s="32">
        <v>0.45</v>
      </c>
      <c r="J123" s="32"/>
      <c r="K123" s="6">
        <v>1.6000600000000001E-5</v>
      </c>
      <c r="L123" s="14">
        <v>4960</v>
      </c>
      <c r="M123" s="35">
        <v>1.5794999999999999</v>
      </c>
      <c r="N123" s="13" t="s">
        <v>5</v>
      </c>
      <c r="O123" s="54">
        <f>EXP(    ($B$1+$B$2*LN(C123) + $B$3*LN(C123)^2)   *   ($B$4+$B$5*LN(F123) +$B$6*LN(F123)^2)    *  ($B$7+$B$8*LN(D123) +$B$9*LN(D123)^2)    *  ($B$10+$B$11*LN(E123) +$B$12*LN(E123)^2)   *  ($B$13+$B$14*LN(B123) +$B$15*LN(B123)^2)   )</f>
        <v>0.41666266638889288</v>
      </c>
      <c r="P123" s="53">
        <f>ABS((I123-O123)/O123)</f>
        <v>8.001036881953727E-2</v>
      </c>
    </row>
    <row r="124" spans="1:16" ht="15.75" x14ac:dyDescent="0.3">
      <c r="A124" s="3" t="s">
        <v>14</v>
      </c>
      <c r="B124" s="24">
        <v>3265</v>
      </c>
      <c r="C124" s="5">
        <v>155</v>
      </c>
      <c r="D124" s="24">
        <v>1316.8520531613119</v>
      </c>
      <c r="E124" s="26">
        <v>0.91363998027137561</v>
      </c>
      <c r="F124" s="29">
        <v>41.4</v>
      </c>
      <c r="G124" s="26">
        <v>1.7046470189183824</v>
      </c>
      <c r="H124" s="13" t="s">
        <v>5</v>
      </c>
      <c r="I124" s="26">
        <v>0.45250000000000001</v>
      </c>
      <c r="J124" s="7"/>
      <c r="K124" s="37">
        <v>1.4761725370070495E-5</v>
      </c>
      <c r="L124" s="24">
        <v>4694</v>
      </c>
      <c r="M124" s="18">
        <v>1.6637045819994651</v>
      </c>
      <c r="N124" s="13" t="s">
        <v>5</v>
      </c>
      <c r="O124" s="54">
        <f>EXP(    ($B$1+$B$2*LN(C124) + $B$3*LN(C124)^2)   *   ($B$4+$B$5*LN(F124) +$B$6*LN(F124)^2)    *  ($B$7+$B$8*LN(D124) +$B$9*LN(D124)^2)    *  ($B$10+$B$11*LN(E124) +$B$12*LN(E124)^2)   *  ($B$13+$B$14*LN(B124) +$B$15*LN(B124)^2)   )</f>
        <v>0.32395041662736584</v>
      </c>
      <c r="P124" s="53">
        <f>ABS((I124-O124)/O124)</f>
        <v>0.39681870056213686</v>
      </c>
    </row>
    <row r="125" spans="1:16" ht="15.75" x14ac:dyDescent="0.3">
      <c r="A125" s="4" t="s">
        <v>15</v>
      </c>
      <c r="B125" s="14">
        <v>2215</v>
      </c>
      <c r="C125" s="30">
        <v>157</v>
      </c>
      <c r="D125" s="20">
        <v>694</v>
      </c>
      <c r="E125" s="19">
        <v>0.91650691642651272</v>
      </c>
      <c r="F125" s="13">
        <v>40.619999999999997</v>
      </c>
      <c r="G125" s="31">
        <v>1.3705000000000001</v>
      </c>
      <c r="H125" s="33" t="s">
        <v>5</v>
      </c>
      <c r="I125" s="32">
        <v>0.45300000000000001</v>
      </c>
      <c r="J125" s="32"/>
      <c r="K125" s="6">
        <v>1.46343E-5</v>
      </c>
      <c r="L125" s="14">
        <v>5916</v>
      </c>
      <c r="M125" s="31">
        <v>1.3181</v>
      </c>
      <c r="N125" s="13" t="s">
        <v>5</v>
      </c>
      <c r="O125" s="54">
        <f>EXP(    ($B$1+$B$2*LN(C125) + $B$3*LN(C125)^2)   *   ($B$4+$B$5*LN(F125) +$B$6*LN(F125)^2)    *  ($B$7+$B$8*LN(D125) +$B$9*LN(D125)^2)    *  ($B$10+$B$11*LN(E125) +$B$12*LN(E125)^2)   *  ($B$13+$B$14*LN(B125) +$B$15*LN(B125)^2)   )</f>
        <v>0.52552736475350648</v>
      </c>
      <c r="P125" s="53">
        <f>ABS((I125-O125)/O125)</f>
        <v>0.13800873107250033</v>
      </c>
    </row>
    <row r="126" spans="1:16" ht="15.75" x14ac:dyDescent="0.3">
      <c r="A126" s="4" t="s">
        <v>15</v>
      </c>
      <c r="B126" s="14">
        <v>2865</v>
      </c>
      <c r="C126" s="30">
        <v>138</v>
      </c>
      <c r="D126" s="20">
        <v>848</v>
      </c>
      <c r="E126" s="19">
        <v>0.8846938679245282</v>
      </c>
      <c r="F126" s="13">
        <v>39.520000000000003</v>
      </c>
      <c r="G126" s="31">
        <v>1.4198</v>
      </c>
      <c r="H126" s="13" t="s">
        <v>5</v>
      </c>
      <c r="I126" s="32">
        <v>0.45600000000000002</v>
      </c>
      <c r="J126" s="32"/>
      <c r="K126" s="6">
        <v>1.3568600000000001E-5</v>
      </c>
      <c r="L126" s="14">
        <v>5612</v>
      </c>
      <c r="M126" s="31">
        <v>1.3776999999999999</v>
      </c>
      <c r="N126" s="13" t="s">
        <v>5</v>
      </c>
      <c r="O126" s="54">
        <f>EXP(    ($B$1+$B$2*LN(C126) + $B$3*LN(C126)^2)   *   ($B$4+$B$5*LN(F126) +$B$6*LN(F126)^2)    *  ($B$7+$B$8*LN(D126) +$B$9*LN(D126)^2)    *  ($B$10+$B$11*LN(E126) +$B$12*LN(E126)^2)   *  ($B$13+$B$14*LN(B126) +$B$15*LN(B126)^2)   )</f>
        <v>0.48196419072204993</v>
      </c>
      <c r="P126" s="53">
        <f>ABS((I126-O126)/O126)</f>
        <v>5.3871617895827326E-2</v>
      </c>
    </row>
    <row r="127" spans="1:16" ht="15.75" x14ac:dyDescent="0.3">
      <c r="A127" s="3" t="s">
        <v>14</v>
      </c>
      <c r="B127" s="24">
        <v>2788</v>
      </c>
      <c r="C127" s="5">
        <v>159</v>
      </c>
      <c r="D127" s="24">
        <v>933</v>
      </c>
      <c r="E127" s="27">
        <v>0.84155519828510184</v>
      </c>
      <c r="F127" s="28">
        <v>41.1</v>
      </c>
      <c r="G127" s="26">
        <v>1.488</v>
      </c>
      <c r="H127" s="13" t="s">
        <v>5</v>
      </c>
      <c r="I127" s="26">
        <v>0.47299999999999998</v>
      </c>
      <c r="J127" s="7"/>
      <c r="K127" s="37">
        <v>1.03509031269858E-5</v>
      </c>
      <c r="L127" s="24">
        <v>4765</v>
      </c>
      <c r="M127" s="18">
        <v>1.4520069311395036</v>
      </c>
      <c r="N127" s="13" t="s">
        <v>5</v>
      </c>
      <c r="O127" s="54">
        <f>EXP(    ($B$1+$B$2*LN(C127) + $B$3*LN(C127)^2)   *   ($B$4+$B$5*LN(F127) +$B$6*LN(F127)^2)    *  ($B$7+$B$8*LN(D127) +$B$9*LN(D127)^2)    *  ($B$10+$B$11*LN(E127) +$B$12*LN(E127)^2)   *  ($B$13+$B$14*LN(B127) +$B$15*LN(B127)^2)   )</f>
        <v>0.42413557220384079</v>
      </c>
      <c r="P127" s="53">
        <f>ABS((I127-O127)/O127)</f>
        <v>0.11520945423713434</v>
      </c>
    </row>
    <row r="128" spans="1:16" ht="15.75" x14ac:dyDescent="0.3">
      <c r="A128" s="3" t="s">
        <v>14</v>
      </c>
      <c r="B128" s="24">
        <v>2528</v>
      </c>
      <c r="C128" s="5">
        <v>153</v>
      </c>
      <c r="D128" s="24">
        <v>824</v>
      </c>
      <c r="E128" s="27">
        <v>0.87901334951456311</v>
      </c>
      <c r="F128" s="28">
        <v>39.299999999999997</v>
      </c>
      <c r="G128" s="26">
        <v>1.45</v>
      </c>
      <c r="H128" s="13" t="s">
        <v>5</v>
      </c>
      <c r="I128" s="26">
        <v>0.48899999999999999</v>
      </c>
      <c r="J128" s="7"/>
      <c r="K128" s="37">
        <v>1.11352235969781E-5</v>
      </c>
      <c r="L128" s="24">
        <v>3515</v>
      </c>
      <c r="M128" s="18">
        <v>1.4324304762790159</v>
      </c>
      <c r="N128" s="13" t="s">
        <v>5</v>
      </c>
      <c r="O128" s="54">
        <f>EXP(    ($B$1+$B$2*LN(C128) + $B$3*LN(C128)^2)   *   ($B$4+$B$5*LN(F128) +$B$6*LN(F128)^2)    *  ($B$7+$B$8*LN(D128) +$B$9*LN(D128)^2)    *  ($B$10+$B$11*LN(E128) +$B$12*LN(E128)^2)   *  ($B$13+$B$14*LN(B128) +$B$15*LN(B128)^2)   )</f>
        <v>0.47695186555995506</v>
      </c>
      <c r="P128" s="53">
        <f>ABS((I128-O128)/O128)</f>
        <v>2.5260692556260535E-2</v>
      </c>
    </row>
    <row r="129" spans="1:16" ht="15.75" x14ac:dyDescent="0.3">
      <c r="A129" s="4" t="s">
        <v>15</v>
      </c>
      <c r="B129" s="14">
        <v>4271</v>
      </c>
      <c r="C129" s="30">
        <v>129</v>
      </c>
      <c r="D129" s="20">
        <v>1992</v>
      </c>
      <c r="E129" s="19">
        <v>0.84911701807228912</v>
      </c>
      <c r="F129" s="13">
        <v>46.91</v>
      </c>
      <c r="G129" s="31">
        <v>1.9789000000000001</v>
      </c>
      <c r="H129" s="13" t="s">
        <v>5</v>
      </c>
      <c r="I129" s="32">
        <v>0.504</v>
      </c>
      <c r="J129" s="32"/>
      <c r="K129" s="6">
        <v>2.2232000608155799E-5</v>
      </c>
      <c r="L129" s="14">
        <v>4215</v>
      </c>
      <c r="M129" s="31" t="s">
        <v>5</v>
      </c>
      <c r="N129" s="13" t="s">
        <v>5</v>
      </c>
      <c r="O129" s="54">
        <f>EXP(    ($B$1+$B$2*LN(C129) + $B$3*LN(C129)^2)   *   ($B$4+$B$5*LN(F129) +$B$6*LN(F129)^2)    *  ($B$7+$B$8*LN(D129) +$B$9*LN(D129)^2)    *  ($B$10+$B$11*LN(E129) +$B$12*LN(E129)^2)   *  ($B$13+$B$14*LN(B129) +$B$15*LN(B129)^2)   )</f>
        <v>0.24321882845438497</v>
      </c>
      <c r="P129" s="53">
        <f>ABS((I129-O129)/O129)</f>
        <v>1.0722079914735048</v>
      </c>
    </row>
    <row r="130" spans="1:16" ht="15.75" x14ac:dyDescent="0.3">
      <c r="A130" s="3" t="s">
        <v>14</v>
      </c>
      <c r="B130" s="24">
        <v>2551</v>
      </c>
      <c r="C130" s="5">
        <v>151</v>
      </c>
      <c r="D130" s="24">
        <v>828</v>
      </c>
      <c r="E130" s="26">
        <v>0.89849999999999997</v>
      </c>
      <c r="F130" s="28">
        <v>40.700000000000003</v>
      </c>
      <c r="G130" s="26">
        <v>1.427</v>
      </c>
      <c r="H130" s="13" t="s">
        <v>5</v>
      </c>
      <c r="I130" s="26">
        <v>0.51100000000000001</v>
      </c>
      <c r="J130" s="7"/>
      <c r="K130" s="37">
        <v>1.1764543174783324E-5</v>
      </c>
      <c r="L130" s="24">
        <v>3410</v>
      </c>
      <c r="M130" s="18">
        <v>1.411303</v>
      </c>
      <c r="N130" s="13" t="s">
        <v>5</v>
      </c>
      <c r="O130" s="54">
        <f>EXP(    ($B$1+$B$2*LN(C130) + $B$3*LN(C130)^2)   *   ($B$4+$B$5*LN(F130) +$B$6*LN(F130)^2)    *  ($B$7+$B$8*LN(D130) +$B$9*LN(D130)^2)    *  ($B$10+$B$11*LN(E130) +$B$12*LN(E130)^2)   *  ($B$13+$B$14*LN(B130) +$B$15*LN(B130)^2)   )</f>
        <v>0.46857068976595062</v>
      </c>
      <c r="P130" s="53">
        <f>ABS((I130-O130)/O130)</f>
        <v>9.0550499979507204E-2</v>
      </c>
    </row>
    <row r="131" spans="1:16" ht="15.75" x14ac:dyDescent="0.3">
      <c r="A131" s="3" t="s">
        <v>14</v>
      </c>
      <c r="B131" s="24">
        <v>2765</v>
      </c>
      <c r="C131" s="5">
        <v>175</v>
      </c>
      <c r="D131" s="24">
        <v>893.50580230451294</v>
      </c>
      <c r="E131" s="26">
        <v>0.91801860641097199</v>
      </c>
      <c r="F131" s="29">
        <v>39.619999999999997</v>
      </c>
      <c r="G131" s="26">
        <v>1.5156247720052562</v>
      </c>
      <c r="H131" s="13" t="s">
        <v>5</v>
      </c>
      <c r="I131" s="26">
        <v>0.51300000000000001</v>
      </c>
      <c r="J131" s="7"/>
      <c r="K131" s="37">
        <v>1.5213107546419976E-5</v>
      </c>
      <c r="L131" s="24">
        <v>3360</v>
      </c>
      <c r="M131" s="18">
        <v>1.5010495080908535</v>
      </c>
      <c r="N131" s="13" t="s">
        <v>5</v>
      </c>
      <c r="O131" s="54">
        <f>EXP(    ($B$1+$B$2*LN(C131) + $B$3*LN(C131)^2)   *   ($B$4+$B$5*LN(F131) +$B$6*LN(F131)^2)    *  ($B$7+$B$8*LN(D131) +$B$9*LN(D131)^2)    *  ($B$10+$B$11*LN(E131) +$B$12*LN(E131)^2)   *  ($B$13+$B$14*LN(B131) +$B$15*LN(B131)^2)   )</f>
        <v>0.41987024995562267</v>
      </c>
      <c r="P131" s="53">
        <f>ABS((I131-O131)/O131)</f>
        <v>0.22180602234671426</v>
      </c>
    </row>
    <row r="132" spans="1:16" ht="15.75" x14ac:dyDescent="0.3">
      <c r="A132" s="3" t="s">
        <v>14</v>
      </c>
      <c r="B132" s="24">
        <v>2814.6959999999999</v>
      </c>
      <c r="C132" s="5">
        <v>159</v>
      </c>
      <c r="D132" s="25">
        <v>872</v>
      </c>
      <c r="E132" s="27">
        <f>(811*0.799+61*1.333)/(872)</f>
        <v>0.83635550458715602</v>
      </c>
      <c r="F132" s="29">
        <v>42.44</v>
      </c>
      <c r="G132" s="26">
        <v>1.4717</v>
      </c>
      <c r="H132" s="13" t="s">
        <v>5</v>
      </c>
      <c r="I132" s="26">
        <v>0.52</v>
      </c>
      <c r="J132" s="7"/>
      <c r="K132" s="37">
        <v>1.2483066538382099E-5</v>
      </c>
      <c r="L132" s="24">
        <v>4264.6959999999999</v>
      </c>
      <c r="M132" s="18">
        <v>1.4417672892184066</v>
      </c>
      <c r="N132" s="13" t="s">
        <v>5</v>
      </c>
      <c r="O132" s="54">
        <f>EXP(    ($B$1+$B$2*LN(C132) + $B$3*LN(C132)^2)   *   ($B$4+$B$5*LN(F132) +$B$6*LN(F132)^2)    *  ($B$7+$B$8*LN(D132) +$B$9*LN(D132)^2)    *  ($B$10+$B$11*LN(E132) +$B$12*LN(E132)^2)   *  ($B$13+$B$14*LN(B132) +$B$15*LN(B132)^2)   )</f>
        <v>0.44106426866103043</v>
      </c>
      <c r="P132" s="53">
        <f>ABS((I132-O132)/O132)</f>
        <v>0.17896650657873578</v>
      </c>
    </row>
    <row r="133" spans="1:16" ht="15.75" x14ac:dyDescent="0.3">
      <c r="A133" s="3" t="s">
        <v>14</v>
      </c>
      <c r="B133" s="24">
        <v>2665</v>
      </c>
      <c r="C133" s="5">
        <v>180</v>
      </c>
      <c r="D133" s="24">
        <v>878.71586985293175</v>
      </c>
      <c r="E133" s="26">
        <v>0.91390951743438698</v>
      </c>
      <c r="F133" s="29">
        <v>40.200000000000003</v>
      </c>
      <c r="G133" s="26">
        <v>1.5162559439861154</v>
      </c>
      <c r="H133" s="13" t="s">
        <v>5</v>
      </c>
      <c r="I133" s="26">
        <v>0.52621000000000007</v>
      </c>
      <c r="J133" s="7"/>
      <c r="K133" s="37">
        <v>1.2270322886207972E-5</v>
      </c>
      <c r="L133" s="24">
        <v>4845</v>
      </c>
      <c r="M133" s="18">
        <v>1.4687980739335071</v>
      </c>
      <c r="N133" s="13" t="s">
        <v>5</v>
      </c>
      <c r="O133" s="54">
        <f>EXP(    ($B$1+$B$2*LN(C133) + $B$3*LN(C133)^2)   *   ($B$4+$B$5*LN(F133) +$B$6*LN(F133)^2)    *  ($B$7+$B$8*LN(D133) +$B$9*LN(D133)^2)    *  ($B$10+$B$11*LN(E133) +$B$12*LN(E133)^2)   *  ($B$13+$B$14*LN(B133) +$B$15*LN(B133)^2)   )</f>
        <v>0.41599919058171525</v>
      </c>
      <c r="P133" s="53">
        <f>ABS((I133-O133)/O133)</f>
        <v>0.26493034581190122</v>
      </c>
    </row>
    <row r="134" spans="1:16" ht="15.75" x14ac:dyDescent="0.3">
      <c r="A134" s="3" t="s">
        <v>14</v>
      </c>
      <c r="B134" s="24">
        <v>2665</v>
      </c>
      <c r="C134" s="5">
        <v>190</v>
      </c>
      <c r="D134" s="24">
        <v>875.9778633928637</v>
      </c>
      <c r="E134" s="26">
        <v>0.89860640942942094</v>
      </c>
      <c r="F134" s="29">
        <v>42.1</v>
      </c>
      <c r="G134" s="26">
        <v>1.5273526321529347</v>
      </c>
      <c r="H134" s="13" t="s">
        <v>5</v>
      </c>
      <c r="I134" s="26">
        <v>0.53227000000000002</v>
      </c>
      <c r="J134" s="7"/>
      <c r="K134" s="37">
        <v>1.2567876612644101E-5</v>
      </c>
      <c r="L134" s="24">
        <v>4915</v>
      </c>
      <c r="M134" s="18">
        <v>1.4758874998425713</v>
      </c>
      <c r="N134" s="13" t="s">
        <v>5</v>
      </c>
      <c r="O134" s="54">
        <f>EXP(    ($B$1+$B$2*LN(C134) + $B$3*LN(C134)^2)   *   ($B$4+$B$5*LN(F134) +$B$6*LN(F134)^2)    *  ($B$7+$B$8*LN(D134) +$B$9*LN(D134)^2)    *  ($B$10+$B$11*LN(E134) +$B$12*LN(E134)^2)   *  ($B$13+$B$14*LN(B134) +$B$15*LN(B134)^2)   )</f>
        <v>0.39655948298274546</v>
      </c>
      <c r="P134" s="53">
        <f>ABS((I134-O134)/O134)</f>
        <v>0.34221982537524998</v>
      </c>
    </row>
    <row r="135" spans="1:16" ht="15.75" x14ac:dyDescent="0.3">
      <c r="A135" s="3" t="s">
        <v>14</v>
      </c>
      <c r="B135" s="24">
        <v>3215</v>
      </c>
      <c r="C135" s="5">
        <v>155</v>
      </c>
      <c r="D135" s="24">
        <v>1255.9824334889472</v>
      </c>
      <c r="E135" s="26">
        <v>0.90748600249209299</v>
      </c>
      <c r="F135" s="29">
        <v>40.6</v>
      </c>
      <c r="G135" s="26">
        <v>1.6861166770295233</v>
      </c>
      <c r="H135" s="13" t="s">
        <v>5</v>
      </c>
      <c r="I135" s="26">
        <v>0.54239999999999999</v>
      </c>
      <c r="J135" s="7"/>
      <c r="K135" s="37">
        <v>1.3013815190895385E-5</v>
      </c>
      <c r="L135" s="24">
        <v>5265</v>
      </c>
      <c r="M135" s="18">
        <v>1.6328121426723283</v>
      </c>
      <c r="N135" s="13" t="s">
        <v>5</v>
      </c>
      <c r="O135" s="54">
        <f>EXP(    ($B$1+$B$2*LN(C135) + $B$3*LN(C135)^2)   *   ($B$4+$B$5*LN(F135) +$B$6*LN(F135)^2)    *  ($B$7+$B$8*LN(D135) +$B$9*LN(D135)^2)    *  ($B$10+$B$11*LN(E135) +$B$12*LN(E135)^2)   *  ($B$13+$B$14*LN(B135) +$B$15*LN(B135)^2)   )</f>
        <v>0.34057612278701532</v>
      </c>
      <c r="P135" s="53">
        <f>ABS((I135-O135)/O135)</f>
        <v>0.59259549836145864</v>
      </c>
    </row>
    <row r="136" spans="1:16" ht="15.75" x14ac:dyDescent="0.3">
      <c r="A136" s="3" t="s">
        <v>14</v>
      </c>
      <c r="B136" s="24">
        <v>2327</v>
      </c>
      <c r="C136" s="5">
        <v>158</v>
      </c>
      <c r="D136" s="24">
        <v>734</v>
      </c>
      <c r="E136" s="27">
        <v>0.8943024523160763</v>
      </c>
      <c r="F136" s="28">
        <v>41.7</v>
      </c>
      <c r="G136" s="26">
        <v>1.4</v>
      </c>
      <c r="H136" s="13" t="s">
        <v>5</v>
      </c>
      <c r="I136" s="26">
        <v>0.55100000000000005</v>
      </c>
      <c r="J136" s="7"/>
      <c r="K136" s="37">
        <v>8.9183311020334792E-6</v>
      </c>
      <c r="L136" s="24">
        <v>4740</v>
      </c>
      <c r="M136" s="18">
        <v>1.364527444861539</v>
      </c>
      <c r="N136" s="13" t="s">
        <v>5</v>
      </c>
      <c r="O136" s="54">
        <f>EXP(    ($B$1+$B$2*LN(C136) + $B$3*LN(C136)^2)   *   ($B$4+$B$5*LN(F136) +$B$6*LN(F136)^2)    *  ($B$7+$B$8*LN(D136) +$B$9*LN(D136)^2)    *  ($B$10+$B$11*LN(E136) +$B$12*LN(E136)^2)   *  ($B$13+$B$14*LN(B136) +$B$15*LN(B136)^2)   )</f>
        <v>0.50014912427052005</v>
      </c>
      <c r="P136" s="53">
        <f>ABS((I136-O136)/O136)</f>
        <v>0.10167142810386255</v>
      </c>
    </row>
    <row r="137" spans="1:16" ht="15.75" x14ac:dyDescent="0.3">
      <c r="A137" s="3" t="s">
        <v>14</v>
      </c>
      <c r="B137" s="24">
        <v>2865</v>
      </c>
      <c r="C137" s="5">
        <v>152</v>
      </c>
      <c r="D137" s="24">
        <v>1014.8050338327058</v>
      </c>
      <c r="E137" s="26">
        <v>0.88702597887453039</v>
      </c>
      <c r="F137" s="29">
        <v>41.82</v>
      </c>
      <c r="G137" s="26">
        <v>1.5479636439197559</v>
      </c>
      <c r="H137" s="13" t="s">
        <v>5</v>
      </c>
      <c r="I137" s="26">
        <v>0.55300000000000005</v>
      </c>
      <c r="J137" s="7"/>
      <c r="K137" s="37">
        <v>1.21048004780431E-5</v>
      </c>
      <c r="L137" s="24">
        <v>4757</v>
      </c>
      <c r="M137" s="18">
        <v>1.5067920862808049</v>
      </c>
      <c r="N137" s="13" t="s">
        <v>5</v>
      </c>
      <c r="O137" s="54">
        <f>EXP(    ($B$1+$B$2*LN(C137) + $B$3*LN(C137)^2)   *   ($B$4+$B$5*LN(F137) +$B$6*LN(F137)^2)    *  ($B$7+$B$8*LN(D137) +$B$9*LN(D137)^2)    *  ($B$10+$B$11*LN(E137) +$B$12*LN(E137)^2)   *  ($B$13+$B$14*LN(B137) +$B$15*LN(B137)^2)   )</f>
        <v>0.39810642568548127</v>
      </c>
      <c r="P137" s="53">
        <f>ABS((I137-O137)/O137)</f>
        <v>0.38907579561875849</v>
      </c>
    </row>
    <row r="138" spans="1:16" ht="15.75" x14ac:dyDescent="0.3">
      <c r="A138" s="4" t="s">
        <v>15</v>
      </c>
      <c r="B138" s="14">
        <v>2415</v>
      </c>
      <c r="C138" s="30">
        <v>137</v>
      </c>
      <c r="D138" s="20">
        <v>716</v>
      </c>
      <c r="E138" s="19">
        <v>0.8440983240223463</v>
      </c>
      <c r="F138" s="13">
        <v>37.92</v>
      </c>
      <c r="G138" s="31">
        <v>1.3903466158085649</v>
      </c>
      <c r="H138" s="13" t="s">
        <v>5</v>
      </c>
      <c r="I138" s="32">
        <v>0.56000000000000005</v>
      </c>
      <c r="J138" s="32"/>
      <c r="K138" s="6">
        <v>1.4001E-5</v>
      </c>
      <c r="L138" s="14">
        <v>4815</v>
      </c>
      <c r="M138" s="31">
        <v>1.352737733274451</v>
      </c>
      <c r="N138" s="13" t="s">
        <v>5</v>
      </c>
      <c r="O138" s="54">
        <f>EXP(    ($B$1+$B$2*LN(C138) + $B$3*LN(C138)^2)   *   ($B$4+$B$5*LN(F138) +$B$6*LN(F138)^2)    *  ($B$7+$B$8*LN(D138) +$B$9*LN(D138)^2)    *  ($B$10+$B$11*LN(E138) +$B$12*LN(E138)^2)   *  ($B$13+$B$14*LN(B138) +$B$15*LN(B138)^2)   )</f>
        <v>0.55211972320232006</v>
      </c>
      <c r="P138" s="53">
        <f>ABS((I138-O138)/O138)</f>
        <v>1.4272768145238547E-2</v>
      </c>
    </row>
    <row r="139" spans="1:16" ht="15.75" x14ac:dyDescent="0.3">
      <c r="A139" s="4" t="s">
        <v>15</v>
      </c>
      <c r="B139" s="14">
        <v>1265.0250000000001</v>
      </c>
      <c r="C139" s="30">
        <v>157</v>
      </c>
      <c r="D139" s="20">
        <v>338</v>
      </c>
      <c r="E139" s="19">
        <v>0.82463204747774488</v>
      </c>
      <c r="F139" s="13">
        <v>43.65</v>
      </c>
      <c r="G139" s="31">
        <v>1.2838000000000001</v>
      </c>
      <c r="H139" s="13" t="s">
        <v>5</v>
      </c>
      <c r="I139" s="32">
        <v>0.56599999999999995</v>
      </c>
      <c r="J139" s="32"/>
      <c r="K139" s="6">
        <v>1.36184E-5</v>
      </c>
      <c r="L139" s="14">
        <v>3165.0250000000001</v>
      </c>
      <c r="M139" s="31">
        <v>1.2577</v>
      </c>
      <c r="N139" s="13" t="s">
        <v>5</v>
      </c>
      <c r="O139" s="54">
        <f>EXP(    ($B$1+$B$2*LN(C139) + $B$3*LN(C139)^2)   *   ($B$4+$B$5*LN(F139) +$B$6*LN(F139)^2)    *  ($B$7+$B$8*LN(D139) +$B$9*LN(D139)^2)    *  ($B$10+$B$11*LN(E139) +$B$12*LN(E139)^2)   *  ($B$13+$B$14*LN(B139) +$B$15*LN(B139)^2)   )</f>
        <v>0.9075870970970461</v>
      </c>
      <c r="P139" s="53">
        <f>ABS((I139-O139)/O139)</f>
        <v>0.37636839284034146</v>
      </c>
    </row>
    <row r="140" spans="1:16" ht="15.75" x14ac:dyDescent="0.3">
      <c r="A140" s="3" t="s">
        <v>14</v>
      </c>
      <c r="B140" s="24">
        <v>2665</v>
      </c>
      <c r="C140" s="5">
        <v>125</v>
      </c>
      <c r="D140" s="24">
        <v>819.2574068129552</v>
      </c>
      <c r="E140" s="26">
        <v>1.0250941951674821</v>
      </c>
      <c r="F140" s="29">
        <v>37.68</v>
      </c>
      <c r="G140" s="26">
        <v>1.4500573550223188</v>
      </c>
      <c r="H140" s="13" t="s">
        <v>5</v>
      </c>
      <c r="I140" s="26">
        <v>0.56599999999999995</v>
      </c>
      <c r="J140" s="7"/>
      <c r="K140" s="37">
        <v>1.0809348749147172E-5</v>
      </c>
      <c r="L140" s="24">
        <v>3615</v>
      </c>
      <c r="M140" s="18">
        <v>1.4336871668987603</v>
      </c>
      <c r="N140" s="13" t="s">
        <v>5</v>
      </c>
      <c r="O140" s="54">
        <f>EXP(    ($B$1+$B$2*LN(C140) + $B$3*LN(C140)^2)   *   ($B$4+$B$5*LN(F140) +$B$6*LN(F140)^2)    *  ($B$7+$B$8*LN(D140) +$B$9*LN(D140)^2)    *  ($B$10+$B$11*LN(E140) +$B$12*LN(E140)^2)   *  ($B$13+$B$14*LN(B140) +$B$15*LN(B140)^2)   )</f>
        <v>0.49387262703627338</v>
      </c>
      <c r="P140" s="53">
        <f>ABS((I140-O140)/O140)</f>
        <v>0.14604448397264391</v>
      </c>
    </row>
    <row r="141" spans="1:16" ht="15.75" x14ac:dyDescent="0.3">
      <c r="A141" s="4" t="s">
        <v>15</v>
      </c>
      <c r="B141" s="14">
        <v>2115</v>
      </c>
      <c r="C141" s="30">
        <v>142</v>
      </c>
      <c r="D141" s="20">
        <v>564</v>
      </c>
      <c r="E141" s="19">
        <v>0.92616719858156027</v>
      </c>
      <c r="F141" s="13">
        <v>38.86</v>
      </c>
      <c r="G141" s="31">
        <v>1.3082</v>
      </c>
      <c r="H141" s="33" t="s">
        <v>5</v>
      </c>
      <c r="I141" s="32">
        <v>0.59299999999999997</v>
      </c>
      <c r="J141" s="32"/>
      <c r="K141" s="6">
        <v>1.2208800000000001E-5</v>
      </c>
      <c r="L141" s="14">
        <v>5968</v>
      </c>
      <c r="M141" s="31">
        <v>1.2613000000000001</v>
      </c>
      <c r="N141" s="13" t="s">
        <v>5</v>
      </c>
      <c r="O141" s="54">
        <f>EXP(    ($B$1+$B$2*LN(C141) + $B$3*LN(C141)^2)   *   ($B$4+$B$5*LN(F141) +$B$6*LN(F141)^2)    *  ($B$7+$B$8*LN(D141) +$B$9*LN(D141)^2)    *  ($B$10+$B$11*LN(E141) +$B$12*LN(E141)^2)   *  ($B$13+$B$14*LN(B141) +$B$15*LN(B141)^2)   )</f>
        <v>0.63525884350829687</v>
      </c>
      <c r="P141" s="53">
        <f>ABS((I141-O141)/O141)</f>
        <v>6.6522243554953314E-2</v>
      </c>
    </row>
    <row r="142" spans="1:16" ht="15.75" x14ac:dyDescent="0.3">
      <c r="A142" s="3" t="s">
        <v>14</v>
      </c>
      <c r="B142" s="24">
        <v>2364.6959999999999</v>
      </c>
      <c r="C142" s="5">
        <v>156</v>
      </c>
      <c r="D142" s="25">
        <v>779</v>
      </c>
      <c r="E142" s="27">
        <v>0.83803829145728648</v>
      </c>
      <c r="F142" s="29">
        <v>41.48</v>
      </c>
      <c r="G142" s="26">
        <v>1.4186000000000001</v>
      </c>
      <c r="H142" s="13" t="s">
        <v>5</v>
      </c>
      <c r="I142" s="26">
        <v>0.624</v>
      </c>
      <c r="J142" s="7"/>
      <c r="K142" s="37">
        <v>1.13891928347361E-5</v>
      </c>
      <c r="L142" s="24">
        <v>4087.6959999999999</v>
      </c>
      <c r="M142" s="18">
        <v>1.3859980276738082</v>
      </c>
      <c r="N142" s="13" t="s">
        <v>5</v>
      </c>
      <c r="O142" s="54">
        <f>EXP(    ($B$1+$B$2*LN(C142) + $B$3*LN(C142)^2)   *   ($B$4+$B$5*LN(F142) +$B$6*LN(F142)^2)    *  ($B$7+$B$8*LN(D142) +$B$9*LN(D142)^2)    *  ($B$10+$B$11*LN(E142) +$B$12*LN(E142)^2)   *  ($B$13+$B$14*LN(B142) +$B$15*LN(B142)^2)   )</f>
        <v>0.48547140975766129</v>
      </c>
      <c r="P142" s="53">
        <f>ABS((I142-O142)/O142)</f>
        <v>0.28534860644314713</v>
      </c>
    </row>
    <row r="143" spans="1:16" ht="15.75" x14ac:dyDescent="0.3">
      <c r="A143" s="3" t="s">
        <v>14</v>
      </c>
      <c r="B143" s="24">
        <v>2265</v>
      </c>
      <c r="C143" s="5">
        <v>165</v>
      </c>
      <c r="D143" s="24">
        <v>656</v>
      </c>
      <c r="E143" s="27">
        <v>0.92645137195121963</v>
      </c>
      <c r="F143" s="29">
        <v>37.130000000000003</v>
      </c>
      <c r="G143" s="26">
        <v>1.3793</v>
      </c>
      <c r="H143" s="13" t="s">
        <v>5</v>
      </c>
      <c r="I143" s="38">
        <v>0.74</v>
      </c>
      <c r="J143" s="7"/>
      <c r="K143" s="37">
        <v>1.0779500000000001E-5</v>
      </c>
      <c r="L143" s="24">
        <v>4015</v>
      </c>
      <c r="M143" s="18">
        <v>1.3487071260000001</v>
      </c>
      <c r="N143" s="13" t="s">
        <v>5</v>
      </c>
      <c r="O143" s="54">
        <f>EXP(    ($B$1+$B$2*LN(C143) + $B$3*LN(C143)^2)   *   ($B$4+$B$5*LN(F143) +$B$6*LN(F143)^2)    *  ($B$7+$B$8*LN(D143) +$B$9*LN(D143)^2)    *  ($B$10+$B$11*LN(E143) +$B$12*LN(E143)^2)   *  ($B$13+$B$14*LN(B143) +$B$15*LN(B143)^2)   )</f>
        <v>0.55716931743611131</v>
      </c>
      <c r="P143" s="53">
        <f>ABS((I143-O143)/O143)</f>
        <v>0.32814205097511179</v>
      </c>
    </row>
    <row r="144" spans="1:16" ht="15.75" x14ac:dyDescent="0.3">
      <c r="A144" s="3" t="s">
        <v>14</v>
      </c>
      <c r="B144" s="24">
        <v>1614.9959999999999</v>
      </c>
      <c r="C144" s="5">
        <v>165</v>
      </c>
      <c r="D144" s="25">
        <v>441</v>
      </c>
      <c r="E144" s="27">
        <v>0.9594061224489796</v>
      </c>
      <c r="F144" s="29">
        <v>37.9</v>
      </c>
      <c r="G144" s="26">
        <v>1.2822</v>
      </c>
      <c r="H144" s="13" t="s">
        <v>5</v>
      </c>
      <c r="I144" s="26">
        <v>0.91500000000000004</v>
      </c>
      <c r="J144" s="7"/>
      <c r="K144" s="37">
        <v>8.8419999999999994E-6</v>
      </c>
      <c r="L144" s="24">
        <v>3964.9960000000001</v>
      </c>
      <c r="M144" s="18">
        <v>1.2518759700000002</v>
      </c>
      <c r="N144" s="13" t="s">
        <v>5</v>
      </c>
      <c r="O144" s="54">
        <f>EXP(    ($B$1+$B$2*LN(C144) + $B$3*LN(C144)^2)   *   ($B$4+$B$5*LN(F144) +$B$6*LN(F144)^2)    *  ($B$7+$B$8*LN(D144) +$B$9*LN(D144)^2)    *  ($B$10+$B$11*LN(E144) +$B$12*LN(E144)^2)   *  ($B$13+$B$14*LN(B144) +$B$15*LN(B144)^2)   )</f>
        <v>0.74152459294613438</v>
      </c>
      <c r="P144" s="53">
        <f>ABS((I144-O144)/O144)</f>
        <v>0.23394423961669902</v>
      </c>
    </row>
    <row r="145" spans="1:16" ht="15.75" x14ac:dyDescent="0.3">
      <c r="A145" s="3" t="s">
        <v>14</v>
      </c>
      <c r="B145" s="24">
        <v>1714.9959999999999</v>
      </c>
      <c r="C145" s="5">
        <v>170</v>
      </c>
      <c r="D145" s="25">
        <v>461</v>
      </c>
      <c r="E145" s="27">
        <v>0.98686008676789583</v>
      </c>
      <c r="F145" s="29">
        <v>38.33</v>
      </c>
      <c r="G145" s="26">
        <v>1.2956000000000001</v>
      </c>
      <c r="H145" s="13" t="s">
        <v>5</v>
      </c>
      <c r="I145" s="26">
        <v>0.98399999999999999</v>
      </c>
      <c r="J145" s="7"/>
      <c r="K145" s="37">
        <v>8.3399999999999998E-6</v>
      </c>
      <c r="L145" s="24">
        <v>4814.9960000000001</v>
      </c>
      <c r="M145" s="18">
        <v>1.2562137600000001</v>
      </c>
      <c r="N145" s="13" t="s">
        <v>5</v>
      </c>
      <c r="O145" s="54">
        <f>EXP(    ($B$1+$B$2*LN(C145) + $B$3*LN(C145)^2)   *   ($B$4+$B$5*LN(F145) +$B$6*LN(F145)^2)    *  ($B$7+$B$8*LN(D145) +$B$9*LN(D145)^2)    *  ($B$10+$B$11*LN(E145) +$B$12*LN(E145)^2)   *  ($B$13+$B$14*LN(B145) +$B$15*LN(B145)^2)   )</f>
        <v>0.70935605083588005</v>
      </c>
      <c r="P145" s="53">
        <f>ABS((I145-O145)/O145)</f>
        <v>0.38717361872149991</v>
      </c>
    </row>
    <row r="146" spans="1:16" ht="15.75" x14ac:dyDescent="0.3">
      <c r="A146" s="3" t="s">
        <v>14</v>
      </c>
      <c r="B146" s="24">
        <v>1614.9959999999999</v>
      </c>
      <c r="C146" s="5">
        <v>175</v>
      </c>
      <c r="D146" s="25">
        <v>440</v>
      </c>
      <c r="E146" s="27">
        <v>0.97651249999999989</v>
      </c>
      <c r="F146" s="29">
        <v>37.82</v>
      </c>
      <c r="G146" s="26">
        <v>1.2887999999999999</v>
      </c>
      <c r="H146" s="13" t="s">
        <v>5</v>
      </c>
      <c r="I146" s="27">
        <v>1.107</v>
      </c>
      <c r="J146" s="7"/>
      <c r="K146" s="37">
        <v>7.8406999999999993E-6</v>
      </c>
      <c r="L146" s="24">
        <v>5514.9960000000001</v>
      </c>
      <c r="M146" s="18">
        <v>1.2410628480000001</v>
      </c>
      <c r="N146" s="13" t="s">
        <v>5</v>
      </c>
      <c r="O146" s="54">
        <f>EXP(    ($B$1+$B$2*LN(C146) + $B$3*LN(C146)^2)   *   ($B$4+$B$5*LN(F146) +$B$6*LN(F146)^2)    *  ($B$7+$B$8*LN(D146) +$B$9*LN(D146)^2)    *  ($B$10+$B$11*LN(E146) +$B$12*LN(E146)^2)   *  ($B$13+$B$14*LN(B146) +$B$15*LN(B146)^2)   )</f>
        <v>0.73435271000809277</v>
      </c>
      <c r="P146" s="53">
        <f>ABS((I146-O146)/O146)</f>
        <v>0.50745000993841305</v>
      </c>
    </row>
    <row r="147" spans="1:16" ht="15.75" x14ac:dyDescent="0.3">
      <c r="A147" s="4" t="s">
        <v>15</v>
      </c>
      <c r="B147" s="14">
        <v>325.02499999999998</v>
      </c>
      <c r="C147" s="30">
        <v>90</v>
      </c>
      <c r="D147" s="20">
        <v>224</v>
      </c>
      <c r="E147" s="19">
        <v>1.2951339285714287</v>
      </c>
      <c r="F147" s="13">
        <v>42.1</v>
      </c>
      <c r="G147" s="31">
        <v>1.1680999999999999</v>
      </c>
      <c r="H147" s="13" t="s">
        <v>5</v>
      </c>
      <c r="I147" s="32">
        <v>1.1719999999999999</v>
      </c>
      <c r="J147" s="32"/>
      <c r="K147" s="6">
        <v>1.03558E-5</v>
      </c>
      <c r="L147" s="14">
        <v>1297.0250000000001</v>
      </c>
      <c r="M147" s="31">
        <v>1.156944645</v>
      </c>
      <c r="N147" s="13" t="s">
        <v>5</v>
      </c>
      <c r="O147" s="54">
        <f>EXP(    ($B$1+$B$2*LN(C147) + $B$3*LN(C147)^2)   *   ($B$4+$B$5*LN(F147) +$B$6*LN(F147)^2)    *  ($B$7+$B$8*LN(D147) +$B$9*LN(D147)^2)    *  ($B$10+$B$11*LN(E147) +$B$12*LN(E147)^2)   *  ($B$13+$B$14*LN(B147) +$B$15*LN(B147)^2)   )</f>
        <v>1.3055929813041502</v>
      </c>
      <c r="P147" s="53">
        <f>ABS((I147-O147)/O147)</f>
        <v>0.10232360560846838</v>
      </c>
    </row>
    <row r="148" spans="1:16" ht="15.75" x14ac:dyDescent="0.3">
      <c r="A148" s="4"/>
      <c r="B148" s="14"/>
      <c r="C148" s="30"/>
      <c r="D148" s="20"/>
      <c r="E148" s="19"/>
      <c r="F148" s="13"/>
      <c r="G148" s="31"/>
      <c r="H148" s="33"/>
      <c r="I148" s="31"/>
      <c r="J148" s="31"/>
      <c r="K148" s="6"/>
      <c r="L148" s="14"/>
      <c r="M148" s="31"/>
      <c r="N148" s="13"/>
      <c r="O148" s="54"/>
    </row>
    <row r="149" spans="1:16" ht="15.75" x14ac:dyDescent="0.3">
      <c r="A149" s="4"/>
      <c r="B149" s="14"/>
      <c r="C149" s="30"/>
      <c r="D149" s="20"/>
      <c r="E149" s="19"/>
      <c r="F149" s="13"/>
      <c r="G149" s="31"/>
      <c r="H149" s="34"/>
      <c r="I149" s="31"/>
      <c r="J149" s="31"/>
      <c r="K149" s="23"/>
      <c r="L149" s="14"/>
      <c r="M149" s="31"/>
      <c r="N149" s="34"/>
      <c r="O149" s="54"/>
    </row>
    <row r="150" spans="1:16" ht="15.75" x14ac:dyDescent="0.3">
      <c r="A150" s="4"/>
      <c r="B150" s="14"/>
      <c r="C150" s="30"/>
      <c r="D150" s="20"/>
      <c r="E150" s="19"/>
      <c r="F150" s="13"/>
      <c r="G150" s="31"/>
      <c r="H150" s="33"/>
      <c r="I150" s="32"/>
      <c r="J150" s="32"/>
      <c r="K150" s="6"/>
      <c r="L150" s="14"/>
      <c r="M150" s="31"/>
      <c r="N150" s="13"/>
      <c r="O150" s="54"/>
    </row>
    <row r="151" spans="1:16" ht="15.75" x14ac:dyDescent="0.3">
      <c r="A151" s="4"/>
      <c r="B151" s="14"/>
      <c r="C151" s="30"/>
      <c r="D151" s="20"/>
      <c r="E151" s="19"/>
      <c r="F151" s="13"/>
      <c r="G151" s="31"/>
      <c r="H151" s="34"/>
      <c r="I151" s="32"/>
      <c r="J151" s="32"/>
      <c r="K151" s="23"/>
      <c r="L151" s="14"/>
      <c r="M151" s="31"/>
      <c r="N151" s="34"/>
      <c r="O151" s="54"/>
    </row>
    <row r="152" spans="1:16" ht="15.75" x14ac:dyDescent="0.3">
      <c r="A152" s="4"/>
      <c r="B152" s="14"/>
      <c r="C152" s="30"/>
      <c r="D152" s="20"/>
      <c r="E152" s="19"/>
      <c r="F152" s="13"/>
      <c r="G152" s="31"/>
      <c r="H152" s="34"/>
      <c r="I152" s="32"/>
      <c r="J152" s="32"/>
      <c r="K152" s="23"/>
      <c r="L152" s="14"/>
      <c r="M152" s="31"/>
      <c r="N152" s="34"/>
      <c r="O152" s="54"/>
    </row>
    <row r="153" spans="1:16" ht="15.75" x14ac:dyDescent="0.3">
      <c r="A153" s="4"/>
      <c r="B153" s="14"/>
      <c r="C153" s="30"/>
      <c r="D153" s="20"/>
      <c r="E153" s="19"/>
      <c r="F153" s="13"/>
      <c r="G153" s="31"/>
      <c r="H153" s="34"/>
      <c r="I153" s="32"/>
      <c r="J153" s="32"/>
      <c r="K153" s="23"/>
      <c r="L153" s="14"/>
      <c r="M153" s="31"/>
      <c r="N153" s="34"/>
      <c r="O153" s="54"/>
    </row>
    <row r="154" spans="1:16" ht="15.75" x14ac:dyDescent="0.3">
      <c r="A154" s="4"/>
      <c r="B154" s="14"/>
      <c r="C154" s="30"/>
      <c r="D154" s="20"/>
      <c r="E154" s="19"/>
      <c r="F154" s="13"/>
      <c r="G154" s="31"/>
      <c r="H154" s="34"/>
      <c r="I154" s="32"/>
      <c r="J154" s="32"/>
      <c r="K154" s="23"/>
      <c r="L154" s="14"/>
      <c r="M154" s="31"/>
      <c r="N154" s="34"/>
      <c r="O154" s="54"/>
    </row>
    <row r="155" spans="1:16" ht="15.75" x14ac:dyDescent="0.3">
      <c r="A155" s="4"/>
      <c r="B155" s="14"/>
      <c r="C155" s="30"/>
      <c r="D155" s="20"/>
      <c r="E155" s="19"/>
      <c r="F155" s="13"/>
      <c r="G155" s="31"/>
      <c r="H155" s="34"/>
      <c r="I155" s="32"/>
      <c r="J155" s="32"/>
      <c r="K155" s="23"/>
      <c r="L155" s="14"/>
      <c r="M155" s="31"/>
      <c r="N155" s="34"/>
      <c r="O155" s="54"/>
    </row>
    <row r="156" spans="1:16" ht="15.75" x14ac:dyDescent="0.3">
      <c r="A156" s="4"/>
      <c r="B156" s="14"/>
      <c r="C156" s="30"/>
      <c r="D156" s="20"/>
      <c r="E156" s="19"/>
      <c r="F156" s="13"/>
      <c r="G156" s="31"/>
      <c r="H156" s="34"/>
      <c r="I156" s="32"/>
      <c r="J156" s="32"/>
      <c r="K156" s="23"/>
      <c r="L156" s="14"/>
      <c r="M156" s="31"/>
      <c r="N156" s="34"/>
      <c r="O156" s="54"/>
    </row>
    <row r="157" spans="1:16" ht="15.75" x14ac:dyDescent="0.3">
      <c r="A157" s="4"/>
      <c r="B157" s="14"/>
      <c r="C157" s="30"/>
      <c r="D157" s="20"/>
      <c r="E157" s="19"/>
      <c r="F157" s="13"/>
      <c r="G157" s="31"/>
      <c r="H157" s="34"/>
      <c r="I157" s="32"/>
      <c r="J157" s="32"/>
      <c r="K157" s="23"/>
      <c r="L157" s="14"/>
      <c r="M157" s="31"/>
      <c r="N157" s="34"/>
      <c r="O157" s="54"/>
    </row>
    <row r="158" spans="1:16" ht="15.75" x14ac:dyDescent="0.3">
      <c r="A158" s="4"/>
      <c r="B158" s="14"/>
      <c r="C158" s="30"/>
      <c r="D158" s="20"/>
      <c r="E158" s="19"/>
      <c r="F158" s="13"/>
      <c r="G158" s="31"/>
      <c r="H158" s="34"/>
      <c r="I158" s="32"/>
      <c r="J158" s="32"/>
      <c r="K158" s="23"/>
      <c r="L158" s="14"/>
      <c r="M158" s="31"/>
      <c r="N158" s="34"/>
      <c r="O158" s="54"/>
    </row>
    <row r="159" spans="1:16" ht="15.75" x14ac:dyDescent="0.3">
      <c r="A159" s="4"/>
      <c r="B159" s="14"/>
      <c r="C159" s="30"/>
      <c r="D159" s="20"/>
      <c r="E159" s="19"/>
      <c r="F159" s="13"/>
      <c r="G159" s="31"/>
      <c r="H159" s="34"/>
      <c r="I159" s="32"/>
      <c r="J159" s="32"/>
      <c r="K159" s="23"/>
      <c r="L159" s="14"/>
      <c r="M159" s="31"/>
      <c r="N159" s="34"/>
      <c r="O159" s="54"/>
    </row>
    <row r="160" spans="1:16" ht="15.75" x14ac:dyDescent="0.3">
      <c r="A160" s="4"/>
      <c r="B160" s="14"/>
      <c r="C160" s="30"/>
      <c r="D160" s="20"/>
      <c r="E160" s="19"/>
      <c r="F160" s="13"/>
      <c r="G160" s="31"/>
      <c r="H160" s="34"/>
      <c r="I160" s="32"/>
      <c r="J160" s="32"/>
      <c r="K160" s="23"/>
      <c r="L160" s="14"/>
      <c r="M160" s="31"/>
      <c r="N160" s="34"/>
      <c r="O160" s="54"/>
    </row>
    <row r="161" spans="1:15" ht="15.75" x14ac:dyDescent="0.3">
      <c r="A161" s="4"/>
      <c r="B161" s="14"/>
      <c r="C161" s="30"/>
      <c r="D161" s="20"/>
      <c r="E161" s="19"/>
      <c r="F161" s="13"/>
      <c r="G161" s="31"/>
      <c r="H161" s="34"/>
      <c r="I161" s="32"/>
      <c r="J161" s="32"/>
      <c r="K161" s="23"/>
      <c r="L161" s="14"/>
      <c r="M161" s="31"/>
      <c r="N161" s="34"/>
      <c r="O161" s="54"/>
    </row>
    <row r="162" spans="1:15" ht="15.75" x14ac:dyDescent="0.3">
      <c r="A162" s="4"/>
      <c r="B162" s="14"/>
      <c r="C162" s="30"/>
      <c r="D162" s="20"/>
      <c r="E162" s="19"/>
      <c r="F162" s="13"/>
      <c r="G162" s="31"/>
      <c r="H162" s="34"/>
      <c r="I162" s="32"/>
      <c r="J162" s="32"/>
      <c r="K162" s="23"/>
      <c r="L162" s="14"/>
      <c r="M162" s="31"/>
      <c r="N162" s="34"/>
      <c r="O162" s="54"/>
    </row>
    <row r="163" spans="1:15" ht="15.75" x14ac:dyDescent="0.3">
      <c r="A163" s="4"/>
      <c r="B163" s="14"/>
      <c r="C163" s="30"/>
      <c r="D163" s="20"/>
      <c r="E163" s="19"/>
      <c r="F163" s="13"/>
      <c r="G163" s="31"/>
      <c r="H163" s="34"/>
      <c r="I163" s="32"/>
      <c r="J163" s="32"/>
      <c r="K163" s="23"/>
      <c r="L163" s="14"/>
      <c r="M163" s="31"/>
      <c r="N163" s="34"/>
      <c r="O163" s="54"/>
    </row>
    <row r="164" spans="1:15" ht="15.75" x14ac:dyDescent="0.3">
      <c r="A164" s="4"/>
      <c r="B164" s="14"/>
      <c r="C164" s="30"/>
      <c r="D164" s="20"/>
      <c r="E164" s="19"/>
      <c r="F164" s="13"/>
      <c r="G164" s="31"/>
      <c r="H164" s="31"/>
      <c r="I164" s="32"/>
      <c r="J164" s="32"/>
      <c r="K164" s="6"/>
      <c r="L164" s="31"/>
      <c r="M164" s="31"/>
      <c r="N164" s="13"/>
      <c r="O164" s="54"/>
    </row>
    <row r="165" spans="1:15" ht="15.75" x14ac:dyDescent="0.3">
      <c r="A165" s="4"/>
      <c r="B165" s="14"/>
      <c r="C165" s="30"/>
      <c r="D165" s="20"/>
      <c r="E165" s="19"/>
      <c r="F165" s="13"/>
      <c r="G165" s="31"/>
      <c r="H165" s="34"/>
      <c r="I165" s="32"/>
      <c r="J165" s="32"/>
      <c r="K165" s="23"/>
      <c r="L165" s="14"/>
      <c r="M165" s="31"/>
      <c r="N165" s="34"/>
      <c r="O165" s="54"/>
    </row>
    <row r="166" spans="1:15" ht="15.75" x14ac:dyDescent="0.3">
      <c r="A166" s="4"/>
      <c r="B166" s="14"/>
      <c r="C166" s="30"/>
      <c r="D166" s="20"/>
      <c r="E166" s="19"/>
      <c r="F166" s="13"/>
      <c r="G166" s="31"/>
      <c r="H166" s="34"/>
      <c r="I166" s="32"/>
      <c r="J166" s="32"/>
      <c r="K166" s="23"/>
      <c r="L166" s="14"/>
      <c r="M166" s="31"/>
      <c r="N166" s="34"/>
      <c r="O166" s="54"/>
    </row>
    <row r="167" spans="1:15" ht="15.75" x14ac:dyDescent="0.3">
      <c r="A167" s="4"/>
      <c r="B167" s="14"/>
      <c r="C167" s="30"/>
      <c r="D167" s="20"/>
      <c r="E167" s="19"/>
      <c r="F167" s="13"/>
      <c r="G167" s="31"/>
      <c r="H167" s="34"/>
      <c r="I167" s="32"/>
      <c r="J167" s="32"/>
      <c r="K167" s="23"/>
      <c r="L167" s="14"/>
      <c r="M167" s="31"/>
      <c r="N167" s="34"/>
      <c r="O167" s="54"/>
    </row>
    <row r="168" spans="1:15" ht="15.75" x14ac:dyDescent="0.3">
      <c r="A168" s="4"/>
      <c r="B168" s="14"/>
      <c r="C168" s="30"/>
      <c r="D168" s="20"/>
      <c r="E168" s="19"/>
      <c r="F168" s="13"/>
      <c r="G168" s="31"/>
      <c r="H168" s="34"/>
      <c r="I168" s="32"/>
      <c r="J168" s="32"/>
      <c r="K168" s="23"/>
      <c r="L168" s="14"/>
      <c r="M168" s="31"/>
      <c r="N168" s="34"/>
      <c r="O168" s="54"/>
    </row>
    <row r="169" spans="1:15" ht="15.75" x14ac:dyDescent="0.3">
      <c r="A169" s="4"/>
      <c r="B169" s="14"/>
      <c r="C169" s="30"/>
      <c r="D169" s="20"/>
      <c r="E169" s="19"/>
      <c r="F169" s="13"/>
      <c r="G169" s="31"/>
      <c r="H169" s="34"/>
      <c r="I169" s="32"/>
      <c r="J169" s="32"/>
      <c r="K169" s="23"/>
      <c r="L169" s="14"/>
      <c r="M169" s="31"/>
      <c r="N169" s="34"/>
      <c r="O169" s="54"/>
    </row>
    <row r="170" spans="1:15" ht="15.75" x14ac:dyDescent="0.3">
      <c r="A170" s="4"/>
      <c r="B170" s="14"/>
      <c r="C170" s="30"/>
      <c r="D170" s="20"/>
      <c r="E170" s="19"/>
      <c r="F170" s="13"/>
      <c r="G170" s="31"/>
      <c r="H170" s="34"/>
      <c r="I170" s="32"/>
      <c r="J170" s="32"/>
      <c r="K170" s="23"/>
      <c r="L170" s="14"/>
      <c r="M170" s="31"/>
      <c r="N170" s="34"/>
      <c r="O170" s="54"/>
    </row>
    <row r="171" spans="1:15" ht="15.75" x14ac:dyDescent="0.3">
      <c r="A171" s="4"/>
      <c r="B171" s="14"/>
      <c r="C171" s="30"/>
      <c r="D171" s="20"/>
      <c r="E171" s="19"/>
      <c r="F171" s="13"/>
      <c r="G171" s="31"/>
      <c r="H171" s="34"/>
      <c r="I171" s="32"/>
      <c r="J171" s="32"/>
      <c r="K171" s="23"/>
      <c r="L171" s="14"/>
      <c r="M171" s="31"/>
      <c r="N171" s="34"/>
      <c r="O171" s="54"/>
    </row>
    <row r="172" spans="1:15" ht="15.75" x14ac:dyDescent="0.3">
      <c r="A172" s="4"/>
      <c r="B172" s="5"/>
      <c r="C172" s="5"/>
      <c r="D172" s="20"/>
      <c r="E172" s="19"/>
      <c r="F172" s="17"/>
      <c r="G172" s="31"/>
      <c r="H172" s="5"/>
      <c r="I172" s="32"/>
      <c r="J172" s="32"/>
      <c r="K172" s="23"/>
      <c r="L172" s="5"/>
      <c r="M172" s="31"/>
      <c r="N172" s="5"/>
      <c r="O172" s="54"/>
    </row>
    <row r="173" spans="1:15" ht="15.75" x14ac:dyDescent="0.3">
      <c r="A173" s="4"/>
      <c r="B173" s="5"/>
      <c r="C173" s="5"/>
      <c r="D173" s="20"/>
      <c r="E173" s="19"/>
      <c r="F173" s="17"/>
      <c r="G173" s="31"/>
      <c r="H173" s="5"/>
      <c r="I173" s="32"/>
      <c r="J173" s="32"/>
      <c r="K173" s="23"/>
      <c r="L173" s="5"/>
      <c r="M173" s="31"/>
      <c r="N173" s="5"/>
      <c r="O173" s="54"/>
    </row>
  </sheetData>
  <sortState xmlns:xlrd2="http://schemas.microsoft.com/office/spreadsheetml/2017/richdata2" ref="A20:P173">
    <sortCondition ref="I20:I173"/>
  </sortState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140F-4984-4111-BD8A-985D5A111B00}">
  <sheetPr>
    <tabColor rgb="FFFF0000"/>
  </sheetPr>
  <dimension ref="A1:X173"/>
  <sheetViews>
    <sheetView zoomScale="90" zoomScaleNormal="90" workbookViewId="0">
      <selection activeCell="O20" sqref="O20"/>
    </sheetView>
  </sheetViews>
  <sheetFormatPr defaultRowHeight="15" x14ac:dyDescent="0.25"/>
  <cols>
    <col min="2" max="2" width="14.28515625" bestFit="1" customWidth="1"/>
    <col min="12" max="12" width="8.85546875" bestFit="1" customWidth="1"/>
    <col min="13" max="13" width="11.5703125" bestFit="1" customWidth="1"/>
    <col min="14" max="14" width="14.85546875" bestFit="1" customWidth="1"/>
    <col min="15" max="15" width="25.85546875" style="53" bestFit="1" customWidth="1"/>
    <col min="16" max="16" width="13.28515625" style="53" bestFit="1" customWidth="1"/>
    <col min="17" max="18" width="13.28515625" style="53" customWidth="1"/>
    <col min="21" max="21" width="25.85546875" bestFit="1" customWidth="1"/>
  </cols>
  <sheetData>
    <row r="1" spans="1:24" x14ac:dyDescent="0.25">
      <c r="A1" t="s">
        <v>27</v>
      </c>
      <c r="B1" s="56">
        <v>0.72585460000000002</v>
      </c>
    </row>
    <row r="2" spans="1:24" x14ac:dyDescent="0.25">
      <c r="A2" t="s">
        <v>28</v>
      </c>
      <c r="B2" s="56">
        <v>-4.562008E-2</v>
      </c>
    </row>
    <row r="3" spans="1:24" x14ac:dyDescent="0.25">
      <c r="A3" t="s">
        <v>29</v>
      </c>
      <c r="B3" s="56">
        <v>3.198814</v>
      </c>
      <c r="T3" s="50"/>
      <c r="U3" s="52" t="s">
        <v>49</v>
      </c>
      <c r="V3" s="52" t="s">
        <v>48</v>
      </c>
    </row>
    <row r="4" spans="1:24" x14ac:dyDescent="0.25">
      <c r="A4" t="s">
        <v>30</v>
      </c>
      <c r="B4" s="56">
        <v>-0.39946979999999999</v>
      </c>
      <c r="T4" s="50" t="s">
        <v>47</v>
      </c>
      <c r="U4" s="51">
        <f>(100/COUNT(O20:O173))*SUM(P20:P173)</f>
        <v>3.4340122533548261E+21</v>
      </c>
      <c r="V4" s="51">
        <v>9.2759</v>
      </c>
      <c r="X4">
        <f>V4/U4</f>
        <v>2.7011843044351387E-21</v>
      </c>
    </row>
    <row r="5" spans="1:24" x14ac:dyDescent="0.25">
      <c r="A5" t="s">
        <v>31</v>
      </c>
      <c r="B5" s="56">
        <v>-0.14834149999999999</v>
      </c>
      <c r="N5" t="s">
        <v>44</v>
      </c>
      <c r="O5" s="54">
        <v>100</v>
      </c>
    </row>
    <row r="6" spans="1:24" x14ac:dyDescent="0.25">
      <c r="A6" t="s">
        <v>32</v>
      </c>
      <c r="B6" s="56">
        <v>0.35508529999999999</v>
      </c>
      <c r="N6" t="s">
        <v>45</v>
      </c>
      <c r="O6" s="53">
        <v>100000</v>
      </c>
    </row>
    <row r="7" spans="1:24" x14ac:dyDescent="0.25">
      <c r="A7" t="s">
        <v>33</v>
      </c>
      <c r="B7" s="56">
        <v>2.9144600000000001</v>
      </c>
    </row>
    <row r="8" spans="1:24" x14ac:dyDescent="0.25">
      <c r="A8" t="s">
        <v>34</v>
      </c>
      <c r="B8" s="56">
        <v>0.44022250000000002</v>
      </c>
    </row>
    <row r="9" spans="1:24" x14ac:dyDescent="0.25">
      <c r="A9" t="s">
        <v>35</v>
      </c>
      <c r="B9" s="56">
        <v>-0.17915510000000001</v>
      </c>
    </row>
    <row r="10" spans="1:24" x14ac:dyDescent="0.25">
      <c r="A10" t="s">
        <v>36</v>
      </c>
      <c r="B10" s="56">
        <v>0.6955443</v>
      </c>
    </row>
    <row r="11" spans="1:24" x14ac:dyDescent="0.25">
      <c r="A11" t="s">
        <v>37</v>
      </c>
      <c r="B11" s="56">
        <v>-0.8172007</v>
      </c>
    </row>
    <row r="12" spans="1:24" x14ac:dyDescent="0.25">
      <c r="A12" t="s">
        <v>38</v>
      </c>
      <c r="B12" s="56">
        <v>0.422981</v>
      </c>
    </row>
    <row r="13" spans="1:24" x14ac:dyDescent="0.25">
      <c r="A13" t="s">
        <v>39</v>
      </c>
      <c r="B13" s="56">
        <v>-0.56126310000000001</v>
      </c>
    </row>
    <row r="14" spans="1:24" x14ac:dyDescent="0.25">
      <c r="A14" t="s">
        <v>40</v>
      </c>
      <c r="B14" s="56">
        <v>4.7359039999999998E-2</v>
      </c>
    </row>
    <row r="15" spans="1:24" x14ac:dyDescent="0.25">
      <c r="A15" t="s">
        <v>41</v>
      </c>
      <c r="B15" s="56">
        <v>0.47469899999999998</v>
      </c>
    </row>
    <row r="16" spans="1:24" x14ac:dyDescent="0.25">
      <c r="A16" t="s">
        <v>42</v>
      </c>
      <c r="B16" s="56">
        <v>-0.25150090000000003</v>
      </c>
    </row>
    <row r="18" spans="1:18" ht="15.75" x14ac:dyDescent="0.3">
      <c r="A18" s="3"/>
      <c r="B18" s="1"/>
      <c r="C18" s="1"/>
      <c r="D18" s="1"/>
      <c r="E18" s="1"/>
      <c r="F18" s="2"/>
      <c r="G18" s="1"/>
      <c r="H18" s="1"/>
      <c r="I18" s="1"/>
      <c r="J18" s="1"/>
      <c r="K18" s="1"/>
      <c r="L18" s="1"/>
      <c r="M18" s="1"/>
      <c r="N18" s="1"/>
    </row>
    <row r="19" spans="1:18" ht="126" x14ac:dyDescent="0.3">
      <c r="A19" s="11" t="s">
        <v>17</v>
      </c>
      <c r="B19" s="12" t="s">
        <v>1</v>
      </c>
      <c r="C19" s="12" t="s">
        <v>4</v>
      </c>
      <c r="D19" s="12" t="s">
        <v>7</v>
      </c>
      <c r="E19" s="12" t="s">
        <v>3</v>
      </c>
      <c r="F19" s="15" t="s">
        <v>0</v>
      </c>
      <c r="G19" s="12" t="s">
        <v>11</v>
      </c>
      <c r="H19" s="12" t="s">
        <v>8</v>
      </c>
      <c r="I19" s="12" t="s">
        <v>6</v>
      </c>
      <c r="J19" s="12"/>
      <c r="K19" s="12" t="s">
        <v>12</v>
      </c>
      <c r="L19" s="12" t="s">
        <v>2</v>
      </c>
      <c r="M19" s="12" t="s">
        <v>10</v>
      </c>
      <c r="N19" s="12" t="s">
        <v>9</v>
      </c>
      <c r="O19" s="12" t="s">
        <v>53</v>
      </c>
      <c r="P19" s="12" t="s">
        <v>43</v>
      </c>
      <c r="Q19" s="12" t="s">
        <v>54</v>
      </c>
      <c r="R19" s="12" t="s">
        <v>55</v>
      </c>
    </row>
    <row r="20" spans="1:18" ht="15.75" x14ac:dyDescent="0.3">
      <c r="A20" s="4" t="s">
        <v>15</v>
      </c>
      <c r="B20" s="14">
        <v>3501</v>
      </c>
      <c r="C20" s="30">
        <v>174</v>
      </c>
      <c r="D20" s="20">
        <v>1667.7686823505683</v>
      </c>
      <c r="E20" s="19">
        <v>0.83574909006792664</v>
      </c>
      <c r="F20" s="13">
        <v>46.658961138443573</v>
      </c>
      <c r="G20" s="31">
        <v>1.9055786070768399</v>
      </c>
      <c r="H20" s="13" t="s">
        <v>5</v>
      </c>
      <c r="I20" s="32">
        <v>0.1800575556996</v>
      </c>
      <c r="J20" s="32"/>
      <c r="K20" s="6">
        <v>2.5861872746664799E-5</v>
      </c>
      <c r="L20" s="14">
        <v>8227</v>
      </c>
      <c r="M20" s="31">
        <v>1.75703537278207</v>
      </c>
      <c r="N20" s="13" t="s">
        <v>5</v>
      </c>
      <c r="O20" s="55">
        <f xml:space="preserve"> EXP(Q20/R20)</f>
        <v>4.9013092338290025E-9</v>
      </c>
      <c r="P20" s="53">
        <f>ABS((B20-O20)/O20)</f>
        <v>714298941970.66333</v>
      </c>
      <c r="Q20" s="55">
        <f t="shared" ref="Q20:Q84" si="0">(   ($B$1 + $B$2*LN(C20))  * ($B$3 + $B$4*LN(F20))  * ($B$5 + $B$6*LN(D20))  * ($B$7 + $B$8*LN(E20))  )</f>
        <v>5.7525664742711822</v>
      </c>
      <c r="R20" s="55">
        <f>(   ($B$9 + $B$10*LN(C20))  * ($B$11 + $B$12*LN(F20))  * ($B$13 + $B$14*LN(D20))  * ($B$15 + $B$16*LN(E20))  )</f>
        <v>-0.30065002534413643</v>
      </c>
    </row>
    <row r="21" spans="1:18" ht="15.75" x14ac:dyDescent="0.3">
      <c r="A21" s="4" t="s">
        <v>15</v>
      </c>
      <c r="B21" s="14">
        <v>6415</v>
      </c>
      <c r="C21" s="30">
        <v>159</v>
      </c>
      <c r="D21" s="20">
        <f>(3011*1.0461+39)</f>
        <v>3188.8071</v>
      </c>
      <c r="E21" s="19">
        <f>(3011*1.0461*0.7329+24*1.0283+15*1.3503)/(3011*1.0461+39)</f>
        <v>0.73802749736413975</v>
      </c>
      <c r="F21" s="13">
        <v>42.1</v>
      </c>
      <c r="G21" s="31" t="s">
        <v>5</v>
      </c>
      <c r="H21" s="33" t="s">
        <v>5</v>
      </c>
      <c r="I21" s="31" t="s">
        <v>5</v>
      </c>
      <c r="J21" s="31"/>
      <c r="K21" s="6">
        <v>2.9828500000000001E-5</v>
      </c>
      <c r="L21" s="14">
        <v>5439</v>
      </c>
      <c r="M21" s="31" t="s">
        <v>5</v>
      </c>
      <c r="N21" s="13" t="s">
        <v>5</v>
      </c>
      <c r="O21" s="55">
        <f t="shared" ref="O21:O84" si="1" xml:space="preserve"> EXP(Q21/R21)</f>
        <v>1.1383834830489581E-11</v>
      </c>
      <c r="P21" s="53">
        <f t="shared" ref="P21:P84" si="2">ABS((B21-O21)/O21)</f>
        <v>563518365781146.88</v>
      </c>
      <c r="Q21" s="55">
        <f t="shared" si="0"/>
        <v>6.3688955207761682</v>
      </c>
      <c r="R21" s="55">
        <f t="shared" ref="R21:R84" si="3">(   ($B$9 + $B$10*LN(C21))  * ($B$11 + $B$12*LN(F21))  * ($B$13 + $B$14*LN(D21))  * ($B$15 + $B$16*LN(E21))  )</f>
        <v>-0.25274571631381537</v>
      </c>
    </row>
    <row r="22" spans="1:18" ht="15.75" x14ac:dyDescent="0.3">
      <c r="A22" s="4" t="s">
        <v>15</v>
      </c>
      <c r="B22" s="14">
        <v>3265</v>
      </c>
      <c r="C22" s="30">
        <v>157</v>
      </c>
      <c r="D22" s="20">
        <v>1133.4462691607539</v>
      </c>
      <c r="E22" s="19">
        <v>0.8500077412459377</v>
      </c>
      <c r="F22" s="13">
        <v>44.23</v>
      </c>
      <c r="G22" s="31">
        <v>1.5995999999999999</v>
      </c>
      <c r="H22" s="13" t="s">
        <v>5</v>
      </c>
      <c r="I22" s="32">
        <v>0.30599999999999999</v>
      </c>
      <c r="J22" s="32"/>
      <c r="K22" s="6">
        <v>1.78112E-5</v>
      </c>
      <c r="L22" s="14">
        <v>5690</v>
      </c>
      <c r="M22" s="31">
        <v>1.5450999999999999</v>
      </c>
      <c r="N22" s="13" t="s">
        <v>5</v>
      </c>
      <c r="O22" s="55">
        <f t="shared" si="1"/>
        <v>1.4305456632567277E-8</v>
      </c>
      <c r="P22" s="53">
        <f t="shared" si="2"/>
        <v>228234587951.05606</v>
      </c>
      <c r="Q22" s="55">
        <f t="shared" si="0"/>
        <v>5.5722428322954993</v>
      </c>
      <c r="R22" s="55">
        <f t="shared" si="3"/>
        <v>-0.30849574174026584</v>
      </c>
    </row>
    <row r="23" spans="1:18" ht="15.75" x14ac:dyDescent="0.3">
      <c r="A23" s="4" t="s">
        <v>15</v>
      </c>
      <c r="B23" s="14">
        <v>5575</v>
      </c>
      <c r="C23" s="30">
        <v>190</v>
      </c>
      <c r="D23" s="20">
        <f>(7899*1.0611+41)</f>
        <v>8422.6288999999997</v>
      </c>
      <c r="E23" s="19">
        <f>(7899*1.0611*0.742+23*0.9619+19*1.4441)/(7899*1.0611+41)</f>
        <v>0.74427240214750523</v>
      </c>
      <c r="F23" s="13">
        <v>51.48</v>
      </c>
      <c r="G23" s="31" t="s">
        <v>5</v>
      </c>
      <c r="H23" s="34">
        <v>6.4061909429272449E-4</v>
      </c>
      <c r="I23" s="31" t="s">
        <v>5</v>
      </c>
      <c r="J23" s="31"/>
      <c r="K23" s="23">
        <v>6.183155080213914E-5</v>
      </c>
      <c r="L23" s="14">
        <v>9061</v>
      </c>
      <c r="M23" s="31" t="s">
        <v>5</v>
      </c>
      <c r="N23" s="34">
        <v>5.5599417318106506E-4</v>
      </c>
      <c r="O23" s="55">
        <f t="shared" si="1"/>
        <v>2.7269244830604708E-14</v>
      </c>
      <c r="P23" s="53">
        <f t="shared" si="2"/>
        <v>2.0444277187108198E+17</v>
      </c>
      <c r="Q23" s="55">
        <f t="shared" si="0"/>
        <v>6.7358663214296586</v>
      </c>
      <c r="R23" s="55">
        <f t="shared" si="3"/>
        <v>-0.21566492743851726</v>
      </c>
    </row>
    <row r="24" spans="1:18" ht="15.75" x14ac:dyDescent="0.3">
      <c r="A24" s="4" t="s">
        <v>15</v>
      </c>
      <c r="B24" s="14">
        <v>3415</v>
      </c>
      <c r="C24" s="30">
        <v>153</v>
      </c>
      <c r="D24" s="20">
        <v>1371</v>
      </c>
      <c r="E24" s="19">
        <v>0.84958189781021909</v>
      </c>
      <c r="F24" s="13">
        <v>45.07</v>
      </c>
      <c r="G24" s="31">
        <v>1.7246999999999999</v>
      </c>
      <c r="H24" s="13" t="s">
        <v>5</v>
      </c>
      <c r="I24" s="32">
        <v>0.254</v>
      </c>
      <c r="J24" s="32"/>
      <c r="K24" s="6">
        <v>2.0641000000000001E-5</v>
      </c>
      <c r="L24" s="14">
        <v>5605</v>
      </c>
      <c r="M24" s="31">
        <v>1.6646000000000001</v>
      </c>
      <c r="N24" s="13" t="s">
        <v>5</v>
      </c>
      <c r="O24" s="55">
        <f t="shared" si="1"/>
        <v>4.5449370548240852E-9</v>
      </c>
      <c r="P24" s="53">
        <f t="shared" si="2"/>
        <v>751385543694.3197</v>
      </c>
      <c r="Q24" s="55">
        <f t="shared" si="0"/>
        <v>5.7200774743789777</v>
      </c>
      <c r="R24" s="55">
        <f t="shared" si="3"/>
        <v>-0.29777721103696836</v>
      </c>
    </row>
    <row r="25" spans="1:18" ht="15.75" x14ac:dyDescent="0.3">
      <c r="A25" s="4" t="s">
        <v>15</v>
      </c>
      <c r="B25" s="14">
        <v>2965</v>
      </c>
      <c r="C25" s="30">
        <v>156</v>
      </c>
      <c r="D25" s="20">
        <v>979</v>
      </c>
      <c r="E25" s="19">
        <v>0.84233779366700712</v>
      </c>
      <c r="F25" s="13">
        <v>41.5</v>
      </c>
      <c r="G25" s="31">
        <v>1.5277000000000001</v>
      </c>
      <c r="H25" s="33" t="s">
        <v>5</v>
      </c>
      <c r="I25" s="32">
        <v>0.38600000000000001</v>
      </c>
      <c r="J25" s="32"/>
      <c r="K25" s="6">
        <v>1.84603E-5</v>
      </c>
      <c r="L25" s="14">
        <v>5578</v>
      </c>
      <c r="M25" s="31">
        <v>1.4709000000000001</v>
      </c>
      <c r="N25" s="13" t="s">
        <v>5</v>
      </c>
      <c r="O25" s="55">
        <f t="shared" si="1"/>
        <v>1.6036692126307304E-8</v>
      </c>
      <c r="P25" s="53">
        <f t="shared" si="2"/>
        <v>184888502979.99081</v>
      </c>
      <c r="Q25" s="55">
        <f t="shared" si="0"/>
        <v>5.5266367300609121</v>
      </c>
      <c r="R25" s="55">
        <f t="shared" si="3"/>
        <v>-0.30791830427244338</v>
      </c>
    </row>
    <row r="26" spans="1:18" ht="15.75" x14ac:dyDescent="0.3">
      <c r="A26" s="4" t="s">
        <v>15</v>
      </c>
      <c r="B26" s="14">
        <v>4215</v>
      </c>
      <c r="C26" s="30">
        <v>135</v>
      </c>
      <c r="D26" s="20">
        <f>(1607*1.0505+60)</f>
        <v>1748.1534999999999</v>
      </c>
      <c r="E26" s="19">
        <f>(1607*1.0505*0.7748+19*0.8601+40*1.4479)/(1607*1.0505+60)</f>
        <v>0.79068527552071366</v>
      </c>
      <c r="F26" s="13">
        <v>43.13</v>
      </c>
      <c r="G26" s="31">
        <v>1.3649</v>
      </c>
      <c r="H26" s="33" t="s">
        <v>5</v>
      </c>
      <c r="I26" s="32" t="s">
        <v>5</v>
      </c>
      <c r="J26" s="32"/>
      <c r="K26" s="6">
        <v>2.21206E-5</v>
      </c>
      <c r="L26" s="14">
        <v>4087</v>
      </c>
      <c r="M26" s="31">
        <v>1.3649</v>
      </c>
      <c r="N26" s="13" t="s">
        <v>5</v>
      </c>
      <c r="O26" s="55">
        <f t="shared" si="1"/>
        <v>4.32032059805943E-10</v>
      </c>
      <c r="P26" s="53">
        <f t="shared" si="2"/>
        <v>9756220410801.9922</v>
      </c>
      <c r="Q26" s="55">
        <f t="shared" si="0"/>
        <v>5.9879011841109469</v>
      </c>
      <c r="R26" s="55">
        <f t="shared" si="3"/>
        <v>-0.27769949051057308</v>
      </c>
    </row>
    <row r="27" spans="1:18" ht="15.75" x14ac:dyDescent="0.3">
      <c r="A27" s="4" t="s">
        <v>15</v>
      </c>
      <c r="B27" s="14">
        <v>2915.0250000000001</v>
      </c>
      <c r="C27" s="30">
        <v>132</v>
      </c>
      <c r="D27" s="20">
        <v>977</v>
      </c>
      <c r="E27" s="19">
        <v>0.81936949846468798</v>
      </c>
      <c r="F27" s="13">
        <v>39.19</v>
      </c>
      <c r="G27" s="31">
        <v>1.4986911732675505</v>
      </c>
      <c r="H27" s="33" t="s">
        <v>5</v>
      </c>
      <c r="I27" s="32">
        <v>0.44900000000000001</v>
      </c>
      <c r="J27" s="32"/>
      <c r="K27" s="6">
        <v>1.54185158706069E-5</v>
      </c>
      <c r="L27" s="14">
        <v>3962.0250000000001</v>
      </c>
      <c r="M27" s="31">
        <v>1.4773948236521384</v>
      </c>
      <c r="N27" s="13" t="s">
        <v>5</v>
      </c>
      <c r="O27" s="55">
        <f t="shared" si="1"/>
        <v>3.7304134221280802E-9</v>
      </c>
      <c r="P27" s="53">
        <f t="shared" si="2"/>
        <v>781421432462.39514</v>
      </c>
      <c r="Q27" s="55">
        <f t="shared" si="0"/>
        <v>5.660530322377058</v>
      </c>
      <c r="R27" s="55">
        <f t="shared" si="3"/>
        <v>-0.29167847598377961</v>
      </c>
    </row>
    <row r="28" spans="1:18" ht="15.75" x14ac:dyDescent="0.3">
      <c r="A28" s="4" t="s">
        <v>15</v>
      </c>
      <c r="B28" s="14">
        <v>325.02499999999998</v>
      </c>
      <c r="C28" s="30">
        <v>90</v>
      </c>
      <c r="D28" s="20">
        <v>224</v>
      </c>
      <c r="E28" s="19">
        <v>1.2951339285714287</v>
      </c>
      <c r="F28" s="13">
        <v>42.1</v>
      </c>
      <c r="G28" s="31">
        <v>1.1680999999999999</v>
      </c>
      <c r="H28" s="13" t="s">
        <v>5</v>
      </c>
      <c r="I28" s="32">
        <v>1.1719999999999999</v>
      </c>
      <c r="J28" s="32"/>
      <c r="K28" s="6">
        <v>1.03558E-5</v>
      </c>
      <c r="L28" s="14">
        <v>1297.0250000000001</v>
      </c>
      <c r="M28" s="31">
        <v>1.156944645</v>
      </c>
      <c r="N28" s="13" t="s">
        <v>5</v>
      </c>
      <c r="O28" s="55">
        <f t="shared" si="1"/>
        <v>4.5571048263288148E-8</v>
      </c>
      <c r="P28" s="53">
        <f t="shared" si="2"/>
        <v>7132269551.4175339</v>
      </c>
      <c r="Q28" s="55">
        <f t="shared" si="0"/>
        <v>4.7656313610978787</v>
      </c>
      <c r="R28" s="55">
        <f t="shared" si="3"/>
        <v>-0.28192340689316731</v>
      </c>
    </row>
    <row r="29" spans="1:18" ht="15.75" x14ac:dyDescent="0.3">
      <c r="A29" s="4" t="s">
        <v>15</v>
      </c>
      <c r="B29" s="14">
        <v>2515</v>
      </c>
      <c r="C29" s="30">
        <v>155</v>
      </c>
      <c r="D29" s="20">
        <v>895</v>
      </c>
      <c r="E29" s="19">
        <v>0.86946729910714293</v>
      </c>
      <c r="F29" s="13">
        <v>42.65</v>
      </c>
      <c r="G29" s="31">
        <v>1.4924999999999999</v>
      </c>
      <c r="H29" s="13" t="s">
        <v>5</v>
      </c>
      <c r="I29" s="32">
        <v>0.26800000000000002</v>
      </c>
      <c r="J29" s="32"/>
      <c r="K29" s="6">
        <v>1.72274E-5</v>
      </c>
      <c r="L29" s="14">
        <v>4278</v>
      </c>
      <c r="M29" s="31">
        <v>1.4563999999999999</v>
      </c>
      <c r="N29" s="13" t="s">
        <v>5</v>
      </c>
      <c r="O29" s="55">
        <f t="shared" si="1"/>
        <v>2.7759178982011751E-8</v>
      </c>
      <c r="P29" s="53">
        <f t="shared" si="2"/>
        <v>90600662274.701569</v>
      </c>
      <c r="Q29" s="55">
        <f t="shared" si="0"/>
        <v>5.4450449600436874</v>
      </c>
      <c r="R29" s="55">
        <f t="shared" si="3"/>
        <v>-0.31293902689115982</v>
      </c>
    </row>
    <row r="30" spans="1:18" ht="15.75" x14ac:dyDescent="0.3">
      <c r="A30" s="4" t="s">
        <v>15</v>
      </c>
      <c r="B30" s="14">
        <v>3162</v>
      </c>
      <c r="C30" s="30">
        <v>157</v>
      </c>
      <c r="D30" s="20">
        <v>1179</v>
      </c>
      <c r="E30" s="19">
        <v>0.85150169491525418</v>
      </c>
      <c r="F30" s="13">
        <v>42</v>
      </c>
      <c r="G30" s="31">
        <v>1.6050995510203501</v>
      </c>
      <c r="H30" s="33" t="s">
        <v>5</v>
      </c>
      <c r="I30" s="32">
        <v>0.29599999999999999</v>
      </c>
      <c r="J30" s="32"/>
      <c r="K30" s="23">
        <v>1.794705998628507E-5</v>
      </c>
      <c r="L30" s="14">
        <v>4698</v>
      </c>
      <c r="M30" s="31">
        <v>1.569312227992639</v>
      </c>
      <c r="N30" s="13" t="s">
        <v>5</v>
      </c>
      <c r="O30" s="55">
        <f t="shared" si="1"/>
        <v>5.0818723371859568E-9</v>
      </c>
      <c r="P30" s="53">
        <f t="shared" si="2"/>
        <v>622211616151.27246</v>
      </c>
      <c r="Q30" s="55">
        <f t="shared" si="0"/>
        <v>5.6757233870039476</v>
      </c>
      <c r="R30" s="55">
        <f t="shared" si="3"/>
        <v>-0.29719585319965336</v>
      </c>
    </row>
    <row r="31" spans="1:18" ht="15.75" x14ac:dyDescent="0.3">
      <c r="A31" s="4" t="s">
        <v>15</v>
      </c>
      <c r="B31" s="14">
        <v>2915</v>
      </c>
      <c r="C31" s="30">
        <v>157</v>
      </c>
      <c r="D31" s="20">
        <v>1064</v>
      </c>
      <c r="E31" s="19">
        <v>0.8712595864661653</v>
      </c>
      <c r="F31" s="13">
        <v>42.8</v>
      </c>
      <c r="G31" s="31">
        <v>1.5653999999999999</v>
      </c>
      <c r="H31" s="13" t="s">
        <v>5</v>
      </c>
      <c r="I31" s="32">
        <v>0.309</v>
      </c>
      <c r="J31" s="32"/>
      <c r="K31" s="6">
        <v>1.7852200000000002E-5</v>
      </c>
      <c r="L31" s="14">
        <v>6165</v>
      </c>
      <c r="M31" s="31">
        <v>1.4995000000000001</v>
      </c>
      <c r="N31" s="13" t="s">
        <v>5</v>
      </c>
      <c r="O31" s="55">
        <f t="shared" si="1"/>
        <v>1.0133555260178475E-8</v>
      </c>
      <c r="P31" s="53">
        <f t="shared" si="2"/>
        <v>287658173774.88959</v>
      </c>
      <c r="Q31" s="55">
        <f t="shared" si="0"/>
        <v>5.5832524015409764</v>
      </c>
      <c r="R31" s="55">
        <f t="shared" si="3"/>
        <v>-0.30331542050293214</v>
      </c>
    </row>
    <row r="32" spans="1:18" ht="15.75" x14ac:dyDescent="0.3">
      <c r="A32" s="4" t="s">
        <v>15</v>
      </c>
      <c r="B32" s="14">
        <v>3981</v>
      </c>
      <c r="C32" s="30">
        <v>144</v>
      </c>
      <c r="D32" s="20">
        <v>1827</v>
      </c>
      <c r="E32" s="19">
        <v>0.77204269293924499</v>
      </c>
      <c r="F32" s="13">
        <v>45.6</v>
      </c>
      <c r="G32" s="31">
        <v>1.88574002017762</v>
      </c>
      <c r="H32" s="13" t="s">
        <v>5</v>
      </c>
      <c r="I32" s="32">
        <v>0.184</v>
      </c>
      <c r="J32" s="32"/>
      <c r="K32" s="23">
        <v>3.0246998091170203E-5</v>
      </c>
      <c r="L32" s="14">
        <v>4554</v>
      </c>
      <c r="M32" s="31">
        <v>1.86044577651448</v>
      </c>
      <c r="N32" s="13" t="s">
        <v>5</v>
      </c>
      <c r="O32" s="55">
        <f t="shared" si="1"/>
        <v>1.5601561915494151E-9</v>
      </c>
      <c r="P32" s="53">
        <f t="shared" si="2"/>
        <v>2551667596848.0103</v>
      </c>
      <c r="Q32" s="55">
        <f t="shared" si="0"/>
        <v>5.8893450136072234</v>
      </c>
      <c r="R32" s="55">
        <f t="shared" si="3"/>
        <v>-0.29042339678599616</v>
      </c>
    </row>
    <row r="33" spans="1:18" ht="15.75" x14ac:dyDescent="0.3">
      <c r="A33" s="4" t="s">
        <v>15</v>
      </c>
      <c r="B33" s="14">
        <v>3765.0250000000001</v>
      </c>
      <c r="C33" s="30">
        <v>164</v>
      </c>
      <c r="D33" s="20">
        <v>1633</v>
      </c>
      <c r="E33" s="19">
        <v>0.79283404776485</v>
      </c>
      <c r="F33" s="13">
        <v>47.66</v>
      </c>
      <c r="G33" s="31">
        <v>1.905</v>
      </c>
      <c r="H33" s="13" t="s">
        <v>5</v>
      </c>
      <c r="I33" s="32">
        <v>0.20899999999999999</v>
      </c>
      <c r="J33" s="32"/>
      <c r="K33" s="6">
        <v>2.86722E-5</v>
      </c>
      <c r="L33" s="14">
        <v>7671.0249999999996</v>
      </c>
      <c r="M33" s="31">
        <v>1.7716207204278491</v>
      </c>
      <c r="N33" s="13" t="s">
        <v>5</v>
      </c>
      <c r="O33" s="55">
        <f t="shared" si="1"/>
        <v>1.0317092741419817E-8</v>
      </c>
      <c r="P33" s="53">
        <f t="shared" si="2"/>
        <v>364930808935.57495</v>
      </c>
      <c r="Q33" s="55">
        <f t="shared" si="0"/>
        <v>5.6904800713316419</v>
      </c>
      <c r="R33" s="55">
        <f t="shared" si="3"/>
        <v>-0.30944241358277746</v>
      </c>
    </row>
    <row r="34" spans="1:18" ht="15.75" x14ac:dyDescent="0.3">
      <c r="A34" s="4" t="s">
        <v>15</v>
      </c>
      <c r="B34" s="14">
        <v>4115</v>
      </c>
      <c r="C34" s="30">
        <v>165</v>
      </c>
      <c r="D34" s="20">
        <v>1921.8963562753036</v>
      </c>
      <c r="E34" s="19">
        <v>0.80648070107880954</v>
      </c>
      <c r="F34" s="13">
        <v>44.5</v>
      </c>
      <c r="G34" s="31">
        <v>2.032</v>
      </c>
      <c r="H34" s="33" t="s">
        <v>5</v>
      </c>
      <c r="I34" s="32">
        <v>0.13337967864028299</v>
      </c>
      <c r="J34" s="32"/>
      <c r="K34" s="6">
        <v>2.6290000000000001E-5</v>
      </c>
      <c r="L34" s="14">
        <v>6180</v>
      </c>
      <c r="M34" s="31">
        <v>1.944</v>
      </c>
      <c r="N34" s="13" t="s">
        <v>5</v>
      </c>
      <c r="O34" s="55">
        <f t="shared" si="1"/>
        <v>9.5214516770154514E-10</v>
      </c>
      <c r="P34" s="53">
        <f t="shared" si="2"/>
        <v>4321819969881.8574</v>
      </c>
      <c r="Q34" s="55">
        <f t="shared" si="0"/>
        <v>5.9321623934927796</v>
      </c>
      <c r="R34" s="55">
        <f t="shared" si="3"/>
        <v>-0.28558038174786177</v>
      </c>
    </row>
    <row r="35" spans="1:18" ht="15.75" x14ac:dyDescent="0.3">
      <c r="A35" s="4" t="s">
        <v>15</v>
      </c>
      <c r="B35" s="14">
        <v>2115</v>
      </c>
      <c r="C35" s="30">
        <v>142</v>
      </c>
      <c r="D35" s="20">
        <v>564</v>
      </c>
      <c r="E35" s="19">
        <v>0.92616719858156027</v>
      </c>
      <c r="F35" s="13">
        <v>38.86</v>
      </c>
      <c r="G35" s="31">
        <v>1.3082</v>
      </c>
      <c r="H35" s="33" t="s">
        <v>5</v>
      </c>
      <c r="I35" s="32">
        <v>0.59299999999999997</v>
      </c>
      <c r="J35" s="32"/>
      <c r="K35" s="6">
        <v>1.2208800000000001E-5</v>
      </c>
      <c r="L35" s="14">
        <v>5968</v>
      </c>
      <c r="M35" s="31">
        <v>1.2613000000000001</v>
      </c>
      <c r="N35" s="13" t="s">
        <v>5</v>
      </c>
      <c r="O35" s="55">
        <f t="shared" si="1"/>
        <v>3.9589505696528954E-8</v>
      </c>
      <c r="P35" s="53">
        <f t="shared" si="2"/>
        <v>53423248478.342209</v>
      </c>
      <c r="Q35" s="55">
        <f t="shared" si="0"/>
        <v>5.2536895514531929</v>
      </c>
      <c r="R35" s="55">
        <f t="shared" si="3"/>
        <v>-0.30823006615048315</v>
      </c>
    </row>
    <row r="36" spans="1:18" ht="15.75" x14ac:dyDescent="0.3">
      <c r="A36" s="4" t="s">
        <v>15</v>
      </c>
      <c r="B36" s="14">
        <v>3365</v>
      </c>
      <c r="C36" s="30">
        <v>170</v>
      </c>
      <c r="D36" s="20">
        <v>1226</v>
      </c>
      <c r="E36" s="19">
        <v>0.88517026618550887</v>
      </c>
      <c r="F36" s="13">
        <v>41.82</v>
      </c>
      <c r="G36" s="31">
        <v>1.6618999999999999</v>
      </c>
      <c r="H36" s="13" t="s">
        <v>5</v>
      </c>
      <c r="I36" s="32">
        <v>0.25700000000000001</v>
      </c>
      <c r="J36" s="32"/>
      <c r="K36" s="6">
        <v>1.8875599999999999E-5</v>
      </c>
      <c r="L36" s="14">
        <v>6515</v>
      </c>
      <c r="M36" s="31">
        <v>1.5886</v>
      </c>
      <c r="N36" s="13" t="s">
        <v>5</v>
      </c>
      <c r="O36" s="55">
        <f t="shared" si="1"/>
        <v>3.5397363151855534E-9</v>
      </c>
      <c r="P36" s="53">
        <f t="shared" si="2"/>
        <v>950635781981.98828</v>
      </c>
      <c r="Q36" s="55">
        <f t="shared" si="0"/>
        <v>5.7069777980828889</v>
      </c>
      <c r="R36" s="55">
        <f t="shared" si="3"/>
        <v>-0.29327895337653259</v>
      </c>
    </row>
    <row r="37" spans="1:18" ht="15.75" x14ac:dyDescent="0.3">
      <c r="A37" s="4" t="s">
        <v>15</v>
      </c>
      <c r="B37" s="14">
        <v>2865</v>
      </c>
      <c r="C37" s="30">
        <v>138</v>
      </c>
      <c r="D37" s="20">
        <v>848</v>
      </c>
      <c r="E37" s="19">
        <v>0.8846938679245282</v>
      </c>
      <c r="F37" s="13">
        <v>39.520000000000003</v>
      </c>
      <c r="G37" s="31">
        <v>1.4198</v>
      </c>
      <c r="H37" s="13" t="s">
        <v>5</v>
      </c>
      <c r="I37" s="32">
        <v>0.45600000000000002</v>
      </c>
      <c r="J37" s="32"/>
      <c r="K37" s="6">
        <v>1.3568600000000001E-5</v>
      </c>
      <c r="L37" s="14">
        <v>5612</v>
      </c>
      <c r="M37" s="31">
        <v>1.3776999999999999</v>
      </c>
      <c r="N37" s="13" t="s">
        <v>5</v>
      </c>
      <c r="O37" s="55">
        <f t="shared" si="1"/>
        <v>5.6133330549473563E-9</v>
      </c>
      <c r="P37" s="53">
        <f t="shared" si="2"/>
        <v>510391949301.72473</v>
      </c>
      <c r="Q37" s="55">
        <f t="shared" si="0"/>
        <v>5.5693503905874424</v>
      </c>
      <c r="R37" s="55">
        <f t="shared" si="3"/>
        <v>-0.29315269345892581</v>
      </c>
    </row>
    <row r="38" spans="1:18" ht="15.75" x14ac:dyDescent="0.3">
      <c r="A38" s="4" t="s">
        <v>15</v>
      </c>
      <c r="B38" s="14">
        <v>2835</v>
      </c>
      <c r="C38" s="30">
        <v>149</v>
      </c>
      <c r="D38" s="20">
        <v>840</v>
      </c>
      <c r="E38" s="19">
        <v>0.89454904761904763</v>
      </c>
      <c r="F38" s="13">
        <v>39.229999999999997</v>
      </c>
      <c r="G38" s="31">
        <v>1.4476</v>
      </c>
      <c r="H38" s="13" t="s">
        <v>5</v>
      </c>
      <c r="I38" s="32">
        <v>0.38700000000000001</v>
      </c>
      <c r="J38" s="32"/>
      <c r="K38" s="6">
        <v>1.46948E-5</v>
      </c>
      <c r="L38" s="14">
        <v>6021</v>
      </c>
      <c r="M38" s="31">
        <v>1.3939999999999999</v>
      </c>
      <c r="N38" s="13" t="s">
        <v>5</v>
      </c>
      <c r="O38" s="55">
        <f t="shared" si="1"/>
        <v>7.2407865738333043E-9</v>
      </c>
      <c r="P38" s="53">
        <f t="shared" si="2"/>
        <v>391532048498.41302</v>
      </c>
      <c r="Q38" s="55">
        <f t="shared" si="0"/>
        <v>5.5409964051786673</v>
      </c>
      <c r="R38" s="55">
        <f t="shared" si="3"/>
        <v>-0.29562172297982031</v>
      </c>
    </row>
    <row r="39" spans="1:18" ht="15.75" x14ac:dyDescent="0.3">
      <c r="A39" s="4" t="s">
        <v>15</v>
      </c>
      <c r="B39" s="14">
        <v>2615</v>
      </c>
      <c r="C39" s="30">
        <v>156</v>
      </c>
      <c r="D39" s="20">
        <v>743</v>
      </c>
      <c r="E39" s="19">
        <v>0.89798317631224767</v>
      </c>
      <c r="F39" s="13">
        <v>40.68</v>
      </c>
      <c r="G39" s="31">
        <v>1.3936999999999999</v>
      </c>
      <c r="H39" s="13" t="s">
        <v>5</v>
      </c>
      <c r="I39" s="32">
        <v>0.38100000000000001</v>
      </c>
      <c r="J39" s="32"/>
      <c r="K39" s="6">
        <v>1.37521E-5</v>
      </c>
      <c r="L39" s="14">
        <v>6575</v>
      </c>
      <c r="M39" s="31">
        <v>1.3373999999999999</v>
      </c>
      <c r="N39" s="13" t="s">
        <v>5</v>
      </c>
      <c r="O39" s="55">
        <f t="shared" si="1"/>
        <v>3.2627626495473616E-8</v>
      </c>
      <c r="P39" s="53">
        <f t="shared" si="2"/>
        <v>80146804436.72934</v>
      </c>
      <c r="Q39" s="55">
        <f t="shared" si="0"/>
        <v>5.3683634090680759</v>
      </c>
      <c r="R39" s="55">
        <f t="shared" si="3"/>
        <v>-0.31142419376178532</v>
      </c>
    </row>
    <row r="40" spans="1:18" ht="15.75" x14ac:dyDescent="0.3">
      <c r="A40" s="4" t="s">
        <v>15</v>
      </c>
      <c r="B40" s="14">
        <v>2965</v>
      </c>
      <c r="C40" s="30">
        <v>164</v>
      </c>
      <c r="D40" s="20">
        <v>975</v>
      </c>
      <c r="E40" s="19">
        <v>0.86339910857758939</v>
      </c>
      <c r="F40" s="13">
        <v>40.47</v>
      </c>
      <c r="G40" s="31">
        <v>1.5153000000000001</v>
      </c>
      <c r="H40" s="13" t="s">
        <v>5</v>
      </c>
      <c r="I40" s="32">
        <v>0.36799999999999999</v>
      </c>
      <c r="J40" s="32"/>
      <c r="K40" s="6">
        <v>1.6968699999999999E-5</v>
      </c>
      <c r="L40" s="14">
        <v>8323</v>
      </c>
      <c r="M40" s="31">
        <v>1.4247000000000001</v>
      </c>
      <c r="N40" s="13" t="s">
        <v>5</v>
      </c>
      <c r="O40" s="55">
        <f t="shared" si="1"/>
        <v>1.1283367621083059E-8</v>
      </c>
      <c r="P40" s="53">
        <f t="shared" si="2"/>
        <v>262776158639.78336</v>
      </c>
      <c r="Q40" s="55">
        <f t="shared" si="0"/>
        <v>5.5511523581108602</v>
      </c>
      <c r="R40" s="55">
        <f t="shared" si="3"/>
        <v>-0.30334271833404636</v>
      </c>
    </row>
    <row r="41" spans="1:18" ht="15.75" x14ac:dyDescent="0.3">
      <c r="A41" s="4" t="s">
        <v>15</v>
      </c>
      <c r="B41" s="14">
        <v>4280</v>
      </c>
      <c r="C41" s="30">
        <v>170</v>
      </c>
      <c r="D41" s="20">
        <v>2124</v>
      </c>
      <c r="E41" s="19">
        <v>0.78740556732153377</v>
      </c>
      <c r="F41" s="13">
        <v>46.5</v>
      </c>
      <c r="G41" s="31">
        <v>2.1372361680955811</v>
      </c>
      <c r="H41" s="13" t="s">
        <v>5</v>
      </c>
      <c r="I41" s="32">
        <v>0.16700000000000001</v>
      </c>
      <c r="J41" s="32"/>
      <c r="K41" s="23">
        <v>3.7546883008720921E-5</v>
      </c>
      <c r="L41" s="14">
        <v>8000</v>
      </c>
      <c r="M41" s="31">
        <v>1.9788422467159459</v>
      </c>
      <c r="N41" s="13" t="s">
        <v>5</v>
      </c>
      <c r="O41" s="55">
        <f t="shared" si="1"/>
        <v>1.4452995485861798E-9</v>
      </c>
      <c r="P41" s="53">
        <f t="shared" si="2"/>
        <v>2961323833654.6455</v>
      </c>
      <c r="Q41" s="55">
        <f t="shared" si="0"/>
        <v>5.9137878774982759</v>
      </c>
      <c r="R41" s="55">
        <f t="shared" si="3"/>
        <v>-0.29053316757012065</v>
      </c>
    </row>
    <row r="42" spans="1:18" ht="15.75" x14ac:dyDescent="0.3">
      <c r="A42" s="4" t="s">
        <v>15</v>
      </c>
      <c r="B42" s="14">
        <v>5187</v>
      </c>
      <c r="C42" s="30">
        <v>161</v>
      </c>
      <c r="D42" s="20">
        <f>(4380*1.1125+99)</f>
        <v>4971.75</v>
      </c>
      <c r="E42" s="19">
        <f>(4380*1.1125*0.7706+34*0.9715+65*1.4022)/(4380*1.1125+99)</f>
        <v>0.78023133705435699</v>
      </c>
      <c r="F42" s="13">
        <v>47.21</v>
      </c>
      <c r="G42" s="31" t="s">
        <v>5</v>
      </c>
      <c r="H42" s="34">
        <v>6.4415557599999899E-4</v>
      </c>
      <c r="I42" s="32" t="s">
        <v>5</v>
      </c>
      <c r="J42" s="32"/>
      <c r="K42" s="23">
        <v>4.5710145927484643E-5</v>
      </c>
      <c r="L42" s="14">
        <v>6115</v>
      </c>
      <c r="M42" s="31" t="s">
        <v>5</v>
      </c>
      <c r="N42" s="34">
        <v>6.2070164113513899E-4</v>
      </c>
      <c r="O42" s="55">
        <f t="shared" si="1"/>
        <v>4.162715808368815E-13</v>
      </c>
      <c r="P42" s="53">
        <f t="shared" si="2"/>
        <v>1.2460615230018686E+16</v>
      </c>
      <c r="Q42" s="55">
        <f t="shared" si="0"/>
        <v>6.6078772444608962</v>
      </c>
      <c r="R42" s="55">
        <f t="shared" si="3"/>
        <v>-0.23179484338272843</v>
      </c>
    </row>
    <row r="43" spans="1:18" ht="15.75" x14ac:dyDescent="0.3">
      <c r="A43" s="4" t="s">
        <v>15</v>
      </c>
      <c r="B43" s="14">
        <v>4375</v>
      </c>
      <c r="C43" s="30">
        <v>167</v>
      </c>
      <c r="D43" s="20">
        <v>2645</v>
      </c>
      <c r="E43" s="19">
        <v>0.80427641371235392</v>
      </c>
      <c r="F43" s="13">
        <v>47.52</v>
      </c>
      <c r="G43" s="31">
        <v>2.3553999999999999</v>
      </c>
      <c r="H43" s="13" t="s">
        <v>5</v>
      </c>
      <c r="I43" s="32">
        <v>0.17699999999999999</v>
      </c>
      <c r="J43" s="32"/>
      <c r="K43" s="6">
        <v>3.3244699999999997E-5</v>
      </c>
      <c r="L43" s="14">
        <v>11083</v>
      </c>
      <c r="M43" s="31">
        <v>2.0859999999999999</v>
      </c>
      <c r="N43" s="13" t="s">
        <v>5</v>
      </c>
      <c r="O43" s="55">
        <f t="shared" si="1"/>
        <v>2.3374191530850266E-10</v>
      </c>
      <c r="P43" s="53">
        <f t="shared" si="2"/>
        <v>18717224911182.285</v>
      </c>
      <c r="Q43" s="55">
        <f t="shared" si="0"/>
        <v>6.0913591840975174</v>
      </c>
      <c r="R43" s="55">
        <f t="shared" si="3"/>
        <v>-0.27467255028024601</v>
      </c>
    </row>
    <row r="44" spans="1:18" ht="15.75" x14ac:dyDescent="0.3">
      <c r="A44" s="4" t="s">
        <v>15</v>
      </c>
      <c r="B44" s="14">
        <v>5183</v>
      </c>
      <c r="C44" s="30">
        <v>157</v>
      </c>
      <c r="D44" s="20">
        <f>(3845*1.1132+109)</f>
        <v>4389.2539999999999</v>
      </c>
      <c r="E44" s="19">
        <f>(3845*1.1132*0.738+57*0.934+52*1.3185)/(3845*1.1132+109)</f>
        <v>0.74742255791075196</v>
      </c>
      <c r="F44" s="13">
        <v>47.57</v>
      </c>
      <c r="G44" s="31" t="s">
        <v>5</v>
      </c>
      <c r="H44" s="34">
        <v>6.4164260506897658E-4</v>
      </c>
      <c r="I44" s="32" t="s">
        <v>5</v>
      </c>
      <c r="J44" s="32"/>
      <c r="K44" s="23">
        <f>(1-0.98539)/0.98539*(1/(5515-5183))</f>
        <v>4.4658484555745014E-5</v>
      </c>
      <c r="L44" s="14">
        <v>5715</v>
      </c>
      <c r="M44" s="31" t="s">
        <v>5</v>
      </c>
      <c r="N44" s="34">
        <v>6.2735650788273449E-4</v>
      </c>
      <c r="O44" s="55">
        <f t="shared" si="1"/>
        <v>3.4476963380773493E-12</v>
      </c>
      <c r="P44" s="53">
        <f t="shared" si="2"/>
        <v>1503322651347641.8</v>
      </c>
      <c r="Q44" s="55">
        <f t="shared" si="0"/>
        <v>6.4654441034889958</v>
      </c>
      <c r="R44" s="55">
        <f t="shared" si="3"/>
        <v>-0.2449652172779816</v>
      </c>
    </row>
    <row r="45" spans="1:18" ht="15.75" x14ac:dyDescent="0.3">
      <c r="A45" s="4" t="s">
        <v>15</v>
      </c>
      <c r="B45" s="14">
        <v>4088</v>
      </c>
      <c r="C45" s="30">
        <v>148</v>
      </c>
      <c r="D45" s="20">
        <v>2393</v>
      </c>
      <c r="E45" s="19">
        <v>0.80163309653155035</v>
      </c>
      <c r="F45" s="13">
        <v>47.6</v>
      </c>
      <c r="G45" s="31">
        <v>2.2130739781586799</v>
      </c>
      <c r="H45" s="13" t="s">
        <v>5</v>
      </c>
      <c r="I45" s="32">
        <v>0.14699999999999999</v>
      </c>
      <c r="J45" s="32"/>
      <c r="K45" s="23">
        <v>3.2993586346309899E-5</v>
      </c>
      <c r="L45" s="14">
        <v>6177</v>
      </c>
      <c r="M45" s="31">
        <v>2.1040654680209947</v>
      </c>
      <c r="N45" s="13" t="s">
        <v>5</v>
      </c>
      <c r="O45" s="55">
        <f t="shared" si="1"/>
        <v>2.6380580285400286E-10</v>
      </c>
      <c r="P45" s="53">
        <f t="shared" si="2"/>
        <v>15496247450864.998</v>
      </c>
      <c r="Q45" s="55">
        <f t="shared" si="0"/>
        <v>6.0712987221545234</v>
      </c>
      <c r="R45" s="55">
        <f t="shared" si="3"/>
        <v>-0.27526984073948152</v>
      </c>
    </row>
    <row r="46" spans="1:18" ht="15.75" x14ac:dyDescent="0.3">
      <c r="A46" s="4" t="s">
        <v>15</v>
      </c>
      <c r="B46" s="14">
        <v>4328.6499999999996</v>
      </c>
      <c r="C46" s="30">
        <v>143</v>
      </c>
      <c r="D46" s="20">
        <v>2261</v>
      </c>
      <c r="E46" s="19">
        <v>0.8055714285714286</v>
      </c>
      <c r="F46" s="13">
        <v>45.352893388326464</v>
      </c>
      <c r="G46" s="31">
        <v>2.1920000000000002</v>
      </c>
      <c r="H46" s="13" t="s">
        <v>5</v>
      </c>
      <c r="I46" s="32">
        <v>0.16600000000000001</v>
      </c>
      <c r="J46" s="32"/>
      <c r="K46" s="6">
        <v>2.97878E-5</v>
      </c>
      <c r="L46" s="14">
        <v>7114.65</v>
      </c>
      <c r="M46" s="31">
        <v>2.0699999999999998</v>
      </c>
      <c r="N46" s="13" t="s">
        <v>5</v>
      </c>
      <c r="O46" s="55">
        <f t="shared" si="1"/>
        <v>1.381714790923793E-10</v>
      </c>
      <c r="P46" s="53">
        <f t="shared" si="2"/>
        <v>31328100621299.664</v>
      </c>
      <c r="Q46" s="55">
        <f t="shared" si="0"/>
        <v>6.1186741645386764</v>
      </c>
      <c r="R46" s="55">
        <f t="shared" si="3"/>
        <v>-0.26951513115029352</v>
      </c>
    </row>
    <row r="47" spans="1:18" ht="15.75" x14ac:dyDescent="0.3">
      <c r="A47" s="4" t="s">
        <v>15</v>
      </c>
      <c r="B47" s="14">
        <v>3565</v>
      </c>
      <c r="C47" s="30">
        <v>142</v>
      </c>
      <c r="D47" s="20">
        <v>1598</v>
      </c>
      <c r="E47" s="19">
        <v>0.83444602876798013</v>
      </c>
      <c r="F47" s="13">
        <v>44.32</v>
      </c>
      <c r="G47" s="31">
        <v>1.8241000000000001</v>
      </c>
      <c r="H47" s="13" t="s">
        <v>5</v>
      </c>
      <c r="I47" s="32">
        <v>0.25900000000000001</v>
      </c>
      <c r="J47" s="32"/>
      <c r="K47" s="6">
        <v>2.1097100000000002E-5</v>
      </c>
      <c r="L47" s="14">
        <v>4731</v>
      </c>
      <c r="M47" s="31">
        <v>1.7854000000000001</v>
      </c>
      <c r="N47" s="13" t="s">
        <v>5</v>
      </c>
      <c r="O47" s="55">
        <f t="shared" si="1"/>
        <v>9.1818883706866703E-10</v>
      </c>
      <c r="P47" s="53">
        <f t="shared" si="2"/>
        <v>3882643587108.2935</v>
      </c>
      <c r="Q47" s="55">
        <f t="shared" si="0"/>
        <v>5.8960335715829109</v>
      </c>
      <c r="R47" s="55">
        <f t="shared" si="3"/>
        <v>-0.28334575413885077</v>
      </c>
    </row>
    <row r="48" spans="1:18" ht="15.75" x14ac:dyDescent="0.3">
      <c r="A48" s="4" t="s">
        <v>15</v>
      </c>
      <c r="B48" s="14">
        <v>4451</v>
      </c>
      <c r="C48" s="30">
        <v>151</v>
      </c>
      <c r="D48" s="20">
        <v>2689</v>
      </c>
      <c r="E48" s="19">
        <v>0.86693904456452753</v>
      </c>
      <c r="F48" s="13">
        <v>46.13</v>
      </c>
      <c r="G48" s="31">
        <v>2.4154</v>
      </c>
      <c r="H48" s="13" t="s">
        <v>5</v>
      </c>
      <c r="I48" s="32">
        <v>0.186</v>
      </c>
      <c r="J48" s="32"/>
      <c r="K48" s="6">
        <v>3.8010199999999997E-5</v>
      </c>
      <c r="L48" s="14">
        <v>6961</v>
      </c>
      <c r="M48" s="31">
        <v>2.2726000000000002</v>
      </c>
      <c r="N48" s="13" t="s">
        <v>5</v>
      </c>
      <c r="O48" s="55">
        <f t="shared" si="1"/>
        <v>1.9016010846953334E-11</v>
      </c>
      <c r="P48" s="53">
        <f t="shared" si="2"/>
        <v>234065916128413.53</v>
      </c>
      <c r="Q48" s="55">
        <f t="shared" si="0"/>
        <v>6.2786297620939822</v>
      </c>
      <c r="R48" s="55">
        <f t="shared" si="3"/>
        <v>-0.25434237778695751</v>
      </c>
    </row>
    <row r="49" spans="1:18" ht="15.75" x14ac:dyDescent="0.3">
      <c r="A49" s="4" t="s">
        <v>15</v>
      </c>
      <c r="B49" s="14">
        <v>3995</v>
      </c>
      <c r="C49" s="30">
        <v>162</v>
      </c>
      <c r="D49" s="20">
        <v>2072</v>
      </c>
      <c r="E49" s="19">
        <v>0.84604101208844851</v>
      </c>
      <c r="F49" s="13">
        <v>44.89</v>
      </c>
      <c r="G49" s="31">
        <v>2.1619999999999999</v>
      </c>
      <c r="H49" s="13" t="s">
        <v>5</v>
      </c>
      <c r="I49" s="32">
        <v>0.151</v>
      </c>
      <c r="J49" s="32"/>
      <c r="K49" s="6">
        <v>2.9722599999999999E-5</v>
      </c>
      <c r="L49" s="14">
        <v>7154</v>
      </c>
      <c r="M49" s="31">
        <v>2.0295999999999998</v>
      </c>
      <c r="N49" s="13" t="s">
        <v>5</v>
      </c>
      <c r="O49" s="55">
        <f t="shared" si="1"/>
        <v>2.7915406321948399E-10</v>
      </c>
      <c r="P49" s="53">
        <f t="shared" si="2"/>
        <v>14311093859517.512</v>
      </c>
      <c r="Q49" s="55">
        <f t="shared" si="0"/>
        <v>6.0371548404976512</v>
      </c>
      <c r="R49" s="55">
        <f t="shared" si="3"/>
        <v>-0.27442539360762908</v>
      </c>
    </row>
    <row r="50" spans="1:18" ht="15.75" x14ac:dyDescent="0.3">
      <c r="A50" s="4" t="s">
        <v>15</v>
      </c>
      <c r="B50" s="14">
        <v>3955</v>
      </c>
      <c r="C50" s="30">
        <v>140</v>
      </c>
      <c r="D50" s="20">
        <v>1776</v>
      </c>
      <c r="E50" s="19">
        <v>0.83418704954954959</v>
      </c>
      <c r="F50" s="13">
        <v>44.12</v>
      </c>
      <c r="G50" s="31">
        <v>1.901</v>
      </c>
      <c r="H50" s="13" t="s">
        <v>5</v>
      </c>
      <c r="I50" s="32">
        <v>0.21299999999999999</v>
      </c>
      <c r="J50" s="32"/>
      <c r="K50" s="6">
        <v>2.2328200000000001E-5</v>
      </c>
      <c r="L50" s="14">
        <v>3726</v>
      </c>
      <c r="M50" s="31">
        <v>1.901</v>
      </c>
      <c r="N50" s="13" t="s">
        <v>5</v>
      </c>
      <c r="O50" s="55">
        <f t="shared" si="1"/>
        <v>3.4047291457717052E-10</v>
      </c>
      <c r="P50" s="53">
        <f t="shared" si="2"/>
        <v>11616195681560.541</v>
      </c>
      <c r="Q50" s="55">
        <f t="shared" si="0"/>
        <v>5.9994059227023424</v>
      </c>
      <c r="R50" s="55">
        <f t="shared" si="3"/>
        <v>-0.27519345260145373</v>
      </c>
    </row>
    <row r="51" spans="1:18" ht="15.75" x14ac:dyDescent="0.3">
      <c r="A51" s="4" t="s">
        <v>15</v>
      </c>
      <c r="B51" s="14">
        <v>3865</v>
      </c>
      <c r="C51" s="30">
        <v>147</v>
      </c>
      <c r="D51" s="20">
        <v>1786</v>
      </c>
      <c r="E51" s="19">
        <v>0.84211125419932797</v>
      </c>
      <c r="F51" s="13">
        <v>43.8</v>
      </c>
      <c r="G51" s="31">
        <v>1.9545999999999999</v>
      </c>
      <c r="H51" s="13" t="s">
        <v>5</v>
      </c>
      <c r="I51" s="32">
        <v>0.20799999999999999</v>
      </c>
      <c r="J51" s="32"/>
      <c r="K51" s="6">
        <v>2.40754E-5</v>
      </c>
      <c r="L51" s="14">
        <v>4774</v>
      </c>
      <c r="M51" s="31">
        <v>1.9172</v>
      </c>
      <c r="N51" s="13" t="s">
        <v>5</v>
      </c>
      <c r="O51" s="55">
        <f t="shared" si="1"/>
        <v>3.4825088018429471E-10</v>
      </c>
      <c r="P51" s="53">
        <f t="shared" si="2"/>
        <v>11098320836846.959</v>
      </c>
      <c r="Q51" s="55">
        <f t="shared" si="0"/>
        <v>5.9965691824135297</v>
      </c>
      <c r="R51" s="55">
        <f t="shared" si="3"/>
        <v>-0.27534861809653088</v>
      </c>
    </row>
    <row r="52" spans="1:18" ht="15.75" x14ac:dyDescent="0.3">
      <c r="A52" s="4" t="s">
        <v>15</v>
      </c>
      <c r="B52" s="14">
        <v>4217</v>
      </c>
      <c r="C52" s="30">
        <v>146</v>
      </c>
      <c r="D52" s="20">
        <v>2247</v>
      </c>
      <c r="E52" s="19">
        <v>0.8427257117437722</v>
      </c>
      <c r="F52" s="13">
        <v>46.89</v>
      </c>
      <c r="G52" s="31">
        <v>2.1732999999999998</v>
      </c>
      <c r="H52" s="13" t="s">
        <v>5</v>
      </c>
      <c r="I52" s="32">
        <v>0.21099999999999999</v>
      </c>
      <c r="J52" s="32"/>
      <c r="K52" s="6">
        <v>3.1637200000000003E-5</v>
      </c>
      <c r="L52" s="14">
        <v>6728</v>
      </c>
      <c r="M52" s="31">
        <v>2.0609999999999999</v>
      </c>
      <c r="N52" s="13" t="s">
        <v>5</v>
      </c>
      <c r="O52" s="55">
        <f t="shared" si="1"/>
        <v>1.5650672048255662E-10</v>
      </c>
      <c r="P52" s="53">
        <f t="shared" si="2"/>
        <v>26944529838703.297</v>
      </c>
      <c r="Q52" s="55">
        <f t="shared" si="0"/>
        <v>6.0959957878163236</v>
      </c>
      <c r="R52" s="55">
        <f t="shared" si="3"/>
        <v>-0.26999808677717979</v>
      </c>
    </row>
    <row r="53" spans="1:18" ht="15.75" x14ac:dyDescent="0.3">
      <c r="A53" s="4" t="s">
        <v>15</v>
      </c>
      <c r="B53" s="14">
        <v>4145</v>
      </c>
      <c r="C53" s="30">
        <v>158</v>
      </c>
      <c r="D53" s="20">
        <v>2196</v>
      </c>
      <c r="E53" s="19">
        <v>0.82779175398633253</v>
      </c>
      <c r="F53" s="13">
        <v>47.32</v>
      </c>
      <c r="G53" s="31">
        <v>2.1798999999999999</v>
      </c>
      <c r="H53" s="13" t="s">
        <v>5</v>
      </c>
      <c r="I53" s="32">
        <v>0.185</v>
      </c>
      <c r="J53" s="32"/>
      <c r="K53" s="6">
        <v>3.0255000000000001E-5</v>
      </c>
      <c r="L53" s="14">
        <v>5823</v>
      </c>
      <c r="M53" s="31">
        <v>2.0948000000000002</v>
      </c>
      <c r="N53" s="13" t="s">
        <v>5</v>
      </c>
      <c r="O53" s="55">
        <f t="shared" si="1"/>
        <v>4.7982244825452499E-10</v>
      </c>
      <c r="P53" s="53">
        <f t="shared" si="2"/>
        <v>8638612084695.0811</v>
      </c>
      <c r="Q53" s="55">
        <f t="shared" si="0"/>
        <v>6.0029683868387851</v>
      </c>
      <c r="R53" s="55">
        <f t="shared" si="3"/>
        <v>-0.27975947886330588</v>
      </c>
    </row>
    <row r="54" spans="1:18" ht="15.75" x14ac:dyDescent="0.3">
      <c r="A54" s="4" t="s">
        <v>15</v>
      </c>
      <c r="B54" s="14">
        <v>3465</v>
      </c>
      <c r="C54" s="30">
        <v>140</v>
      </c>
      <c r="D54" s="20">
        <v>1455</v>
      </c>
      <c r="E54" s="19">
        <v>0.80935814432989683</v>
      </c>
      <c r="F54" s="13">
        <v>43.88</v>
      </c>
      <c r="G54" s="31">
        <v>1.7339</v>
      </c>
      <c r="H54" s="13" t="s">
        <v>5</v>
      </c>
      <c r="I54" s="32">
        <v>0.434</v>
      </c>
      <c r="J54" s="32"/>
      <c r="K54" s="6">
        <v>2.06329E-5</v>
      </c>
      <c r="L54" s="14">
        <v>4865</v>
      </c>
      <c r="M54" s="31">
        <v>1.6921999999999999</v>
      </c>
      <c r="N54" s="13" t="s">
        <v>5</v>
      </c>
      <c r="O54" s="55">
        <f t="shared" si="1"/>
        <v>2.1453081618295084E-9</v>
      </c>
      <c r="P54" s="53">
        <f t="shared" si="2"/>
        <v>1615152574184.4563</v>
      </c>
      <c r="Q54" s="55">
        <f t="shared" si="0"/>
        <v>5.8102421036458196</v>
      </c>
      <c r="R54" s="55">
        <f t="shared" si="3"/>
        <v>-0.29109454709651256</v>
      </c>
    </row>
    <row r="55" spans="1:18" ht="15.75" x14ac:dyDescent="0.3">
      <c r="A55" s="4" t="s">
        <v>15</v>
      </c>
      <c r="B55" s="14">
        <v>2515</v>
      </c>
      <c r="C55" s="30">
        <v>149</v>
      </c>
      <c r="D55" s="20">
        <v>761</v>
      </c>
      <c r="E55" s="19">
        <v>0.88659053876478311</v>
      </c>
      <c r="F55" s="13">
        <v>40.659999999999997</v>
      </c>
      <c r="G55" s="31">
        <v>1.4036</v>
      </c>
      <c r="H55" s="13" t="s">
        <v>5</v>
      </c>
      <c r="I55" s="32">
        <v>0.41199999999999998</v>
      </c>
      <c r="J55" s="32"/>
      <c r="K55" s="6">
        <v>1.3774100000000001E-5</v>
      </c>
      <c r="L55" s="14">
        <v>5309</v>
      </c>
      <c r="M55" s="31">
        <v>1.3613999999999999</v>
      </c>
      <c r="N55" s="13" t="s">
        <v>5</v>
      </c>
      <c r="O55" s="55">
        <f t="shared" si="1"/>
        <v>2.5440918300506464E-8</v>
      </c>
      <c r="P55" s="53">
        <f t="shared" si="2"/>
        <v>98856494497.075287</v>
      </c>
      <c r="Q55" s="55">
        <f t="shared" si="0"/>
        <v>5.4019011191318711</v>
      </c>
      <c r="R55" s="55">
        <f t="shared" si="3"/>
        <v>-0.30891118242854676</v>
      </c>
    </row>
    <row r="56" spans="1:18" ht="15.75" x14ac:dyDescent="0.3">
      <c r="A56" s="4" t="s">
        <v>15</v>
      </c>
      <c r="B56" s="14">
        <v>2215</v>
      </c>
      <c r="C56" s="30">
        <v>157</v>
      </c>
      <c r="D56" s="20">
        <v>694</v>
      </c>
      <c r="E56" s="19">
        <v>0.91650691642651272</v>
      </c>
      <c r="F56" s="13">
        <v>40.619999999999997</v>
      </c>
      <c r="G56" s="31">
        <v>1.3705000000000001</v>
      </c>
      <c r="H56" s="33" t="s">
        <v>5</v>
      </c>
      <c r="I56" s="32">
        <v>0.45300000000000001</v>
      </c>
      <c r="J56" s="32"/>
      <c r="K56" s="6">
        <v>1.46343E-5</v>
      </c>
      <c r="L56" s="14">
        <v>5916</v>
      </c>
      <c r="M56" s="31">
        <v>1.3181</v>
      </c>
      <c r="N56" s="13" t="s">
        <v>5</v>
      </c>
      <c r="O56" s="55">
        <f t="shared" si="1"/>
        <v>3.9628114490771372E-8</v>
      </c>
      <c r="P56" s="53">
        <f t="shared" si="2"/>
        <v>55894660354.738884</v>
      </c>
      <c r="Q56" s="55">
        <f t="shared" si="0"/>
        <v>5.3245609657162634</v>
      </c>
      <c r="R56" s="55">
        <f t="shared" si="3"/>
        <v>-0.31240590529277157</v>
      </c>
    </row>
    <row r="57" spans="1:18" ht="15.75" x14ac:dyDescent="0.3">
      <c r="A57" s="4" t="s">
        <v>15</v>
      </c>
      <c r="B57" s="14">
        <v>3165</v>
      </c>
      <c r="C57" s="30">
        <v>169</v>
      </c>
      <c r="D57" s="20">
        <v>1193</v>
      </c>
      <c r="E57" s="19">
        <v>0.92319242033006776</v>
      </c>
      <c r="F57" s="13">
        <v>43.95</v>
      </c>
      <c r="G57" s="31">
        <v>1.6789000000000001</v>
      </c>
      <c r="H57" s="13" t="s">
        <v>5</v>
      </c>
      <c r="I57" s="32">
        <v>0.23499999999999999</v>
      </c>
      <c r="J57" s="32"/>
      <c r="K57" s="6">
        <v>2.0536100000000001E-5</v>
      </c>
      <c r="L57" s="14">
        <v>6972</v>
      </c>
      <c r="M57" s="31">
        <v>1.5885</v>
      </c>
      <c r="N57" s="13" t="s">
        <v>5</v>
      </c>
      <c r="O57" s="55">
        <f t="shared" si="1"/>
        <v>5.1404633386637657E-9</v>
      </c>
      <c r="P57" s="53">
        <f t="shared" si="2"/>
        <v>615703253087.99561</v>
      </c>
      <c r="Q57" s="55">
        <f t="shared" si="0"/>
        <v>5.6571082465858362</v>
      </c>
      <c r="R57" s="55">
        <f t="shared" si="3"/>
        <v>-0.29639903084873365</v>
      </c>
    </row>
    <row r="58" spans="1:18" ht="15.75" x14ac:dyDescent="0.3">
      <c r="A58" s="4" t="s">
        <v>15</v>
      </c>
      <c r="B58" s="14">
        <v>5655</v>
      </c>
      <c r="C58" s="30">
        <v>165</v>
      </c>
      <c r="D58" s="20">
        <v>2539</v>
      </c>
      <c r="E58" s="19">
        <v>0.77590107505608719</v>
      </c>
      <c r="F58" s="13">
        <v>41.67</v>
      </c>
      <c r="G58" s="31">
        <v>2.2337833825723759</v>
      </c>
      <c r="H58" s="13" t="s">
        <v>5</v>
      </c>
      <c r="I58" s="32">
        <v>0.249</v>
      </c>
      <c r="J58" s="32"/>
      <c r="K58" s="6">
        <v>2.70824E-5</v>
      </c>
      <c r="L58" s="14">
        <v>6515</v>
      </c>
      <c r="M58" s="31">
        <v>2.1887727105337955</v>
      </c>
      <c r="N58" s="13" t="s">
        <v>5</v>
      </c>
      <c r="O58" s="55">
        <f t="shared" si="1"/>
        <v>5.023888657138526E-11</v>
      </c>
      <c r="P58" s="53">
        <f t="shared" si="2"/>
        <v>112562208001259.5</v>
      </c>
      <c r="Q58" s="55">
        <f t="shared" si="0"/>
        <v>6.2217791844990078</v>
      </c>
      <c r="R58" s="55">
        <f t="shared" si="3"/>
        <v>-0.26236477944811598</v>
      </c>
    </row>
    <row r="59" spans="1:18" ht="15.75" x14ac:dyDescent="0.3">
      <c r="A59" s="4" t="s">
        <v>15</v>
      </c>
      <c r="B59" s="14">
        <v>3865</v>
      </c>
      <c r="C59" s="30">
        <v>165</v>
      </c>
      <c r="D59" s="20">
        <v>1311</v>
      </c>
      <c r="E59" s="19">
        <v>0.80779518026477171</v>
      </c>
      <c r="F59" s="13">
        <v>41.31</v>
      </c>
      <c r="G59" s="31">
        <v>1.7010000000000001</v>
      </c>
      <c r="H59" s="13" t="s">
        <v>5</v>
      </c>
      <c r="I59" s="32">
        <v>0.36599999999999999</v>
      </c>
      <c r="J59" s="32"/>
      <c r="K59" s="6">
        <v>2.0366100000000001E-5</v>
      </c>
      <c r="L59" s="14">
        <v>7215</v>
      </c>
      <c r="M59" s="31">
        <v>1.6188</v>
      </c>
      <c r="N59" s="13" t="s">
        <v>5</v>
      </c>
      <c r="O59" s="55">
        <f t="shared" si="1"/>
        <v>4.809296046138684E-9</v>
      </c>
      <c r="P59" s="53">
        <f t="shared" si="2"/>
        <v>803651919722.9176</v>
      </c>
      <c r="Q59" s="55">
        <f t="shared" si="0"/>
        <v>5.7150984164679963</v>
      </c>
      <c r="R59" s="55">
        <f t="shared" si="3"/>
        <v>-0.29839625253889718</v>
      </c>
    </row>
    <row r="60" spans="1:18" ht="15.75" x14ac:dyDescent="0.3">
      <c r="A60" s="4" t="s">
        <v>15</v>
      </c>
      <c r="B60" s="14">
        <v>4820</v>
      </c>
      <c r="C60" s="30">
        <v>176</v>
      </c>
      <c r="D60" s="20">
        <v>7104</v>
      </c>
      <c r="E60" s="19">
        <v>0.75817891207484189</v>
      </c>
      <c r="F60" s="13">
        <v>52.3</v>
      </c>
      <c r="G60" s="31">
        <v>5.1120000000000001</v>
      </c>
      <c r="H60" s="34" t="s">
        <v>5</v>
      </c>
      <c r="I60" s="32">
        <v>5.0999999999999997E-2</v>
      </c>
      <c r="J60" s="32"/>
      <c r="K60" s="23">
        <v>7.5153502924252676E-5</v>
      </c>
      <c r="L60" s="14">
        <v>7596</v>
      </c>
      <c r="M60" s="31" t="s">
        <v>5</v>
      </c>
      <c r="N60" s="34" t="s">
        <v>5</v>
      </c>
      <c r="O60" s="55">
        <f t="shared" si="1"/>
        <v>1.5119472177303339E-13</v>
      </c>
      <c r="P60" s="53">
        <f t="shared" si="2"/>
        <v>3.1879419754054404E+16</v>
      </c>
      <c r="Q60" s="55">
        <f t="shared" si="0"/>
        <v>6.6437686222712928</v>
      </c>
      <c r="R60" s="55">
        <f t="shared" si="3"/>
        <v>-0.22505832811634965</v>
      </c>
    </row>
    <row r="61" spans="1:18" ht="15.75" x14ac:dyDescent="0.3">
      <c r="A61" s="4" t="s">
        <v>15</v>
      </c>
      <c r="B61" s="14">
        <v>3815</v>
      </c>
      <c r="C61" s="30">
        <v>149</v>
      </c>
      <c r="D61" s="20">
        <v>1583</v>
      </c>
      <c r="E61" s="19">
        <v>0.82023585858585857</v>
      </c>
      <c r="F61" s="13">
        <v>44.41</v>
      </c>
      <c r="G61" s="31">
        <v>1.8231999999999999</v>
      </c>
      <c r="H61" s="13" t="s">
        <v>5</v>
      </c>
      <c r="I61" s="32">
        <v>0.254</v>
      </c>
      <c r="J61" s="32"/>
      <c r="K61" s="6">
        <v>2.1942399999999998E-5</v>
      </c>
      <c r="L61" s="14">
        <v>5215</v>
      </c>
      <c r="M61" s="31">
        <v>1.7758</v>
      </c>
      <c r="N61" s="13" t="s">
        <v>5</v>
      </c>
      <c r="O61" s="55">
        <f t="shared" si="1"/>
        <v>1.7178198104933993E-9</v>
      </c>
      <c r="P61" s="53">
        <f t="shared" si="2"/>
        <v>2220838283907.3916</v>
      </c>
      <c r="Q61" s="55">
        <f t="shared" si="0"/>
        <v>5.8437304866826532</v>
      </c>
      <c r="R61" s="55">
        <f t="shared" si="3"/>
        <v>-0.28954859329108779</v>
      </c>
    </row>
    <row r="62" spans="1:18" ht="15.75" x14ac:dyDescent="0.3">
      <c r="A62" s="4" t="s">
        <v>15</v>
      </c>
      <c r="B62" s="14">
        <v>3565</v>
      </c>
      <c r="C62" s="30">
        <v>152</v>
      </c>
      <c r="D62" s="20">
        <v>1562</v>
      </c>
      <c r="E62" s="19">
        <v>0.82400711082639333</v>
      </c>
      <c r="F62" s="13">
        <v>46.69</v>
      </c>
      <c r="G62" s="31">
        <v>1.8395999999999999</v>
      </c>
      <c r="H62" s="13" t="s">
        <v>5</v>
      </c>
      <c r="I62" s="32">
        <v>0.29299999999999998</v>
      </c>
      <c r="J62" s="32"/>
      <c r="K62" s="6">
        <v>2.3057500000000001E-5</v>
      </c>
      <c r="L62" s="14">
        <v>7315</v>
      </c>
      <c r="M62" s="31">
        <v>1.7322</v>
      </c>
      <c r="N62" s="13" t="s">
        <v>5</v>
      </c>
      <c r="O62" s="55">
        <f t="shared" si="1"/>
        <v>4.2970150926299947E-9</v>
      </c>
      <c r="P62" s="53">
        <f t="shared" si="2"/>
        <v>829645678021.9823</v>
      </c>
      <c r="Q62" s="55">
        <f t="shared" si="0"/>
        <v>5.7567848725955546</v>
      </c>
      <c r="R62" s="55">
        <f t="shared" si="3"/>
        <v>-0.29881555751621913</v>
      </c>
    </row>
    <row r="63" spans="1:18" ht="15.75" x14ac:dyDescent="0.3">
      <c r="A63" s="4" t="s">
        <v>15</v>
      </c>
      <c r="B63" s="14">
        <v>4271</v>
      </c>
      <c r="C63" s="30">
        <v>129</v>
      </c>
      <c r="D63" s="20">
        <v>1992</v>
      </c>
      <c r="E63" s="19">
        <v>0.84911701807228912</v>
      </c>
      <c r="F63" s="13">
        <v>46.91</v>
      </c>
      <c r="G63" s="31">
        <v>1.9789000000000001</v>
      </c>
      <c r="H63" s="13" t="s">
        <v>5</v>
      </c>
      <c r="I63" s="32">
        <v>0.504</v>
      </c>
      <c r="J63" s="32"/>
      <c r="K63" s="6">
        <v>2.2232000608155799E-5</v>
      </c>
      <c r="L63" s="14">
        <v>4215</v>
      </c>
      <c r="M63" s="31" t="s">
        <v>5</v>
      </c>
      <c r="N63" s="13" t="s">
        <v>5</v>
      </c>
      <c r="O63" s="55">
        <f t="shared" si="1"/>
        <v>1.6757350740218978E-10</v>
      </c>
      <c r="P63" s="53">
        <f t="shared" si="2"/>
        <v>25487322347136.246</v>
      </c>
      <c r="Q63" s="55">
        <f t="shared" si="0"/>
        <v>6.069803016316059</v>
      </c>
      <c r="R63" s="55">
        <f t="shared" si="3"/>
        <v>-0.26965398243711558</v>
      </c>
    </row>
    <row r="64" spans="1:18" ht="15.75" x14ac:dyDescent="0.3">
      <c r="A64" s="4" t="s">
        <v>15</v>
      </c>
      <c r="B64" s="14">
        <v>5335</v>
      </c>
      <c r="C64" s="30">
        <v>189</v>
      </c>
      <c r="D64" s="20">
        <f>(9000*1.0501+39)</f>
        <v>9489.9</v>
      </c>
      <c r="E64" s="19">
        <f>(9000*1.0501*0.7561+14*0.8875+25*1.3218)/(9000*1.0501+39)</f>
        <v>0.75778411679785873</v>
      </c>
      <c r="F64" s="13">
        <v>49.47</v>
      </c>
      <c r="G64" s="31" t="s">
        <v>5</v>
      </c>
      <c r="H64" s="34">
        <v>6.5025002113312563E-4</v>
      </c>
      <c r="I64" s="32" t="s">
        <v>5</v>
      </c>
      <c r="J64" s="32"/>
      <c r="K64" s="23">
        <v>6.6363559345965624E-5</v>
      </c>
      <c r="L64" s="14">
        <v>7765</v>
      </c>
      <c r="M64" s="31" t="s">
        <v>5</v>
      </c>
      <c r="N64" s="34">
        <v>5.7769407632494139E-4</v>
      </c>
      <c r="O64" s="55">
        <f t="shared" si="1"/>
        <v>1.0379810924019771E-15</v>
      </c>
      <c r="P64" s="53">
        <f t="shared" si="2"/>
        <v>5.1397853381455657E+18</v>
      </c>
      <c r="Q64" s="55">
        <f t="shared" si="0"/>
        <v>6.9190066906549683</v>
      </c>
      <c r="R64" s="55">
        <f t="shared" si="3"/>
        <v>-0.20054220616908272</v>
      </c>
    </row>
    <row r="65" spans="1:18" ht="15.75" x14ac:dyDescent="0.3">
      <c r="A65" s="4" t="s">
        <v>15</v>
      </c>
      <c r="B65" s="14">
        <v>3615</v>
      </c>
      <c r="C65" s="30">
        <v>143</v>
      </c>
      <c r="D65" s="20">
        <v>1537</v>
      </c>
      <c r="E65" s="19">
        <v>0.83229050097592716</v>
      </c>
      <c r="F65" s="13">
        <v>44.76</v>
      </c>
      <c r="G65" s="31">
        <v>1.7962</v>
      </c>
      <c r="H65" s="13" t="s">
        <v>5</v>
      </c>
      <c r="I65" s="32">
        <v>0.23799999999999999</v>
      </c>
      <c r="J65" s="32"/>
      <c r="K65" s="6">
        <v>2.0970200000000001E-5</v>
      </c>
      <c r="L65" s="14">
        <v>5365</v>
      </c>
      <c r="M65" s="31">
        <v>1.7427999999999999</v>
      </c>
      <c r="N65" s="13" t="s">
        <v>5</v>
      </c>
      <c r="O65" s="55">
        <f t="shared" si="1"/>
        <v>1.5567193720553785E-9</v>
      </c>
      <c r="P65" s="53">
        <f t="shared" si="2"/>
        <v>2322191182875.4731</v>
      </c>
      <c r="Q65" s="55">
        <f t="shared" si="0"/>
        <v>5.8432245124034807</v>
      </c>
      <c r="R65" s="55">
        <f t="shared" si="3"/>
        <v>-0.28811770685968258</v>
      </c>
    </row>
    <row r="66" spans="1:18" ht="15.75" x14ac:dyDescent="0.3">
      <c r="A66" s="4" t="s">
        <v>15</v>
      </c>
      <c r="B66" s="14">
        <v>3992</v>
      </c>
      <c r="C66" s="30">
        <v>169</v>
      </c>
      <c r="D66" s="20">
        <v>1902.8279498619736</v>
      </c>
      <c r="E66" s="19">
        <v>0.83751465827147997</v>
      </c>
      <c r="F66" s="13">
        <v>46.98</v>
      </c>
      <c r="G66" s="31">
        <v>2.0244</v>
      </c>
      <c r="H66" s="13" t="s">
        <v>5</v>
      </c>
      <c r="I66" s="32">
        <v>0.188</v>
      </c>
      <c r="J66" s="32"/>
      <c r="K66" s="6">
        <v>2.8958600000000001E-5</v>
      </c>
      <c r="L66" s="14">
        <v>7108</v>
      </c>
      <c r="M66" s="31">
        <v>1.9049</v>
      </c>
      <c r="N66" s="13" t="s">
        <v>5</v>
      </c>
      <c r="O66" s="55">
        <f t="shared" si="1"/>
        <v>1.7072372531373738E-9</v>
      </c>
      <c r="P66" s="53">
        <f t="shared" si="2"/>
        <v>2338280747249.5298</v>
      </c>
      <c r="Q66" s="55">
        <f t="shared" si="0"/>
        <v>5.8690411804452198</v>
      </c>
      <c r="R66" s="55">
        <f t="shared" si="3"/>
        <v>-0.2907136899316386</v>
      </c>
    </row>
    <row r="67" spans="1:18" ht="15.75" x14ac:dyDescent="0.3">
      <c r="A67" s="4" t="s">
        <v>15</v>
      </c>
      <c r="B67" s="14">
        <v>3865</v>
      </c>
      <c r="C67" s="30">
        <v>154</v>
      </c>
      <c r="D67" s="20">
        <v>1611</v>
      </c>
      <c r="E67" s="19">
        <v>0.8241312228429547</v>
      </c>
      <c r="F67" s="13">
        <v>44.43</v>
      </c>
      <c r="G67" s="31">
        <v>1.8481000000000001</v>
      </c>
      <c r="H67" s="13" t="s">
        <v>5</v>
      </c>
      <c r="I67" s="32">
        <v>0.21</v>
      </c>
      <c r="J67" s="32"/>
      <c r="K67" s="6">
        <v>2.41219E-5</v>
      </c>
      <c r="L67" s="14">
        <v>5180</v>
      </c>
      <c r="M67" s="31">
        <v>1.7997000000000001</v>
      </c>
      <c r="N67" s="13" t="s">
        <v>5</v>
      </c>
      <c r="O67" s="55">
        <f t="shared" si="1"/>
        <v>1.7478875278485179E-9</v>
      </c>
      <c r="P67" s="53">
        <f t="shared" si="2"/>
        <v>2211240676770.3735</v>
      </c>
      <c r="Q67" s="55">
        <f t="shared" si="0"/>
        <v>5.8444299307271139</v>
      </c>
      <c r="R67" s="55">
        <f t="shared" si="3"/>
        <v>-0.28983243810725695</v>
      </c>
    </row>
    <row r="68" spans="1:18" ht="15.75" x14ac:dyDescent="0.3">
      <c r="A68" s="4" t="s">
        <v>15</v>
      </c>
      <c r="B68" s="14">
        <v>6058</v>
      </c>
      <c r="C68" s="30">
        <v>145</v>
      </c>
      <c r="D68" s="20">
        <f>(6523*1.0697+53)</f>
        <v>7030.6531000000004</v>
      </c>
      <c r="E68" s="19">
        <f>(6523*1.0697*0.7366+14*0.9432+39*1.248)/(6523*1.0697+53)</f>
        <v>0.73984820463692058</v>
      </c>
      <c r="F68" s="13">
        <v>48.64</v>
      </c>
      <c r="G68" s="31" t="s">
        <v>5</v>
      </c>
      <c r="H68" s="34">
        <v>5.9443490046187587E-4</v>
      </c>
      <c r="I68" s="32" t="s">
        <v>5</v>
      </c>
      <c r="J68" s="32"/>
      <c r="K68" s="23">
        <v>3.8767352612879179E-5</v>
      </c>
      <c r="L68" s="14">
        <v>7750</v>
      </c>
      <c r="M68" s="31" t="s">
        <v>5</v>
      </c>
      <c r="N68" s="34">
        <v>5.6165260662974735E-4</v>
      </c>
      <c r="O68" s="55">
        <f t="shared" si="1"/>
        <v>8.6400886669219671E-15</v>
      </c>
      <c r="P68" s="53">
        <f t="shared" si="2"/>
        <v>7.0115021194084147E+17</v>
      </c>
      <c r="Q68" s="55">
        <f t="shared" si="0"/>
        <v>6.8497748229386506</v>
      </c>
      <c r="R68" s="55">
        <f t="shared" si="3"/>
        <v>-0.21152794521655127</v>
      </c>
    </row>
    <row r="69" spans="1:18" ht="15.75" x14ac:dyDescent="0.3">
      <c r="A69" s="4" t="s">
        <v>15</v>
      </c>
      <c r="B69" s="14">
        <v>3365</v>
      </c>
      <c r="C69" s="30">
        <v>129</v>
      </c>
      <c r="D69" s="20">
        <v>1106</v>
      </c>
      <c r="E69" s="19">
        <v>0.83125307414104888</v>
      </c>
      <c r="F69" s="13">
        <v>38.78</v>
      </c>
      <c r="G69" s="31">
        <v>1.5330965401161434</v>
      </c>
      <c r="H69" s="13" t="s">
        <v>5</v>
      </c>
      <c r="I69" s="32">
        <v>0.45</v>
      </c>
      <c r="J69" s="32"/>
      <c r="K69" s="6">
        <v>1.6000600000000001E-5</v>
      </c>
      <c r="L69" s="14">
        <v>4960</v>
      </c>
      <c r="M69" s="35">
        <v>1.5794999999999999</v>
      </c>
      <c r="N69" s="13" t="s">
        <v>5</v>
      </c>
      <c r="O69" s="55">
        <f t="shared" si="1"/>
        <v>9.3238771838660583E-10</v>
      </c>
      <c r="P69" s="53">
        <f t="shared" si="2"/>
        <v>3609013647049.9946</v>
      </c>
      <c r="Q69" s="55">
        <f t="shared" si="0"/>
        <v>5.808121043006806</v>
      </c>
      <c r="R69" s="55">
        <f t="shared" si="3"/>
        <v>-0.27932693501109152</v>
      </c>
    </row>
    <row r="70" spans="1:18" ht="15.75" x14ac:dyDescent="0.3">
      <c r="A70" s="4" t="s">
        <v>15</v>
      </c>
      <c r="B70" s="14">
        <v>2415</v>
      </c>
      <c r="C70" s="30">
        <v>137</v>
      </c>
      <c r="D70" s="20">
        <v>716</v>
      </c>
      <c r="E70" s="19">
        <v>0.8440983240223463</v>
      </c>
      <c r="F70" s="13">
        <v>37.92</v>
      </c>
      <c r="G70" s="31">
        <v>1.3903466158085649</v>
      </c>
      <c r="H70" s="13" t="s">
        <v>5</v>
      </c>
      <c r="I70" s="32">
        <v>0.56000000000000005</v>
      </c>
      <c r="J70" s="32"/>
      <c r="K70" s="6">
        <v>1.4001E-5</v>
      </c>
      <c r="L70" s="14">
        <v>4815</v>
      </c>
      <c r="M70" s="31">
        <v>1.352737733274451</v>
      </c>
      <c r="N70" s="13" t="s">
        <v>5</v>
      </c>
      <c r="O70" s="55">
        <f t="shared" si="1"/>
        <v>1.5339608422452711E-8</v>
      </c>
      <c r="P70" s="53">
        <f t="shared" si="2"/>
        <v>157435570288.07889</v>
      </c>
      <c r="Q70" s="55">
        <f t="shared" si="0"/>
        <v>5.4361323747814705</v>
      </c>
      <c r="R70" s="55">
        <f t="shared" si="3"/>
        <v>-0.30212774252778096</v>
      </c>
    </row>
    <row r="71" spans="1:18" ht="15.75" x14ac:dyDescent="0.3">
      <c r="A71" s="4" t="s">
        <v>15</v>
      </c>
      <c r="B71" s="14">
        <v>5435</v>
      </c>
      <c r="C71" s="30">
        <v>192</v>
      </c>
      <c r="D71" s="20">
        <f>(7889*1.0674+47)</f>
        <v>8467.7186000000002</v>
      </c>
      <c r="E71" s="19">
        <f>(7889*1.0674*0.7451+26*0.9251+21*1.3754)/(7889*1.0674+47)</f>
        <v>0.7472158355451255</v>
      </c>
      <c r="F71" s="13">
        <v>51.74</v>
      </c>
      <c r="G71" s="31" t="s">
        <v>5</v>
      </c>
      <c r="H71" s="34">
        <v>6.4655033071049411E-4</v>
      </c>
      <c r="I71" s="32" t="s">
        <v>5</v>
      </c>
      <c r="J71" s="32"/>
      <c r="K71" s="23">
        <v>6.1927960315292786E-5</v>
      </c>
      <c r="L71" s="14">
        <v>9144</v>
      </c>
      <c r="M71" s="31" t="s">
        <v>5</v>
      </c>
      <c r="N71" s="34">
        <v>5.5389080596651176E-4</v>
      </c>
      <c r="O71" s="55">
        <f t="shared" si="1"/>
        <v>2.8907657765165025E-14</v>
      </c>
      <c r="P71" s="53">
        <f t="shared" si="2"/>
        <v>1.8801246521430074E+17</v>
      </c>
      <c r="Q71" s="55">
        <f t="shared" si="0"/>
        <v>6.7292744275711565</v>
      </c>
      <c r="R71" s="55">
        <f t="shared" si="3"/>
        <v>-0.21585711918433667</v>
      </c>
    </row>
    <row r="72" spans="1:18" ht="15.75" x14ac:dyDescent="0.3">
      <c r="A72" s="4" t="s">
        <v>15</v>
      </c>
      <c r="B72" s="14">
        <v>4535</v>
      </c>
      <c r="C72" s="30">
        <v>177</v>
      </c>
      <c r="D72" s="20">
        <v>2583</v>
      </c>
      <c r="E72" s="19">
        <v>0.78466681175390973</v>
      </c>
      <c r="F72" s="13">
        <v>47.68</v>
      </c>
      <c r="G72" s="31">
        <v>2.4142999999999999</v>
      </c>
      <c r="H72" s="13" t="s">
        <v>5</v>
      </c>
      <c r="I72" s="32">
        <v>0.125</v>
      </c>
      <c r="J72" s="32"/>
      <c r="K72" s="6">
        <v>3.9792000000000001E-5</v>
      </c>
      <c r="L72" s="14">
        <v>7617</v>
      </c>
      <c r="M72" s="31">
        <v>2.2368000000000001</v>
      </c>
      <c r="N72" s="13" t="s">
        <v>5</v>
      </c>
      <c r="O72" s="55">
        <f t="shared" si="1"/>
        <v>6.1376234350546544E-10</v>
      </c>
      <c r="P72" s="53">
        <f t="shared" si="2"/>
        <v>7388853434862.126</v>
      </c>
      <c r="Q72" s="55">
        <f t="shared" si="0"/>
        <v>6.0111201377739008</v>
      </c>
      <c r="R72" s="55">
        <f t="shared" si="3"/>
        <v>-0.28339083518657321</v>
      </c>
    </row>
    <row r="73" spans="1:18" ht="15.75" x14ac:dyDescent="0.3">
      <c r="A73" s="4" t="s">
        <v>15</v>
      </c>
      <c r="B73" s="14">
        <v>4575</v>
      </c>
      <c r="C73" s="30">
        <v>176</v>
      </c>
      <c r="D73" s="20">
        <v>2592.8721580424876</v>
      </c>
      <c r="E73" s="19">
        <v>0.79100877299711558</v>
      </c>
      <c r="F73" s="13">
        <v>48.11</v>
      </c>
      <c r="G73" s="31">
        <v>2.4289999999999998</v>
      </c>
      <c r="H73" s="13" t="s">
        <v>5</v>
      </c>
      <c r="I73" s="32">
        <v>0.127</v>
      </c>
      <c r="J73" s="32"/>
      <c r="K73" s="6">
        <v>3.7751499999999999E-5</v>
      </c>
      <c r="L73" s="14">
        <v>7449</v>
      </c>
      <c r="M73" s="31">
        <v>2.2591000000000001</v>
      </c>
      <c r="N73" s="13" t="s">
        <v>5</v>
      </c>
      <c r="O73" s="55">
        <f t="shared" si="1"/>
        <v>5.958948641333834E-10</v>
      </c>
      <c r="P73" s="53">
        <f t="shared" si="2"/>
        <v>7677528831621.7969</v>
      </c>
      <c r="Q73" s="55">
        <f t="shared" si="0"/>
        <v>6.0119158147709593</v>
      </c>
      <c r="R73" s="55">
        <f t="shared" si="3"/>
        <v>-0.28303413318181148</v>
      </c>
    </row>
    <row r="74" spans="1:18" ht="15.75" x14ac:dyDescent="0.3">
      <c r="A74" s="4" t="s">
        <v>15</v>
      </c>
      <c r="B74" s="14">
        <v>5238</v>
      </c>
      <c r="C74" s="30">
        <v>180</v>
      </c>
      <c r="D74" s="20">
        <f>(3780*1.0517+34)</f>
        <v>4009.4260000000004</v>
      </c>
      <c r="E74" s="19">
        <f>(3708*1.0517*0.7831+10*0.8186+12*0.9849+13*1.2101)/(3780*1.0517+34)</f>
        <v>0.77058261934750771</v>
      </c>
      <c r="F74" s="13">
        <v>47.23</v>
      </c>
      <c r="G74" s="31" t="s">
        <v>5</v>
      </c>
      <c r="H74" s="34">
        <v>6.8991210519779773E-4</v>
      </c>
      <c r="I74" s="32" t="s">
        <v>5</v>
      </c>
      <c r="J74" s="32"/>
      <c r="K74" s="23">
        <v>4.7141591724124223E-5</v>
      </c>
      <c r="L74" s="14">
        <v>7498</v>
      </c>
      <c r="M74" s="31" t="s">
        <v>5</v>
      </c>
      <c r="N74" s="34">
        <v>6.4085310365158106E-4</v>
      </c>
      <c r="O74" s="55">
        <f t="shared" si="1"/>
        <v>1.3673124199468146E-11</v>
      </c>
      <c r="P74" s="53">
        <f t="shared" si="2"/>
        <v>383087283022246.88</v>
      </c>
      <c r="Q74" s="55">
        <f t="shared" si="0"/>
        <v>6.3529099008225192</v>
      </c>
      <c r="R74" s="55">
        <f t="shared" si="3"/>
        <v>-0.25395803849593013</v>
      </c>
    </row>
    <row r="75" spans="1:18" ht="15.75" x14ac:dyDescent="0.3">
      <c r="A75" s="4" t="s">
        <v>15</v>
      </c>
      <c r="B75" s="14">
        <v>5055</v>
      </c>
      <c r="C75" s="30">
        <v>182</v>
      </c>
      <c r="D75" s="20">
        <f>(3692*1.0563+41)</f>
        <v>3940.8596000000002</v>
      </c>
      <c r="E75" s="19">
        <v>0.77850099024655151</v>
      </c>
      <c r="F75" s="13">
        <v>48.62</v>
      </c>
      <c r="G75" s="31" t="s">
        <v>5</v>
      </c>
      <c r="H75" s="34">
        <v>7.0605014368120415E-4</v>
      </c>
      <c r="I75" s="32" t="s">
        <v>5</v>
      </c>
      <c r="J75" s="32"/>
      <c r="K75" s="23">
        <v>4.4855980263368582E-5</v>
      </c>
      <c r="L75" s="14">
        <v>7608</v>
      </c>
      <c r="M75" s="31" t="s">
        <v>5</v>
      </c>
      <c r="N75" s="34">
        <v>6.4908090144355588E-4</v>
      </c>
      <c r="O75" s="55">
        <f t="shared" si="1"/>
        <v>2.5922292627492835E-11</v>
      </c>
      <c r="P75" s="53">
        <f t="shared" si="2"/>
        <v>195005899850027.47</v>
      </c>
      <c r="Q75" s="55">
        <f t="shared" si="0"/>
        <v>6.2983423436339896</v>
      </c>
      <c r="R75" s="55">
        <f t="shared" si="3"/>
        <v>-0.25838380305391423</v>
      </c>
    </row>
    <row r="76" spans="1:18" ht="15.75" x14ac:dyDescent="0.3">
      <c r="A76" s="4" t="s">
        <v>15</v>
      </c>
      <c r="B76" s="14">
        <v>5210</v>
      </c>
      <c r="C76" s="30">
        <v>195</v>
      </c>
      <c r="D76" s="20">
        <f>(11314*1.0606+39)</f>
        <v>12038.6284</v>
      </c>
      <c r="E76" s="19">
        <f>(11314*1.0606*0.7582+9*0.7775+21*0.9886+9*1.1347)/(11314*1.0606+39)</f>
        <v>0.75889780374647986</v>
      </c>
      <c r="F76" s="13">
        <v>52.72</v>
      </c>
      <c r="G76" s="31" t="s">
        <v>5</v>
      </c>
      <c r="H76" s="34">
        <v>6.4738327679519383E-4</v>
      </c>
      <c r="I76" s="32" t="s">
        <v>5</v>
      </c>
      <c r="J76" s="32"/>
      <c r="K76" s="23">
        <v>7.6181920712299812E-5</v>
      </c>
      <c r="L76" s="14">
        <v>9155</v>
      </c>
      <c r="M76" s="31" t="s">
        <v>5</v>
      </c>
      <c r="N76" s="34">
        <v>5.3544369541820829E-4</v>
      </c>
      <c r="O76" s="55">
        <f t="shared" si="1"/>
        <v>1.0754768149236688E-16</v>
      </c>
      <c r="P76" s="53">
        <f t="shared" si="2"/>
        <v>4.8443629167122268E+19</v>
      </c>
      <c r="Q76" s="55">
        <f t="shared" si="0"/>
        <v>6.9783169528023796</v>
      </c>
      <c r="R76" s="55">
        <f t="shared" si="3"/>
        <v>-0.18979013209181544</v>
      </c>
    </row>
    <row r="77" spans="1:18" ht="15.75" x14ac:dyDescent="0.3">
      <c r="A77" s="4" t="s">
        <v>15</v>
      </c>
      <c r="B77" s="14">
        <v>5019</v>
      </c>
      <c r="C77" s="30">
        <v>182</v>
      </c>
      <c r="D77" s="20">
        <f>(3422*1.1688+249)</f>
        <v>4248.6336000000001</v>
      </c>
      <c r="E77" s="19">
        <f>(3422*1.1688*0.7252+175*0.9668+52*1.4082+221.5793)/(3422*1.1688+249)</f>
        <v>0.79190871783342287</v>
      </c>
      <c r="F77" s="13">
        <v>50.99</v>
      </c>
      <c r="G77" s="31" t="s">
        <v>5</v>
      </c>
      <c r="H77" s="34">
        <v>6.8240753377917288E-4</v>
      </c>
      <c r="I77" s="32" t="s">
        <v>5</v>
      </c>
      <c r="J77" s="32"/>
      <c r="K77" s="23">
        <v>5.428996110097987E-5</v>
      </c>
      <c r="L77" s="14">
        <v>7897</v>
      </c>
      <c r="M77" s="31" t="s">
        <v>5</v>
      </c>
      <c r="N77" s="34">
        <v>6.0055371052110038E-4</v>
      </c>
      <c r="O77" s="55">
        <f t="shared" si="1"/>
        <v>2.249847304625934E-11</v>
      </c>
      <c r="P77" s="53">
        <f t="shared" si="2"/>
        <v>223081806026585</v>
      </c>
      <c r="Q77" s="55">
        <f t="shared" si="0"/>
        <v>6.3020473593389186</v>
      </c>
      <c r="R77" s="55">
        <f t="shared" si="3"/>
        <v>-0.2570420484191982</v>
      </c>
    </row>
    <row r="78" spans="1:18" ht="15.75" x14ac:dyDescent="0.3">
      <c r="A78" s="4" t="s">
        <v>15</v>
      </c>
      <c r="B78" s="14">
        <v>4786</v>
      </c>
      <c r="C78" s="30">
        <v>184</v>
      </c>
      <c r="D78" s="20">
        <f>3444*1.1903+272</f>
        <v>4371.3931999999995</v>
      </c>
      <c r="E78" s="19">
        <v>0.74776942167439542</v>
      </c>
      <c r="F78" s="13">
        <v>52.67</v>
      </c>
      <c r="G78" s="31" t="s">
        <v>5</v>
      </c>
      <c r="H78" s="34">
        <v>6.9102292123029714E-4</v>
      </c>
      <c r="I78" s="32" t="s">
        <v>5</v>
      </c>
      <c r="J78" s="32"/>
      <c r="K78" s="23">
        <v>6.0875900129307919E-5</v>
      </c>
      <c r="L78" s="14">
        <v>8361</v>
      </c>
      <c r="M78" s="31" t="s">
        <v>5</v>
      </c>
      <c r="N78" s="34">
        <v>6.0933996295213034E-4</v>
      </c>
      <c r="O78" s="55">
        <f t="shared" si="1"/>
        <v>7.6553862723633319E-11</v>
      </c>
      <c r="P78" s="53">
        <f t="shared" si="2"/>
        <v>62518073284921.445</v>
      </c>
      <c r="Q78" s="55">
        <f t="shared" si="0"/>
        <v>6.2116792874339479</v>
      </c>
      <c r="R78" s="55">
        <f t="shared" si="3"/>
        <v>-0.26667549097199689</v>
      </c>
    </row>
    <row r="79" spans="1:18" ht="15.75" x14ac:dyDescent="0.3">
      <c r="A79" s="4" t="s">
        <v>15</v>
      </c>
      <c r="B79" s="14">
        <v>5326</v>
      </c>
      <c r="C79" s="30">
        <v>182</v>
      </c>
      <c r="D79" s="20">
        <f>6022*1.0868+73</f>
        <v>6617.7096000000001</v>
      </c>
      <c r="E79" s="19">
        <v>0.76577585543240156</v>
      </c>
      <c r="F79" s="13">
        <v>51.08</v>
      </c>
      <c r="G79" s="31" t="s">
        <v>5</v>
      </c>
      <c r="H79" s="34">
        <v>6.5113068800000005E-4</v>
      </c>
      <c r="I79" s="32" t="s">
        <v>5</v>
      </c>
      <c r="J79" s="32"/>
      <c r="K79" s="23">
        <v>5.7696592598665659E-5</v>
      </c>
      <c r="L79" s="14">
        <v>8917</v>
      </c>
      <c r="M79" s="31" t="s">
        <v>5</v>
      </c>
      <c r="N79" s="34">
        <v>5.7037907393253553E-4</v>
      </c>
      <c r="O79" s="55">
        <f t="shared" si="1"/>
        <v>2.5692567725452885E-13</v>
      </c>
      <c r="P79" s="53">
        <f t="shared" si="2"/>
        <v>2.0729730313111856E+16</v>
      </c>
      <c r="Q79" s="55">
        <f t="shared" si="0"/>
        <v>6.6161099051394778</v>
      </c>
      <c r="R79" s="55">
        <f t="shared" si="3"/>
        <v>-0.22822049986523041</v>
      </c>
    </row>
    <row r="80" spans="1:18" ht="15.75" x14ac:dyDescent="0.3">
      <c r="A80" s="4" t="s">
        <v>15</v>
      </c>
      <c r="B80" s="14">
        <v>5217</v>
      </c>
      <c r="C80" s="30">
        <v>186</v>
      </c>
      <c r="D80" s="20">
        <f>(4400*1.1237+129)</f>
        <v>5073.28</v>
      </c>
      <c r="E80" s="19">
        <f>(4400*1.1237*0.7604+75.8464+42*1.295+12*1.3607)/(4400*1.1237+129)</f>
        <v>0.76995460766998858</v>
      </c>
      <c r="F80" s="13">
        <v>51.01</v>
      </c>
      <c r="G80" s="31" t="s">
        <v>5</v>
      </c>
      <c r="H80" s="34">
        <v>6.7575786244272957E-4</v>
      </c>
      <c r="I80" s="32" t="s">
        <v>5</v>
      </c>
      <c r="J80" s="32"/>
      <c r="K80" s="23">
        <v>5.8237185326586588E-5</v>
      </c>
      <c r="L80" s="14">
        <v>8444</v>
      </c>
      <c r="M80" s="31" t="s">
        <v>5</v>
      </c>
      <c r="N80" s="34">
        <v>6.0055371052110038E-4</v>
      </c>
      <c r="O80" s="55">
        <f t="shared" si="1"/>
        <v>6.4216067650915329E-12</v>
      </c>
      <c r="P80" s="53">
        <f t="shared" si="2"/>
        <v>812413495693959.88</v>
      </c>
      <c r="Q80" s="55">
        <f t="shared" si="0"/>
        <v>6.4009033547777161</v>
      </c>
      <c r="R80" s="55">
        <f t="shared" si="3"/>
        <v>-0.24837281208043085</v>
      </c>
    </row>
    <row r="81" spans="1:18" ht="15.75" x14ac:dyDescent="0.3">
      <c r="A81" s="4" t="s">
        <v>15</v>
      </c>
      <c r="B81" s="14">
        <v>5179</v>
      </c>
      <c r="C81" s="30">
        <v>203</v>
      </c>
      <c r="D81" s="20">
        <f>(10226*1.0717+91)</f>
        <v>11050.2042</v>
      </c>
      <c r="E81" s="19">
        <f>(10226*1.0717*0.7267+59*1.0275+32*1.5444)/(10226*1.0717+91)</f>
        <v>0.73067400800973437</v>
      </c>
      <c r="F81" s="13">
        <v>54.78</v>
      </c>
      <c r="G81" s="31" t="s">
        <v>5</v>
      </c>
      <c r="H81" s="34">
        <v>6.6808746601105021E-4</v>
      </c>
      <c r="I81" s="32" t="s">
        <v>5</v>
      </c>
      <c r="J81" s="32"/>
      <c r="K81" s="23">
        <v>7.5223557651672528E-5</v>
      </c>
      <c r="L81" s="14">
        <v>9680</v>
      </c>
      <c r="M81" s="31" t="s">
        <v>5</v>
      </c>
      <c r="N81" s="34">
        <v>5.4414957583540568E-4</v>
      </c>
      <c r="O81" s="55">
        <f t="shared" si="1"/>
        <v>4.5200521785158546E-15</v>
      </c>
      <c r="P81" s="53">
        <f t="shared" si="2"/>
        <v>1.1457832333476532E+18</v>
      </c>
      <c r="Q81" s="55">
        <f t="shared" si="0"/>
        <v>6.77957720791336</v>
      </c>
      <c r="R81" s="55">
        <f t="shared" si="3"/>
        <v>-0.20525356669901226</v>
      </c>
    </row>
    <row r="82" spans="1:18" ht="15.75" x14ac:dyDescent="0.3">
      <c r="A82" s="4" t="s">
        <v>15</v>
      </c>
      <c r="B82" s="14">
        <v>4756.0249999999996</v>
      </c>
      <c r="C82" s="30">
        <v>157</v>
      </c>
      <c r="D82" s="20">
        <f>(2213*1.1661+63)</f>
        <v>2643.5792999999999</v>
      </c>
      <c r="E82" s="19">
        <f>(2213*0.7641*1.1661+19*0.939+15*1.247+29*1.457)/(2213*1.1661+63)</f>
        <v>0.77569817675981945</v>
      </c>
      <c r="F82" s="13">
        <v>46.15</v>
      </c>
      <c r="G82" s="31" t="s">
        <v>5</v>
      </c>
      <c r="H82" s="31" t="s">
        <v>5</v>
      </c>
      <c r="I82" s="32" t="s">
        <v>5</v>
      </c>
      <c r="J82" s="32"/>
      <c r="K82" s="6">
        <v>3.76003E-5</v>
      </c>
      <c r="L82" s="31" t="s">
        <v>5</v>
      </c>
      <c r="M82" s="31" t="s">
        <v>5</v>
      </c>
      <c r="N82" s="13" t="s">
        <v>5</v>
      </c>
      <c r="O82" s="55">
        <f t="shared" si="1"/>
        <v>1.5664064495538567E-10</v>
      </c>
      <c r="P82" s="53">
        <f t="shared" si="2"/>
        <v>30362649498503.102</v>
      </c>
      <c r="Q82" s="55">
        <f t="shared" si="0"/>
        <v>6.1341261394878295</v>
      </c>
      <c r="R82" s="55">
        <f t="shared" si="3"/>
        <v>-0.27169721330366287</v>
      </c>
    </row>
    <row r="83" spans="1:18" ht="15.75" x14ac:dyDescent="0.3">
      <c r="A83" s="4" t="s">
        <v>15</v>
      </c>
      <c r="B83" s="14">
        <v>5249.65</v>
      </c>
      <c r="C83" s="30">
        <v>143</v>
      </c>
      <c r="D83" s="20">
        <v>1964</v>
      </c>
      <c r="E83" s="19">
        <v>0.69889205702647672</v>
      </c>
      <c r="F83" s="13">
        <v>44.34</v>
      </c>
      <c r="G83" s="31">
        <v>1.9510000000000001</v>
      </c>
      <c r="H83" s="13" t="s">
        <v>5</v>
      </c>
      <c r="I83" s="32">
        <v>0.223</v>
      </c>
      <c r="J83" s="32"/>
      <c r="K83" s="6">
        <v>2.46257E-5</v>
      </c>
      <c r="L83" s="14">
        <v>5594.65</v>
      </c>
      <c r="M83" s="31">
        <v>1.9350000000000001</v>
      </c>
      <c r="N83" s="13" t="s">
        <v>5</v>
      </c>
      <c r="O83" s="55">
        <f t="shared" si="1"/>
        <v>1.925482477955914E-9</v>
      </c>
      <c r="P83" s="53">
        <f t="shared" si="2"/>
        <v>2726407568024.7612</v>
      </c>
      <c r="Q83" s="55">
        <f t="shared" si="0"/>
        <v>5.8992335221990704</v>
      </c>
      <c r="R83" s="55">
        <f t="shared" si="3"/>
        <v>-0.29396089707256329</v>
      </c>
    </row>
    <row r="84" spans="1:18" ht="15.75" x14ac:dyDescent="0.3">
      <c r="A84" s="4" t="s">
        <v>15</v>
      </c>
      <c r="B84" s="14">
        <v>4315.0249999999996</v>
      </c>
      <c r="C84" s="30">
        <v>165</v>
      </c>
      <c r="D84" s="20">
        <v>1928</v>
      </c>
      <c r="E84" s="19">
        <v>0.76893049792531121</v>
      </c>
      <c r="F84" s="13">
        <v>45.91</v>
      </c>
      <c r="G84" s="31">
        <v>1.99082731299834</v>
      </c>
      <c r="H84" s="13" t="s">
        <v>5</v>
      </c>
      <c r="I84" s="32">
        <v>0.33200000000000002</v>
      </c>
      <c r="J84" s="32"/>
      <c r="K84" s="6">
        <v>3.0369200000000001E-5</v>
      </c>
      <c r="L84" s="14">
        <v>6213.0249999999996</v>
      </c>
      <c r="M84" s="31">
        <v>1.9061399734829223</v>
      </c>
      <c r="N84" s="13" t="s">
        <v>5</v>
      </c>
      <c r="O84" s="55">
        <f t="shared" si="1"/>
        <v>2.7682861186898769E-9</v>
      </c>
      <c r="P84" s="53">
        <f t="shared" si="2"/>
        <v>1558735193903.7883</v>
      </c>
      <c r="Q84" s="55">
        <f t="shared" si="0"/>
        <v>5.8469950250893401</v>
      </c>
      <c r="R84" s="55">
        <f t="shared" si="3"/>
        <v>-0.29672590288142953</v>
      </c>
    </row>
    <row r="85" spans="1:18" ht="15.75" x14ac:dyDescent="0.3">
      <c r="A85" s="4" t="s">
        <v>15</v>
      </c>
      <c r="B85" s="14">
        <v>2965</v>
      </c>
      <c r="C85" s="30">
        <v>147</v>
      </c>
      <c r="D85" s="20">
        <v>1022</v>
      </c>
      <c r="E85" s="19">
        <v>0.85086647116324532</v>
      </c>
      <c r="F85" s="13">
        <v>41.15</v>
      </c>
      <c r="G85" s="31">
        <v>1.5425604341844183</v>
      </c>
      <c r="H85" s="13" t="s">
        <v>5</v>
      </c>
      <c r="I85" s="32">
        <v>0.33800000000000002</v>
      </c>
      <c r="J85" s="32"/>
      <c r="K85" s="6">
        <v>1.72767E-5</v>
      </c>
      <c r="L85" s="14">
        <v>4253</v>
      </c>
      <c r="M85" s="31">
        <v>1.5130603680982628</v>
      </c>
      <c r="N85" s="13" t="s">
        <v>5</v>
      </c>
      <c r="O85" s="55">
        <f t="shared" ref="O85:O148" si="4" xml:space="preserve"> EXP(Q85/R85)</f>
        <v>6.8342056084301752E-9</v>
      </c>
      <c r="P85" s="53">
        <f t="shared" ref="P85:P148" si="5">ABS((B85-O85)/O85)</f>
        <v>433847058440.23175</v>
      </c>
      <c r="Q85" s="55">
        <f t="shared" ref="Q85:Q148" si="6">(   ($B$1 + $B$2*LN(C85))  * ($B$3 + $B$4*LN(F85))  * ($B$5 + $B$6*LN(D85))  * ($B$7 + $B$8*LN(E85))  )</f>
        <v>5.61361991592665</v>
      </c>
      <c r="R85" s="55">
        <f t="shared" ref="R85:R148" si="7">(   ($B$9 + $B$10*LN(C85))  * ($B$11 + $B$12*LN(F85))  * ($B$13 + $B$14*LN(D85))  * ($B$15 + $B$16*LN(E85))  )</f>
        <v>-0.29857575130992192</v>
      </c>
    </row>
    <row r="86" spans="1:18" ht="15.75" x14ac:dyDescent="0.3">
      <c r="A86" s="4" t="s">
        <v>15</v>
      </c>
      <c r="B86" s="14">
        <v>3169.6959999999999</v>
      </c>
      <c r="C86" s="30">
        <v>157.9</v>
      </c>
      <c r="D86" s="20">
        <v>1190</v>
      </c>
      <c r="E86" s="19">
        <v>0.8476117647058824</v>
      </c>
      <c r="F86" s="13">
        <v>42.3</v>
      </c>
      <c r="G86" s="31">
        <v>1.639</v>
      </c>
      <c r="H86" s="13" t="s">
        <v>5</v>
      </c>
      <c r="I86" s="32">
        <v>0.28499999999999998</v>
      </c>
      <c r="J86" s="32"/>
      <c r="K86" s="23">
        <v>2.0018016214593399E-5</v>
      </c>
      <c r="L86" s="14">
        <v>7514.6959999999999</v>
      </c>
      <c r="M86" s="31">
        <v>1.544</v>
      </c>
      <c r="N86" s="13" t="s">
        <v>5</v>
      </c>
      <c r="O86" s="55">
        <f t="shared" si="4"/>
        <v>5.7974211455115749E-9</v>
      </c>
      <c r="P86" s="53">
        <f t="shared" si="5"/>
        <v>546742408466.94647</v>
      </c>
      <c r="Q86" s="55">
        <f t="shared" si="6"/>
        <v>5.6671621593995667</v>
      </c>
      <c r="R86" s="55">
        <f t="shared" si="7"/>
        <v>-0.29880872030770278</v>
      </c>
    </row>
    <row r="87" spans="1:18" ht="15.75" x14ac:dyDescent="0.3">
      <c r="A87" s="4" t="s">
        <v>15</v>
      </c>
      <c r="B87" s="14">
        <v>4115.0249999999996</v>
      </c>
      <c r="C87" s="30">
        <v>147</v>
      </c>
      <c r="D87" s="20">
        <v>1858</v>
      </c>
      <c r="E87" s="19">
        <v>0.82734391819160391</v>
      </c>
      <c r="F87" s="13">
        <v>45.53</v>
      </c>
      <c r="G87" s="31">
        <v>2.0020581987014658</v>
      </c>
      <c r="H87" s="13" t="s">
        <v>5</v>
      </c>
      <c r="I87" s="32">
        <v>0.215</v>
      </c>
      <c r="J87" s="32"/>
      <c r="K87" s="6">
        <v>2.4649699999999999E-5</v>
      </c>
      <c r="L87" s="14">
        <v>5637.0249999999996</v>
      </c>
      <c r="M87" s="31">
        <v>1.9392476670579872</v>
      </c>
      <c r="N87" s="13" t="s">
        <v>5</v>
      </c>
      <c r="O87" s="55">
        <f t="shared" si="4"/>
        <v>6.1658955806260181E-10</v>
      </c>
      <c r="P87" s="53">
        <f t="shared" si="5"/>
        <v>6673848018006.1504</v>
      </c>
      <c r="Q87" s="55">
        <f t="shared" si="6"/>
        <v>5.9584504226673332</v>
      </c>
      <c r="R87" s="55">
        <f t="shared" si="7"/>
        <v>-0.28096862778881948</v>
      </c>
    </row>
    <row r="88" spans="1:18" ht="15.75" x14ac:dyDescent="0.3">
      <c r="A88" s="4" t="s">
        <v>15</v>
      </c>
      <c r="B88" s="14">
        <v>3005.6959999999999</v>
      </c>
      <c r="C88" s="30">
        <v>156</v>
      </c>
      <c r="D88" s="20">
        <v>1235</v>
      </c>
      <c r="E88" s="19">
        <v>0.86626456310679611</v>
      </c>
      <c r="F88" s="13">
        <v>42.3</v>
      </c>
      <c r="G88" s="31">
        <v>1.657</v>
      </c>
      <c r="H88" s="13" t="s">
        <v>5</v>
      </c>
      <c r="I88" s="32">
        <v>0.29399999999999998</v>
      </c>
      <c r="J88" s="32"/>
      <c r="K88" s="23">
        <v>1.9306598903568971E-5</v>
      </c>
      <c r="L88" s="14">
        <v>7609.6959999999999</v>
      </c>
      <c r="M88" s="31">
        <v>1.556</v>
      </c>
      <c r="N88" s="13" t="s">
        <v>5</v>
      </c>
      <c r="O88" s="55">
        <f t="shared" si="4"/>
        <v>3.1887550454202899E-9</v>
      </c>
      <c r="P88" s="53">
        <f t="shared" si="5"/>
        <v>942592314926.67041</v>
      </c>
      <c r="Q88" s="55">
        <f t="shared" si="6"/>
        <v>5.7243253434034171</v>
      </c>
      <c r="R88" s="55">
        <f t="shared" si="7"/>
        <v>-0.29260028957263584</v>
      </c>
    </row>
    <row r="89" spans="1:18" ht="15.75" x14ac:dyDescent="0.3">
      <c r="A89" s="4" t="s">
        <v>15</v>
      </c>
      <c r="B89" s="14">
        <v>1265.0250000000001</v>
      </c>
      <c r="C89" s="30">
        <v>157</v>
      </c>
      <c r="D89" s="20">
        <v>338</v>
      </c>
      <c r="E89" s="19">
        <v>0.82463204747774488</v>
      </c>
      <c r="F89" s="13">
        <v>43.65</v>
      </c>
      <c r="G89" s="31">
        <v>1.2838000000000001</v>
      </c>
      <c r="H89" s="13" t="s">
        <v>5</v>
      </c>
      <c r="I89" s="32">
        <v>0.56599999999999995</v>
      </c>
      <c r="J89" s="32"/>
      <c r="K89" s="6">
        <v>1.36184E-5</v>
      </c>
      <c r="L89" s="14">
        <v>3165.0250000000001</v>
      </c>
      <c r="M89" s="31">
        <v>1.2577</v>
      </c>
      <c r="N89" s="13" t="s">
        <v>5</v>
      </c>
      <c r="O89" s="55">
        <f t="shared" si="4"/>
        <v>8.3827960308485481E-6</v>
      </c>
      <c r="P89" s="53">
        <f t="shared" si="5"/>
        <v>150907285.22582841</v>
      </c>
      <c r="Q89" s="55">
        <f t="shared" si="6"/>
        <v>4.5458567730272215</v>
      </c>
      <c r="R89" s="55">
        <f t="shared" si="7"/>
        <v>-0.38888945259043778</v>
      </c>
    </row>
    <row r="90" spans="1:18" ht="15.75" x14ac:dyDescent="0.3">
      <c r="A90" s="4" t="s">
        <v>15</v>
      </c>
      <c r="B90" s="14">
        <v>5276</v>
      </c>
      <c r="C90" s="30">
        <v>170</v>
      </c>
      <c r="D90" s="20">
        <f>(7187*1.2099+263)</f>
        <v>8958.5512999999992</v>
      </c>
      <c r="E90" s="19">
        <f>(7187*1.2099*0.7258+263*1.2356)/(7187*1.2099+263)</f>
        <v>0.74076641538459465</v>
      </c>
      <c r="F90" s="13">
        <v>51.27</v>
      </c>
      <c r="G90" s="31" t="s">
        <v>5</v>
      </c>
      <c r="H90" s="34">
        <v>6.2776609435324395E-4</v>
      </c>
      <c r="I90" s="32" t="s">
        <v>5</v>
      </c>
      <c r="J90" s="32"/>
      <c r="K90" s="23">
        <v>5.8542578969883249E-5</v>
      </c>
      <c r="L90" s="14">
        <v>9715</v>
      </c>
      <c r="M90" s="31" t="s">
        <v>5</v>
      </c>
      <c r="N90" s="34">
        <v>5.3098566869680191E-4</v>
      </c>
      <c r="O90" s="55">
        <f t="shared" si="4"/>
        <v>3.6547651746112558E-15</v>
      </c>
      <c r="P90" s="53">
        <f t="shared" si="5"/>
        <v>1.4435947996470633E+18</v>
      </c>
      <c r="Q90" s="55">
        <f t="shared" si="6"/>
        <v>6.8565915529012536</v>
      </c>
      <c r="R90" s="55">
        <f t="shared" si="7"/>
        <v>-0.20625828719653352</v>
      </c>
    </row>
    <row r="91" spans="1:18" ht="15.75" x14ac:dyDescent="0.3">
      <c r="A91" s="4" t="s">
        <v>15</v>
      </c>
      <c r="B91" s="14">
        <v>4925</v>
      </c>
      <c r="C91" s="30">
        <v>174</v>
      </c>
      <c r="D91" s="20">
        <f>3423*1.1713+201</f>
        <v>4210.3598999999995</v>
      </c>
      <c r="E91" s="19">
        <f>(3423*1.1713*0.7514+106*0.8642+95*1.4455)/(3423*1.1713+201)</f>
        <v>0.76990110248294918</v>
      </c>
      <c r="F91" s="13">
        <v>48.39</v>
      </c>
      <c r="G91" s="31" t="s">
        <v>5</v>
      </c>
      <c r="H91" s="34">
        <v>6.8674243724890977E-4</v>
      </c>
      <c r="I91" s="32" t="s">
        <v>5</v>
      </c>
      <c r="J91" s="32"/>
      <c r="K91" s="23">
        <v>4.9084457480247505E-5</v>
      </c>
      <c r="L91" s="14">
        <v>8620</v>
      </c>
      <c r="M91" s="31" t="s">
        <v>5</v>
      </c>
      <c r="N91" s="34">
        <v>6.1396776669224863E-4</v>
      </c>
      <c r="O91" s="55">
        <f t="shared" si="4"/>
        <v>1.0331524716902085E-11</v>
      </c>
      <c r="P91" s="53">
        <f t="shared" si="5"/>
        <v>476696338144826.63</v>
      </c>
      <c r="Q91" s="55">
        <f t="shared" si="6"/>
        <v>6.3742039854156269</v>
      </c>
      <c r="R91" s="55">
        <f t="shared" si="7"/>
        <v>-0.25198644172199325</v>
      </c>
    </row>
    <row r="92" spans="1:18" ht="15.75" x14ac:dyDescent="0.3">
      <c r="A92" s="4" t="s">
        <v>15</v>
      </c>
      <c r="B92" s="14">
        <v>4884</v>
      </c>
      <c r="C92" s="30">
        <v>178</v>
      </c>
      <c r="D92" s="20">
        <f>(4003*1.2158+288)</f>
        <v>5154.8473999999997</v>
      </c>
      <c r="E92" s="19">
        <f>(4003*1.2158*0.7362+288*1.2696)/(4003*1.2158+288)</f>
        <v>0.7660009209739167</v>
      </c>
      <c r="F92" s="13">
        <v>49.47</v>
      </c>
      <c r="G92" s="31" t="s">
        <v>5</v>
      </c>
      <c r="H92" s="34">
        <v>6.7260803766605007E-4</v>
      </c>
      <c r="I92" s="32" t="s">
        <v>5</v>
      </c>
      <c r="J92" s="32"/>
      <c r="K92" s="23">
        <v>5.5507535049465321E-5</v>
      </c>
      <c r="L92" s="14">
        <v>8960</v>
      </c>
      <c r="M92" s="31" t="s">
        <v>5</v>
      </c>
      <c r="N92" s="34">
        <v>5.8540811726895403E-4</v>
      </c>
      <c r="O92" s="55">
        <f t="shared" si="4"/>
        <v>2.2728160547567552E-12</v>
      </c>
      <c r="P92" s="53">
        <f t="shared" si="5"/>
        <v>2148876056105957.5</v>
      </c>
      <c r="Q92" s="55">
        <f t="shared" si="6"/>
        <v>6.4830590038674885</v>
      </c>
      <c r="R92" s="55">
        <f t="shared" si="7"/>
        <v>-0.24181494371567394</v>
      </c>
    </row>
    <row r="93" spans="1:18" ht="15.75" x14ac:dyDescent="0.3">
      <c r="A93" s="4" t="s">
        <v>15</v>
      </c>
      <c r="B93" s="14">
        <v>3815</v>
      </c>
      <c r="C93" s="30">
        <v>174</v>
      </c>
      <c r="D93" s="20">
        <v>1784</v>
      </c>
      <c r="E93" s="19">
        <v>0.83123413677130042</v>
      </c>
      <c r="F93" s="13">
        <v>48.3</v>
      </c>
      <c r="G93" s="31">
        <v>1.9897</v>
      </c>
      <c r="H93" s="13" t="s">
        <v>5</v>
      </c>
      <c r="I93" s="32">
        <v>0.20899999999999999</v>
      </c>
      <c r="J93" s="32"/>
      <c r="K93" s="6">
        <v>2.88053E-5</v>
      </c>
      <c r="L93" s="14">
        <v>6115</v>
      </c>
      <c r="M93" s="31">
        <v>1.89041397</v>
      </c>
      <c r="N93" s="13" t="s">
        <v>5</v>
      </c>
      <c r="O93" s="55">
        <f t="shared" si="4"/>
        <v>5.3743149534344152E-9</v>
      </c>
      <c r="P93" s="53">
        <f t="shared" si="5"/>
        <v>709857913622.40112</v>
      </c>
      <c r="Q93" s="55">
        <f t="shared" si="6"/>
        <v>5.7548721890723327</v>
      </c>
      <c r="R93" s="55">
        <f t="shared" si="7"/>
        <v>-0.30222574233873928</v>
      </c>
    </row>
    <row r="94" spans="1:18" ht="15.75" x14ac:dyDescent="0.3">
      <c r="A94" s="4" t="s">
        <v>15</v>
      </c>
      <c r="B94" s="14">
        <v>4374</v>
      </c>
      <c r="C94" s="30">
        <v>174</v>
      </c>
      <c r="D94" s="20">
        <v>2615</v>
      </c>
      <c r="E94" s="19">
        <v>0.79573762906309753</v>
      </c>
      <c r="F94" s="13">
        <v>47.5</v>
      </c>
      <c r="G94" s="31">
        <v>2.4460000000000002</v>
      </c>
      <c r="H94" s="13" t="s">
        <v>5</v>
      </c>
      <c r="I94" s="32">
        <v>0.14699999999999999</v>
      </c>
      <c r="J94" s="32"/>
      <c r="K94" s="6">
        <v>3.5503000000000002E-5</v>
      </c>
      <c r="L94" s="14">
        <v>6415</v>
      </c>
      <c r="M94" s="31">
        <v>2.3170000000000002</v>
      </c>
      <c r="N94" s="13" t="s">
        <v>5</v>
      </c>
      <c r="O94" s="55">
        <f t="shared" si="4"/>
        <v>3.8725363295431037E-10</v>
      </c>
      <c r="P94" s="53">
        <f t="shared" si="5"/>
        <v>11294923088599.336</v>
      </c>
      <c r="Q94" s="55">
        <f t="shared" si="6"/>
        <v>6.0494227091846371</v>
      </c>
      <c r="R94" s="55">
        <f t="shared" si="7"/>
        <v>-0.27913617141783248</v>
      </c>
    </row>
    <row r="95" spans="1:18" ht="15.75" x14ac:dyDescent="0.3">
      <c r="A95" s="4" t="s">
        <v>15</v>
      </c>
      <c r="B95" s="14">
        <v>4161</v>
      </c>
      <c r="C95" s="30">
        <v>169</v>
      </c>
      <c r="D95" s="20">
        <v>2206</v>
      </c>
      <c r="E95" s="19">
        <v>0.81640797824116051</v>
      </c>
      <c r="F95" s="13">
        <v>46.200069761207317</v>
      </c>
      <c r="G95" s="31">
        <v>2.14764883740115</v>
      </c>
      <c r="H95" s="13" t="s">
        <v>5</v>
      </c>
      <c r="I95" s="32">
        <v>0.17599999999999999</v>
      </c>
      <c r="J95" s="32"/>
      <c r="K95" s="23">
        <v>3.2677395172111213E-5</v>
      </c>
      <c r="L95" s="14">
        <v>6365</v>
      </c>
      <c r="M95" s="31">
        <v>2.0428687487688331</v>
      </c>
      <c r="N95" s="13" t="s">
        <v>5</v>
      </c>
      <c r="O95" s="55">
        <f t="shared" si="4"/>
        <v>5.8082318754014685E-10</v>
      </c>
      <c r="P95" s="53">
        <f t="shared" si="5"/>
        <v>7163970187935.7354</v>
      </c>
      <c r="Q95" s="55">
        <f t="shared" si="6"/>
        <v>5.9909701258617583</v>
      </c>
      <c r="R95" s="55">
        <f t="shared" si="7"/>
        <v>-0.2817082770492858</v>
      </c>
    </row>
    <row r="96" spans="1:18" ht="15.75" x14ac:dyDescent="0.3">
      <c r="A96" s="4" t="s">
        <v>15</v>
      </c>
      <c r="B96" s="14">
        <v>5490</v>
      </c>
      <c r="C96" s="30">
        <v>173</v>
      </c>
      <c r="D96" s="20">
        <f>(5372*1.1437+205)</f>
        <v>6348.9564</v>
      </c>
      <c r="E96" s="19">
        <f>(5372*1.1437*0.708+126*0.8667+11*0.8733+25*1.0918+44*1.501)/(5372*1.1437+205)</f>
        <v>0.71855441174552726</v>
      </c>
      <c r="F96" s="13">
        <v>53.3</v>
      </c>
      <c r="G96" s="31" t="s">
        <v>5</v>
      </c>
      <c r="H96" s="34">
        <v>6.4029914776183422E-4</v>
      </c>
      <c r="I96" s="32" t="s">
        <v>5</v>
      </c>
      <c r="J96" s="32"/>
      <c r="K96" s="23">
        <v>5.2520973167628993E-5</v>
      </c>
      <c r="L96" s="14">
        <v>7215</v>
      </c>
      <c r="M96" s="31" t="s">
        <v>5</v>
      </c>
      <c r="N96" s="34">
        <v>5.9466466859338027E-4</v>
      </c>
      <c r="O96" s="55">
        <f t="shared" si="4"/>
        <v>2.0387009637119807E-12</v>
      </c>
      <c r="P96" s="53">
        <f t="shared" si="5"/>
        <v>2692891256599024.5</v>
      </c>
      <c r="Q96" s="55">
        <f t="shared" si="6"/>
        <v>6.4799201729441593</v>
      </c>
      <c r="R96" s="55">
        <f t="shared" si="7"/>
        <v>-0.24072180961718925</v>
      </c>
    </row>
    <row r="97" spans="1:18" ht="15.75" x14ac:dyDescent="0.3">
      <c r="A97" s="4" t="s">
        <v>15</v>
      </c>
      <c r="B97" s="14">
        <v>4633</v>
      </c>
      <c r="C97" s="30">
        <v>175</v>
      </c>
      <c r="D97" s="20">
        <v>2870</v>
      </c>
      <c r="E97" s="19">
        <v>0.77762717770034839</v>
      </c>
      <c r="F97" s="13">
        <v>50.2</v>
      </c>
      <c r="G97" s="31">
        <v>2.4930187474406478</v>
      </c>
      <c r="H97" s="13" t="s">
        <v>5</v>
      </c>
      <c r="I97" s="32">
        <v>0.123</v>
      </c>
      <c r="J97" s="32"/>
      <c r="K97" s="23">
        <v>3.9453414659042241E-5</v>
      </c>
      <c r="L97" s="14">
        <v>6900</v>
      </c>
      <c r="M97" s="31">
        <v>2.3387812897176889</v>
      </c>
      <c r="N97" s="13" t="s">
        <v>5</v>
      </c>
      <c r="O97" s="55">
        <f t="shared" si="4"/>
        <v>6.1743701181309409E-10</v>
      </c>
      <c r="P97" s="53">
        <f t="shared" si="5"/>
        <v>7503599413962.3262</v>
      </c>
      <c r="Q97" s="55">
        <f t="shared" si="6"/>
        <v>6.0183331346124316</v>
      </c>
      <c r="R97" s="55">
        <f t="shared" si="7"/>
        <v>-0.28381075719098026</v>
      </c>
    </row>
    <row r="98" spans="1:18" ht="15.75" x14ac:dyDescent="0.3">
      <c r="A98" s="4" t="s">
        <v>15</v>
      </c>
      <c r="B98" s="14">
        <v>4618</v>
      </c>
      <c r="C98" s="30">
        <v>205</v>
      </c>
      <c r="D98" s="20">
        <v>3786</v>
      </c>
      <c r="E98" s="19">
        <v>0.7799001584786055</v>
      </c>
      <c r="F98" s="13">
        <v>47.6</v>
      </c>
      <c r="G98" s="31">
        <v>3.1960000000000002</v>
      </c>
      <c r="H98" s="13" t="s">
        <v>5</v>
      </c>
      <c r="I98" s="32">
        <v>9.7000000000000003E-2</v>
      </c>
      <c r="J98" s="32"/>
      <c r="K98" s="23">
        <v>7.0318049317459581E-5</v>
      </c>
      <c r="L98" s="14">
        <v>7362</v>
      </c>
      <c r="M98" s="31">
        <v>2.8834312</v>
      </c>
      <c r="N98" s="13" t="s">
        <v>5</v>
      </c>
      <c r="O98" s="55">
        <f t="shared" si="4"/>
        <v>5.8625549092170181E-11</v>
      </c>
      <c r="P98" s="53">
        <f t="shared" si="5"/>
        <v>78771117226375.031</v>
      </c>
      <c r="Q98" s="55">
        <f t="shared" si="6"/>
        <v>6.2301935065872192</v>
      </c>
      <c r="R98" s="55">
        <f t="shared" si="7"/>
        <v>-0.26444113049433865</v>
      </c>
    </row>
    <row r="99" spans="1:18" ht="15.75" x14ac:dyDescent="0.3">
      <c r="A99" s="4" t="s">
        <v>15</v>
      </c>
      <c r="B99" s="14">
        <v>4856</v>
      </c>
      <c r="C99" s="30">
        <v>165</v>
      </c>
      <c r="D99" s="20">
        <v>3878</v>
      </c>
      <c r="E99" s="19">
        <v>0.81859073191566978</v>
      </c>
      <c r="F99" s="13">
        <v>49.45</v>
      </c>
      <c r="G99" s="31">
        <v>3.048</v>
      </c>
      <c r="H99" s="13" t="s">
        <v>5</v>
      </c>
      <c r="I99" s="32">
        <v>0.11</v>
      </c>
      <c r="J99" s="32"/>
      <c r="K99" s="6">
        <v>5.1286399999999997E-5</v>
      </c>
      <c r="L99" s="14">
        <v>7015</v>
      </c>
      <c r="M99" s="31">
        <v>2.8382000000000001</v>
      </c>
      <c r="N99" s="13" t="s">
        <v>5</v>
      </c>
      <c r="O99" s="55">
        <f t="shared" si="4"/>
        <v>9.2336812269775059E-12</v>
      </c>
      <c r="P99" s="53">
        <f t="shared" si="5"/>
        <v>525900762722076.63</v>
      </c>
      <c r="Q99" s="55">
        <f t="shared" si="6"/>
        <v>6.3667850760735814</v>
      </c>
      <c r="R99" s="55">
        <f t="shared" si="7"/>
        <v>-0.25058029568552515</v>
      </c>
    </row>
    <row r="100" spans="1:18" ht="15.75" x14ac:dyDescent="0.3">
      <c r="A100" s="4" t="s">
        <v>15</v>
      </c>
      <c r="B100" s="14">
        <v>5098</v>
      </c>
      <c r="C100" s="30">
        <v>173</v>
      </c>
      <c r="D100" s="20">
        <f>(8735*1.0801+65)</f>
        <v>9499.6735000000008</v>
      </c>
      <c r="E100" s="19">
        <f>(8735*1.0801*0.8086+36*0.8771+29*1.416)/(8735*1.0801+65)</f>
        <v>0.81071382001707748</v>
      </c>
      <c r="F100" s="13">
        <v>50.63</v>
      </c>
      <c r="G100" s="31" t="s">
        <v>5</v>
      </c>
      <c r="H100" s="34">
        <v>6.1843683899999902E-4</v>
      </c>
      <c r="I100" s="32" t="s">
        <v>5</v>
      </c>
      <c r="J100" s="32"/>
      <c r="K100" s="23">
        <v>6.5297767629066359E-5</v>
      </c>
      <c r="L100" s="14">
        <v>7215</v>
      </c>
      <c r="M100" s="31" t="s">
        <v>5</v>
      </c>
      <c r="N100" s="34">
        <v>5.5541978627446625E-4</v>
      </c>
      <c r="O100" s="55">
        <f t="shared" si="4"/>
        <v>1.6715690328869806E-16</v>
      </c>
      <c r="P100" s="53">
        <f t="shared" si="5"/>
        <v>3.0498291722928144E+19</v>
      </c>
      <c r="Q100" s="55">
        <f t="shared" si="6"/>
        <v>7.0116568115969358</v>
      </c>
      <c r="R100" s="55">
        <f t="shared" si="7"/>
        <v>-0.19301184362747806</v>
      </c>
    </row>
    <row r="101" spans="1:18" ht="15.75" x14ac:dyDescent="0.3">
      <c r="A101" s="4" t="s">
        <v>15</v>
      </c>
      <c r="B101" s="14">
        <v>4695</v>
      </c>
      <c r="C101" s="30">
        <v>184</v>
      </c>
      <c r="D101" s="20">
        <f>(13859*1.0736+58)</f>
        <v>14937.022400000002</v>
      </c>
      <c r="E101" s="19">
        <f>(13859*1.0736*0.7393+30*1.0133+28*1.3807)/(13859*1.0736+58)</f>
        <v>0.74105263846427649</v>
      </c>
      <c r="F101" s="13">
        <v>54.68</v>
      </c>
      <c r="G101" s="31" t="s">
        <v>5</v>
      </c>
      <c r="H101" s="34">
        <v>6.7487312385271572E-4</v>
      </c>
      <c r="I101" s="32" t="s">
        <v>5</v>
      </c>
      <c r="J101" s="32"/>
      <c r="K101" s="23">
        <v>9.5971359558316165E-5</v>
      </c>
      <c r="L101" s="14">
        <v>8057</v>
      </c>
      <c r="M101" s="31" t="s">
        <v>5</v>
      </c>
      <c r="N101" s="34">
        <v>5.521140446770685E-4</v>
      </c>
      <c r="O101" s="55">
        <f t="shared" si="4"/>
        <v>3.2087203599183819E-18</v>
      </c>
      <c r="P101" s="53">
        <f t="shared" si="5"/>
        <v>1.4632001151136222E+21</v>
      </c>
      <c r="Q101" s="55">
        <f t="shared" si="6"/>
        <v>7.0934122751716995</v>
      </c>
      <c r="R101" s="55">
        <f t="shared" si="7"/>
        <v>-0.17609970568053765</v>
      </c>
    </row>
    <row r="102" spans="1:18" ht="15.75" x14ac:dyDescent="0.3">
      <c r="A102" s="4" t="s">
        <v>15</v>
      </c>
      <c r="B102" s="14">
        <v>3658</v>
      </c>
      <c r="C102" s="30">
        <v>165</v>
      </c>
      <c r="D102" s="20">
        <v>1925</v>
      </c>
      <c r="E102" s="19">
        <v>0.81186086770028443</v>
      </c>
      <c r="F102" s="13">
        <v>46.8</v>
      </c>
      <c r="G102" s="31">
        <v>2.0635741274033896</v>
      </c>
      <c r="H102" s="13" t="s">
        <v>5</v>
      </c>
      <c r="I102" s="32">
        <v>0.17435896980184501</v>
      </c>
      <c r="J102" s="32"/>
      <c r="K102" s="6">
        <v>2.7064067788050001E-5</v>
      </c>
      <c r="L102" s="14">
        <v>8330</v>
      </c>
      <c r="M102" s="31">
        <v>1.8912825290639923</v>
      </c>
      <c r="N102" s="13" t="s">
        <v>5</v>
      </c>
      <c r="O102" s="55">
        <f t="shared" si="4"/>
        <v>1.9033181823766249E-9</v>
      </c>
      <c r="P102" s="53">
        <f t="shared" si="5"/>
        <v>1921906717367.8999</v>
      </c>
      <c r="Q102" s="55">
        <f t="shared" si="6"/>
        <v>5.8685998770962922</v>
      </c>
      <c r="R102" s="55">
        <f t="shared" si="7"/>
        <v>-0.29226579598741098</v>
      </c>
    </row>
    <row r="103" spans="1:18" ht="15.75" x14ac:dyDescent="0.3">
      <c r="A103" s="4" t="s">
        <v>15</v>
      </c>
      <c r="B103" s="14">
        <v>3515</v>
      </c>
      <c r="C103" s="30">
        <v>185</v>
      </c>
      <c r="D103" s="20">
        <v>1573</v>
      </c>
      <c r="E103" s="19">
        <v>0.84594531668754847</v>
      </c>
      <c r="F103" s="13">
        <v>45.82</v>
      </c>
      <c r="G103" s="31">
        <v>1.8840719058200459</v>
      </c>
      <c r="H103" s="13" t="s">
        <v>5</v>
      </c>
      <c r="I103" s="32">
        <v>0.2</v>
      </c>
      <c r="J103" s="32"/>
      <c r="K103" s="6">
        <v>2.7552E-5</v>
      </c>
      <c r="L103" s="14">
        <v>9815</v>
      </c>
      <c r="M103" s="31">
        <v>1.7033262209799349</v>
      </c>
      <c r="N103" s="13" t="s">
        <v>5</v>
      </c>
      <c r="O103" s="55">
        <f t="shared" si="4"/>
        <v>6.8949734401689862E-9</v>
      </c>
      <c r="P103" s="53">
        <f t="shared" si="5"/>
        <v>509791666421.11926</v>
      </c>
      <c r="Q103" s="55">
        <f t="shared" si="6"/>
        <v>5.70741178876722</v>
      </c>
      <c r="R103" s="55">
        <f t="shared" si="7"/>
        <v>-0.30370732658671418</v>
      </c>
    </row>
    <row r="104" spans="1:18" ht="15.75" x14ac:dyDescent="0.3">
      <c r="A104" s="4" t="s">
        <v>15</v>
      </c>
      <c r="B104" s="14">
        <v>3515</v>
      </c>
      <c r="C104" s="30">
        <v>190</v>
      </c>
      <c r="D104" s="20">
        <v>1303</v>
      </c>
      <c r="E104" s="19">
        <v>0.8405067484662575</v>
      </c>
      <c r="F104" s="13">
        <v>45.31</v>
      </c>
      <c r="G104" s="31">
        <v>1.7521</v>
      </c>
      <c r="H104" s="13" t="s">
        <v>5</v>
      </c>
      <c r="I104" s="32">
        <v>0.28499999999999998</v>
      </c>
      <c r="J104" s="32"/>
      <c r="K104" s="6">
        <v>2.47308E-5</v>
      </c>
      <c r="L104" s="14">
        <v>9015</v>
      </c>
      <c r="M104" s="31">
        <v>1.6107</v>
      </c>
      <c r="N104" s="13" t="s">
        <v>5</v>
      </c>
      <c r="O104" s="55">
        <f t="shared" si="4"/>
        <v>2.5424068771270477E-8</v>
      </c>
      <c r="P104" s="53">
        <f t="shared" si="5"/>
        <v>138254817967.86874</v>
      </c>
      <c r="Q104" s="55">
        <f t="shared" si="6"/>
        <v>5.5480277323150693</v>
      </c>
      <c r="R104" s="55">
        <f t="shared" si="7"/>
        <v>-0.31725550684890447</v>
      </c>
    </row>
    <row r="105" spans="1:18" ht="15.75" x14ac:dyDescent="0.3">
      <c r="A105" s="4" t="s">
        <v>15</v>
      </c>
      <c r="B105" s="14">
        <v>4815</v>
      </c>
      <c r="C105" s="30">
        <v>171</v>
      </c>
      <c r="D105" s="20">
        <v>3198</v>
      </c>
      <c r="E105" s="19">
        <v>0.82248795518505935</v>
      </c>
      <c r="F105" s="13">
        <v>47.73</v>
      </c>
      <c r="G105" s="31">
        <v>2.7440000000000002</v>
      </c>
      <c r="H105" s="13" t="s">
        <v>5</v>
      </c>
      <c r="I105" s="32">
        <v>0.13600000000000001</v>
      </c>
      <c r="J105" s="32"/>
      <c r="K105" s="6">
        <f>41.7751123876564/10^6</f>
        <v>4.1775112387656397E-5</v>
      </c>
      <c r="L105" s="14">
        <v>8115</v>
      </c>
      <c r="M105" s="31">
        <v>2.5209999999999999</v>
      </c>
      <c r="N105" s="13" t="s">
        <v>5</v>
      </c>
      <c r="O105" s="55">
        <f t="shared" si="4"/>
        <v>3.8768410867617232E-11</v>
      </c>
      <c r="P105" s="53">
        <f t="shared" si="5"/>
        <v>124199055164829.31</v>
      </c>
      <c r="Q105" s="55">
        <f t="shared" si="6"/>
        <v>6.2477734888358674</v>
      </c>
      <c r="R105" s="55">
        <f t="shared" si="7"/>
        <v>-0.26061257424658085</v>
      </c>
    </row>
    <row r="106" spans="1:18" ht="15.75" x14ac:dyDescent="0.3">
      <c r="A106" s="4" t="s">
        <v>15</v>
      </c>
      <c r="B106" s="14">
        <v>7295</v>
      </c>
      <c r="C106" s="30">
        <v>181</v>
      </c>
      <c r="D106" s="20">
        <f>(14468*1.0403+39)</f>
        <v>15090.0604</v>
      </c>
      <c r="E106" s="19">
        <f>(14468*1.0403*0.6844+28*0.9129+11*1.3494)/(14468*1.0403+39)</f>
        <v>0.68530874387752616</v>
      </c>
      <c r="F106" s="13">
        <v>51.15</v>
      </c>
      <c r="G106" s="31" t="s">
        <v>5</v>
      </c>
      <c r="H106" s="34">
        <v>5.5811357611273895E-4</v>
      </c>
      <c r="I106" s="32" t="s">
        <v>5</v>
      </c>
      <c r="J106" s="32"/>
      <c r="K106" s="23">
        <v>4.5773174304247885E-5</v>
      </c>
      <c r="L106" s="14">
        <v>8634</v>
      </c>
      <c r="M106" s="31" t="s">
        <v>5</v>
      </c>
      <c r="N106" s="34">
        <v>5.2765993372591233E-4</v>
      </c>
      <c r="O106" s="55">
        <f t="shared" si="4"/>
        <v>1.953351642077919E-18</v>
      </c>
      <c r="P106" s="53">
        <f t="shared" si="5"/>
        <v>3.734606633468099E+21</v>
      </c>
      <c r="Q106" s="55">
        <f t="shared" si="6"/>
        <v>7.1412076178162609</v>
      </c>
      <c r="R106" s="55">
        <f t="shared" si="7"/>
        <v>-0.17512838725763633</v>
      </c>
    </row>
    <row r="107" spans="1:18" ht="15.75" x14ac:dyDescent="0.3">
      <c r="A107" s="4" t="s">
        <v>15</v>
      </c>
      <c r="B107" s="14">
        <v>4735</v>
      </c>
      <c r="C107" s="30">
        <v>169</v>
      </c>
      <c r="D107" s="20">
        <v>3019.0898226608274</v>
      </c>
      <c r="E107" s="19">
        <v>0.80864126002039083</v>
      </c>
      <c r="F107" s="13">
        <v>47.84</v>
      </c>
      <c r="G107" s="31">
        <v>2.6800771815122393</v>
      </c>
      <c r="H107" s="13" t="s">
        <v>5</v>
      </c>
      <c r="I107" s="32">
        <v>0.13800000000000001</v>
      </c>
      <c r="J107" s="32"/>
      <c r="K107" s="6">
        <v>4.4029273699827716E-5</v>
      </c>
      <c r="L107" s="14">
        <v>7619</v>
      </c>
      <c r="M107" s="31">
        <v>2.4782733289085912</v>
      </c>
      <c r="N107" s="13" t="s">
        <v>5</v>
      </c>
      <c r="O107" s="55">
        <f t="shared" si="4"/>
        <v>8.1854229573272702E-11</v>
      </c>
      <c r="P107" s="53">
        <f t="shared" si="5"/>
        <v>57846735894830.352</v>
      </c>
      <c r="Q107" s="55">
        <f t="shared" si="6"/>
        <v>6.1877007253928076</v>
      </c>
      <c r="R107" s="55">
        <f t="shared" si="7"/>
        <v>-0.26641174154288494</v>
      </c>
    </row>
    <row r="108" spans="1:18" ht="15.75" x14ac:dyDescent="0.3">
      <c r="A108" s="4" t="s">
        <v>15</v>
      </c>
      <c r="B108" s="14">
        <v>2236.6959999999999</v>
      </c>
      <c r="C108" s="30">
        <v>155</v>
      </c>
      <c r="D108" s="20">
        <v>897</v>
      </c>
      <c r="E108" s="19">
        <v>0.8641896139865074</v>
      </c>
      <c r="F108" s="13">
        <v>40.33</v>
      </c>
      <c r="G108" s="31" t="s">
        <v>5</v>
      </c>
      <c r="H108" s="33" t="s">
        <v>5</v>
      </c>
      <c r="I108" s="32">
        <v>0.39649000000000001</v>
      </c>
      <c r="J108" s="32"/>
      <c r="K108" s="6">
        <v>1.8600000000000001E-5</v>
      </c>
      <c r="L108" s="14">
        <v>5014.6959999999999</v>
      </c>
      <c r="M108" s="31" t="s">
        <v>5</v>
      </c>
      <c r="N108" s="13" t="s">
        <v>5</v>
      </c>
      <c r="O108" s="55">
        <f t="shared" si="4"/>
        <v>1.3374773823793245E-8</v>
      </c>
      <c r="P108" s="53">
        <f t="shared" si="5"/>
        <v>167232435438.09488</v>
      </c>
      <c r="Q108" s="55">
        <f t="shared" si="6"/>
        <v>5.5133716842995133</v>
      </c>
      <c r="R108" s="55">
        <f t="shared" si="7"/>
        <v>-0.30410388731044441</v>
      </c>
    </row>
    <row r="109" spans="1:18" ht="15.75" x14ac:dyDescent="0.3">
      <c r="A109" s="4" t="s">
        <v>15</v>
      </c>
      <c r="B109" s="14">
        <v>3314.6959999999999</v>
      </c>
      <c r="C109" s="30">
        <v>165</v>
      </c>
      <c r="D109" s="20">
        <v>1230</v>
      </c>
      <c r="E109" s="19">
        <v>0.75937338889354078</v>
      </c>
      <c r="F109" s="13">
        <v>42.16</v>
      </c>
      <c r="G109" s="31" t="s">
        <v>5</v>
      </c>
      <c r="H109" s="13" t="s">
        <v>5</v>
      </c>
      <c r="I109" s="32">
        <v>0.2782</v>
      </c>
      <c r="J109" s="32"/>
      <c r="K109" s="6">
        <v>2.3399999999999996E-5</v>
      </c>
      <c r="L109" s="14">
        <v>5614.6959999999999</v>
      </c>
      <c r="M109" s="31" t="s">
        <v>5</v>
      </c>
      <c r="N109" s="13" t="s">
        <v>5</v>
      </c>
      <c r="O109" s="55">
        <f t="shared" si="4"/>
        <v>2.0172560408585457E-8</v>
      </c>
      <c r="P109" s="53">
        <f t="shared" si="5"/>
        <v>164317068971.03107</v>
      </c>
      <c r="Q109" s="55">
        <f t="shared" si="6"/>
        <v>5.5799277511153935</v>
      </c>
      <c r="R109" s="55">
        <f t="shared" si="7"/>
        <v>-0.31491313518641845</v>
      </c>
    </row>
    <row r="110" spans="1:18" ht="15.75" x14ac:dyDescent="0.3">
      <c r="A110" s="4" t="s">
        <v>15</v>
      </c>
      <c r="B110" s="14">
        <v>4498</v>
      </c>
      <c r="C110" s="30">
        <v>148</v>
      </c>
      <c r="D110" s="20">
        <v>2143</v>
      </c>
      <c r="E110" s="19">
        <v>0.88665790947270184</v>
      </c>
      <c r="F110" s="13">
        <v>44.8</v>
      </c>
      <c r="G110" s="31">
        <v>2.0310990912762636</v>
      </c>
      <c r="H110" s="13" t="s">
        <v>5</v>
      </c>
      <c r="I110" s="32">
        <v>0.188</v>
      </c>
      <c r="J110" s="32"/>
      <c r="K110" s="6">
        <v>2.50258E-5</v>
      </c>
      <c r="L110" s="14">
        <v>5695</v>
      </c>
      <c r="M110" s="31">
        <v>1.9804513013419314</v>
      </c>
      <c r="N110" s="13" t="s">
        <v>5</v>
      </c>
      <c r="O110" s="55">
        <f t="shared" si="4"/>
        <v>5.4323201210404607E-11</v>
      </c>
      <c r="P110" s="53">
        <f t="shared" si="5"/>
        <v>82800716816711.391</v>
      </c>
      <c r="Q110" s="55">
        <f t="shared" si="6"/>
        <v>6.1633663888234764</v>
      </c>
      <c r="R110" s="55">
        <f t="shared" si="7"/>
        <v>-0.26076105150044704</v>
      </c>
    </row>
    <row r="111" spans="1:18" ht="15.75" x14ac:dyDescent="0.3">
      <c r="A111" s="4" t="s">
        <v>15</v>
      </c>
      <c r="B111" s="14">
        <v>3365</v>
      </c>
      <c r="C111" s="30">
        <v>154</v>
      </c>
      <c r="D111" s="20">
        <v>1335</v>
      </c>
      <c r="E111" s="19">
        <v>0.83274397003745326</v>
      </c>
      <c r="F111" s="13">
        <v>44.91</v>
      </c>
      <c r="G111" s="31">
        <v>1.6715649852853085</v>
      </c>
      <c r="H111" s="13" t="s">
        <v>5</v>
      </c>
      <c r="I111" s="32">
        <v>0.39200000000000002</v>
      </c>
      <c r="J111" s="32"/>
      <c r="K111" s="6">
        <v>2.0557999999999999E-5</v>
      </c>
      <c r="L111" s="14">
        <v>5925</v>
      </c>
      <c r="M111" s="31">
        <v>1.6063696848506726</v>
      </c>
      <c r="N111" s="13" t="s">
        <v>5</v>
      </c>
      <c r="O111" s="55">
        <f t="shared" si="4"/>
        <v>6.8632297003717759E-9</v>
      </c>
      <c r="P111" s="53">
        <f t="shared" si="5"/>
        <v>490293950064.18878</v>
      </c>
      <c r="Q111" s="55">
        <f t="shared" si="6"/>
        <v>5.6814558000820998</v>
      </c>
      <c r="R111" s="55">
        <f t="shared" si="7"/>
        <v>-0.30225191739746915</v>
      </c>
    </row>
    <row r="112" spans="1:18" ht="15.75" x14ac:dyDescent="0.3">
      <c r="A112" s="4" t="s">
        <v>15</v>
      </c>
      <c r="B112" s="14">
        <v>3955</v>
      </c>
      <c r="C112" s="30">
        <v>159</v>
      </c>
      <c r="D112" s="20">
        <v>1882</v>
      </c>
      <c r="E112" s="19">
        <v>0.83111498405951112</v>
      </c>
      <c r="F112" s="13">
        <v>46.47</v>
      </c>
      <c r="G112" s="31">
        <v>1.9730000000000001</v>
      </c>
      <c r="H112" s="13" t="s">
        <v>5</v>
      </c>
      <c r="I112" s="32">
        <v>0.17299999999999999</v>
      </c>
      <c r="J112" s="32"/>
      <c r="K112" s="6">
        <v>2.7320860476648599E-5</v>
      </c>
      <c r="L112" s="14">
        <v>6115</v>
      </c>
      <c r="M112" s="31">
        <v>1.887</v>
      </c>
      <c r="N112" s="13" t="s">
        <v>5</v>
      </c>
      <c r="O112" s="55">
        <f t="shared" si="4"/>
        <v>1.19368810282404E-9</v>
      </c>
      <c r="P112" s="53">
        <f t="shared" si="5"/>
        <v>3313260801244.5005</v>
      </c>
      <c r="Q112" s="55">
        <f t="shared" si="6"/>
        <v>5.9015751692193863</v>
      </c>
      <c r="R112" s="55">
        <f t="shared" si="7"/>
        <v>-0.28723413463448888</v>
      </c>
    </row>
    <row r="113" spans="1:18" ht="15.75" x14ac:dyDescent="0.3">
      <c r="A113" s="4" t="s">
        <v>15</v>
      </c>
      <c r="B113" s="14">
        <v>4349</v>
      </c>
      <c r="C113" s="30">
        <v>148</v>
      </c>
      <c r="D113" s="20">
        <v>2038</v>
      </c>
      <c r="E113" s="19">
        <v>0.88824140253969686</v>
      </c>
      <c r="F113" s="13">
        <v>44.56</v>
      </c>
      <c r="G113" s="31">
        <v>2.0019999999999998</v>
      </c>
      <c r="H113" s="33" t="s">
        <v>5</v>
      </c>
      <c r="I113" s="32">
        <v>0.188</v>
      </c>
      <c r="J113" s="32"/>
      <c r="K113" s="6">
        <v>2.4738317170880355E-5</v>
      </c>
      <c r="L113" s="14">
        <v>6002</v>
      </c>
      <c r="M113" s="31">
        <v>1.9382999999999999</v>
      </c>
      <c r="N113" s="13" t="s">
        <v>5</v>
      </c>
      <c r="O113" s="55">
        <f t="shared" si="4"/>
        <v>7.4718012628734857E-11</v>
      </c>
      <c r="P113" s="53">
        <f t="shared" si="5"/>
        <v>58205509581867.523</v>
      </c>
      <c r="Q113" s="55">
        <f t="shared" si="6"/>
        <v>6.1301713602198147</v>
      </c>
      <c r="R113" s="55">
        <f t="shared" si="7"/>
        <v>-0.26290228205096733</v>
      </c>
    </row>
    <row r="114" spans="1:18" ht="15.75" x14ac:dyDescent="0.3">
      <c r="A114" s="4" t="s">
        <v>15</v>
      </c>
      <c r="B114" s="14">
        <v>3915</v>
      </c>
      <c r="C114" s="30">
        <v>154</v>
      </c>
      <c r="D114" s="20">
        <v>1759</v>
      </c>
      <c r="E114" s="19">
        <v>0.84009799161896836</v>
      </c>
      <c r="F114" s="13">
        <v>45.09</v>
      </c>
      <c r="G114" s="31">
        <v>1.8997852987184269</v>
      </c>
      <c r="H114" s="13" t="s">
        <v>5</v>
      </c>
      <c r="I114" s="32">
        <v>0.36199999999999999</v>
      </c>
      <c r="J114" s="32"/>
      <c r="K114" s="6">
        <v>2.5837527208457165E-5</v>
      </c>
      <c r="L114" s="14">
        <v>6002</v>
      </c>
      <c r="M114" s="31">
        <v>1.8224080208375946</v>
      </c>
      <c r="N114" s="13" t="s">
        <v>5</v>
      </c>
      <c r="O114" s="55">
        <f t="shared" si="4"/>
        <v>8.8374908753452641E-10</v>
      </c>
      <c r="P114" s="53">
        <f t="shared" si="5"/>
        <v>4429990429660.46</v>
      </c>
      <c r="Q114" s="55">
        <f t="shared" si="6"/>
        <v>5.9150580859967334</v>
      </c>
      <c r="R114" s="55">
        <f t="shared" si="7"/>
        <v>-0.28373872661779953</v>
      </c>
    </row>
    <row r="115" spans="1:18" ht="15.75" x14ac:dyDescent="0.3">
      <c r="A115" s="4" t="s">
        <v>15</v>
      </c>
      <c r="B115" s="14">
        <v>4133</v>
      </c>
      <c r="C115" s="30">
        <v>162</v>
      </c>
      <c r="D115" s="20">
        <v>2163</v>
      </c>
      <c r="E115" s="19">
        <v>0.84338973647711524</v>
      </c>
      <c r="F115" s="13">
        <v>47.21</v>
      </c>
      <c r="G115" s="31">
        <v>2.1421000000000001</v>
      </c>
      <c r="H115" s="13" t="s">
        <v>5</v>
      </c>
      <c r="I115" s="32">
        <v>0.17399999999999999</v>
      </c>
      <c r="J115" s="32"/>
      <c r="K115" s="6">
        <v>3.0348992576962501E-5</v>
      </c>
      <c r="L115" s="14">
        <v>6318</v>
      </c>
      <c r="M115" s="31">
        <v>2.0386000000000002</v>
      </c>
      <c r="N115" s="13" t="s">
        <v>5</v>
      </c>
      <c r="O115" s="55">
        <f t="shared" si="4"/>
        <v>4.7486853584189835E-10</v>
      </c>
      <c r="P115" s="53">
        <f t="shared" si="5"/>
        <v>8703461459437.6006</v>
      </c>
      <c r="Q115" s="55">
        <f t="shared" si="6"/>
        <v>5.9973798354382923</v>
      </c>
      <c r="R115" s="55">
        <f t="shared" si="7"/>
        <v>-0.27936391615340661</v>
      </c>
    </row>
    <row r="116" spans="1:18" ht="15.75" x14ac:dyDescent="0.3">
      <c r="A116" s="4" t="s">
        <v>15</v>
      </c>
      <c r="B116" s="14">
        <v>4397</v>
      </c>
      <c r="C116" s="30">
        <v>162</v>
      </c>
      <c r="D116" s="20">
        <v>2369</v>
      </c>
      <c r="E116" s="19">
        <v>0.80202568367570037</v>
      </c>
      <c r="F116" s="13">
        <v>47.8</v>
      </c>
      <c r="G116" s="31">
        <v>2.2797000000000001</v>
      </c>
      <c r="H116" s="13" t="s">
        <v>5</v>
      </c>
      <c r="I116" s="32">
        <v>0.155</v>
      </c>
      <c r="J116" s="32"/>
      <c r="K116" s="6">
        <v>3.2977396396851703E-5</v>
      </c>
      <c r="L116" s="14">
        <v>6724</v>
      </c>
      <c r="M116" s="31">
        <v>2.1575000000000002</v>
      </c>
      <c r="N116" s="13" t="s">
        <v>5</v>
      </c>
      <c r="O116" s="55">
        <f t="shared" si="4"/>
        <v>5.5050974719574369E-10</v>
      </c>
      <c r="P116" s="53">
        <f t="shared" si="5"/>
        <v>7987142866039.0586</v>
      </c>
      <c r="Q116" s="55">
        <f t="shared" si="6"/>
        <v>6.0071515969058256</v>
      </c>
      <c r="R116" s="55">
        <f t="shared" si="7"/>
        <v>-0.28175899997405907</v>
      </c>
    </row>
    <row r="117" spans="1:18" ht="15.75" x14ac:dyDescent="0.3">
      <c r="A117" s="4" t="s">
        <v>15</v>
      </c>
      <c r="B117" s="5">
        <v>5706</v>
      </c>
      <c r="C117" s="5">
        <v>190</v>
      </c>
      <c r="D117" s="20">
        <f>(9115*1.1799+210)</f>
        <v>10964.788499999999</v>
      </c>
      <c r="E117" s="19">
        <f>(9115*1.1799*0.7354+85*0.8537+66*1.0042+31*1.183+27*1.3195)/(9115*1.1799+210)</f>
        <v>0.74057175502290817</v>
      </c>
      <c r="F117" s="17">
        <v>54.83</v>
      </c>
      <c r="G117" s="31" t="s">
        <v>5</v>
      </c>
      <c r="H117" s="5">
        <v>6.2258041928542069E-4</v>
      </c>
      <c r="I117" s="32" t="s">
        <v>5</v>
      </c>
      <c r="J117" s="32"/>
      <c r="K117" s="23">
        <v>5.9073348772862548E-5</v>
      </c>
      <c r="L117" s="5">
        <v>8703</v>
      </c>
      <c r="M117" s="31" t="s">
        <v>5</v>
      </c>
      <c r="N117" s="5">
        <v>5.4474318725192456E-4</v>
      </c>
      <c r="O117" s="55">
        <f t="shared" si="4"/>
        <v>2.0906941110321603E-15</v>
      </c>
      <c r="P117" s="53">
        <f t="shared" si="5"/>
        <v>2.7292371322474286E+18</v>
      </c>
      <c r="Q117" s="55">
        <f t="shared" si="6"/>
        <v>6.8289479160808879</v>
      </c>
      <c r="R117" s="55">
        <f t="shared" si="7"/>
        <v>-0.20203222661447326</v>
      </c>
    </row>
    <row r="118" spans="1:18" ht="15.75" x14ac:dyDescent="0.3">
      <c r="A118" s="4" t="s">
        <v>15</v>
      </c>
      <c r="B118" s="5">
        <v>4809</v>
      </c>
      <c r="C118" s="5">
        <v>177</v>
      </c>
      <c r="D118" s="20">
        <f>4572*1.2006+231</f>
        <v>5720.1431999999995</v>
      </c>
      <c r="E118" s="19">
        <f>(4572*1.2006*0.7484+163*1.1376+34*1.2528+35*1.3791)/(4572*1.2006+231)</f>
        <v>0.76647858586477324</v>
      </c>
      <c r="F118" s="17">
        <v>52.46</v>
      </c>
      <c r="G118" s="31" t="s">
        <v>5</v>
      </c>
      <c r="H118" s="5">
        <v>6.7563458978845889E-4</v>
      </c>
      <c r="I118" s="32" t="s">
        <v>5</v>
      </c>
      <c r="J118" s="32"/>
      <c r="K118" s="23">
        <v>6.238986000591078E-5</v>
      </c>
      <c r="L118" s="5">
        <v>7549</v>
      </c>
      <c r="M118" s="31" t="s">
        <v>5</v>
      </c>
      <c r="N118" s="5">
        <v>6.0341290338152595E-4</v>
      </c>
      <c r="O118" s="55">
        <f t="shared" si="4"/>
        <v>2.0956511640277082E-12</v>
      </c>
      <c r="P118" s="53">
        <f t="shared" si="5"/>
        <v>2294752143175110.5</v>
      </c>
      <c r="Q118" s="55">
        <f t="shared" si="6"/>
        <v>6.4762327383354084</v>
      </c>
      <c r="R118" s="55">
        <f t="shared" si="7"/>
        <v>-0.24083131820101764</v>
      </c>
    </row>
    <row r="119" spans="1:18" ht="15.75" x14ac:dyDescent="0.3">
      <c r="A119" s="4" t="s">
        <v>15</v>
      </c>
      <c r="B119" s="5">
        <v>4257</v>
      </c>
      <c r="C119" s="5">
        <v>165</v>
      </c>
      <c r="D119" s="22">
        <v>2453</v>
      </c>
      <c r="E119" s="19">
        <v>0.83708334249218064</v>
      </c>
      <c r="F119" s="17">
        <v>47.27</v>
      </c>
      <c r="G119" s="18">
        <v>2.3198206028112054</v>
      </c>
      <c r="H119" s="13" t="s">
        <v>5</v>
      </c>
      <c r="I119" s="36">
        <v>0.1697175980790222</v>
      </c>
      <c r="J119" s="36"/>
      <c r="K119" s="37">
        <v>3.4219600381535102E-5</v>
      </c>
      <c r="L119" s="5">
        <v>7334</v>
      </c>
      <c r="M119" s="18">
        <v>2.1651658959571254</v>
      </c>
      <c r="N119" s="13" t="s">
        <v>5</v>
      </c>
      <c r="O119" s="55">
        <f t="shared" si="4"/>
        <v>2.1359915068573408E-10</v>
      </c>
      <c r="P119" s="53">
        <f t="shared" si="5"/>
        <v>19929854525793.785</v>
      </c>
      <c r="Q119" s="55">
        <f t="shared" si="6"/>
        <v>6.0820009690400028</v>
      </c>
      <c r="R119" s="55">
        <f t="shared" si="7"/>
        <v>-0.27314064868989374</v>
      </c>
    </row>
    <row r="120" spans="1:18" ht="15.75" x14ac:dyDescent="0.3">
      <c r="A120" s="4" t="s">
        <v>15</v>
      </c>
      <c r="B120" s="5">
        <v>4127</v>
      </c>
      <c r="C120" s="5">
        <v>158</v>
      </c>
      <c r="D120" s="20">
        <v>2179.0347581216583</v>
      </c>
      <c r="E120" s="19">
        <v>0.82586756361566482</v>
      </c>
      <c r="F120" s="17">
        <v>47.86</v>
      </c>
      <c r="G120" s="18">
        <v>2.14110065649654</v>
      </c>
      <c r="H120" s="13" t="s">
        <v>5</v>
      </c>
      <c r="I120" s="36">
        <v>0.21029315067669996</v>
      </c>
      <c r="J120" s="36"/>
      <c r="K120" s="6">
        <v>2.9301800000000001E-5</v>
      </c>
      <c r="L120" s="5">
        <v>7426</v>
      </c>
      <c r="M120" s="18">
        <v>2.0040266297345735</v>
      </c>
      <c r="N120" s="13" t="s">
        <v>5</v>
      </c>
      <c r="O120" s="55">
        <f t="shared" si="4"/>
        <v>6.3342366665756413E-10</v>
      </c>
      <c r="P120" s="53">
        <f t="shared" si="5"/>
        <v>6515386489703.8477</v>
      </c>
      <c r="Q120" s="55">
        <f t="shared" si="6"/>
        <v>5.9780132886901116</v>
      </c>
      <c r="R120" s="55">
        <f t="shared" si="7"/>
        <v>-0.28224960821291556</v>
      </c>
    </row>
    <row r="121" spans="1:18" ht="15.75" x14ac:dyDescent="0.3">
      <c r="A121" s="4" t="s">
        <v>15</v>
      </c>
      <c r="B121" s="5">
        <v>4503</v>
      </c>
      <c r="C121" s="5">
        <v>143</v>
      </c>
      <c r="D121" s="22">
        <v>2238</v>
      </c>
      <c r="E121" s="19">
        <v>0.80344012511170682</v>
      </c>
      <c r="F121" s="17">
        <v>47.09</v>
      </c>
      <c r="G121" s="5">
        <v>2.1539999999999999</v>
      </c>
      <c r="H121" s="13" t="s">
        <v>5</v>
      </c>
      <c r="I121" s="5">
        <v>0.17400000000000002</v>
      </c>
      <c r="J121" s="5"/>
      <c r="K121" s="21">
        <v>3.4412219858609198E-5</v>
      </c>
      <c r="L121" s="5">
        <v>4476</v>
      </c>
      <c r="M121" s="18">
        <v>2.4873492917847027</v>
      </c>
      <c r="N121" s="13" t="s">
        <v>5</v>
      </c>
      <c r="O121" s="55">
        <f t="shared" si="4"/>
        <v>2.9721287277726466E-10</v>
      </c>
      <c r="P121" s="53">
        <f t="shared" si="5"/>
        <v>15150756957200.543</v>
      </c>
      <c r="Q121" s="55">
        <f t="shared" si="6"/>
        <v>6.0528364177444738</v>
      </c>
      <c r="R121" s="55">
        <f t="shared" si="7"/>
        <v>-0.27592443716374226</v>
      </c>
    </row>
    <row r="122" spans="1:18" ht="15.75" x14ac:dyDescent="0.3">
      <c r="A122" s="4" t="s">
        <v>15</v>
      </c>
      <c r="B122" s="5">
        <v>4335</v>
      </c>
      <c r="C122" s="5">
        <v>135</v>
      </c>
      <c r="D122" s="22">
        <v>1973</v>
      </c>
      <c r="E122" s="19">
        <v>0.84994320263829215</v>
      </c>
      <c r="F122" s="17">
        <v>44.46</v>
      </c>
      <c r="G122" s="18">
        <v>2.0062134571101491</v>
      </c>
      <c r="H122" s="13" t="s">
        <v>5</v>
      </c>
      <c r="I122" s="5">
        <v>0.26300000000000001</v>
      </c>
      <c r="J122" s="5"/>
      <c r="K122" s="21">
        <v>2.3988000000000001E-5</v>
      </c>
      <c r="L122" s="5">
        <v>4275</v>
      </c>
      <c r="M122" s="18">
        <v>2.0122722217506217</v>
      </c>
      <c r="N122" s="13" t="s">
        <v>5</v>
      </c>
      <c r="O122" s="55">
        <f t="shared" si="4"/>
        <v>9.6342236577214579E-11</v>
      </c>
      <c r="P122" s="53">
        <f t="shared" si="5"/>
        <v>44995841429584.922</v>
      </c>
      <c r="Q122" s="55">
        <f t="shared" si="6"/>
        <v>6.1155357353178212</v>
      </c>
      <c r="R122" s="55">
        <f t="shared" si="7"/>
        <v>-0.26516521818739441</v>
      </c>
    </row>
    <row r="123" spans="1:18" ht="15.75" x14ac:dyDescent="0.3">
      <c r="A123" s="3" t="s">
        <v>14</v>
      </c>
      <c r="B123" s="24">
        <v>2900</v>
      </c>
      <c r="C123" s="5">
        <v>159</v>
      </c>
      <c r="D123" s="24">
        <v>1315</v>
      </c>
      <c r="E123" s="26">
        <v>0.89081440935686729</v>
      </c>
      <c r="F123" s="28">
        <v>43.6</v>
      </c>
      <c r="G123" s="26">
        <v>1.6970000000000001</v>
      </c>
      <c r="H123" s="13" t="s">
        <v>5</v>
      </c>
      <c r="I123" s="26">
        <v>0.316</v>
      </c>
      <c r="J123" s="7"/>
      <c r="K123" s="37">
        <v>1.35736506880662E-5</v>
      </c>
      <c r="L123" s="24">
        <v>4870</v>
      </c>
      <c r="M123" s="18">
        <v>1.6419999999999999</v>
      </c>
      <c r="N123" s="13" t="s">
        <v>5</v>
      </c>
      <c r="O123" s="55">
        <f t="shared" si="4"/>
        <v>2.546725806708344E-9</v>
      </c>
      <c r="P123" s="53">
        <f t="shared" si="5"/>
        <v>1138717011607.0398</v>
      </c>
      <c r="Q123" s="55">
        <f t="shared" si="6"/>
        <v>5.7515621279265829</v>
      </c>
      <c r="R123" s="55">
        <f t="shared" si="7"/>
        <v>-0.29065237581078884</v>
      </c>
    </row>
    <row r="124" spans="1:18" ht="15.75" x14ac:dyDescent="0.3">
      <c r="A124" s="3" t="s">
        <v>14</v>
      </c>
      <c r="B124" s="24">
        <v>3584.9960000000001</v>
      </c>
      <c r="C124" s="5">
        <v>163</v>
      </c>
      <c r="D124" s="24">
        <v>1883.8370124237647</v>
      </c>
      <c r="E124" s="26">
        <v>0.78564357945546592</v>
      </c>
      <c r="F124" s="29">
        <v>47.771298521831739</v>
      </c>
      <c r="G124" s="26">
        <v>1.99739661192361</v>
      </c>
      <c r="H124" s="13" t="s">
        <v>5</v>
      </c>
      <c r="I124" s="26">
        <v>0.2286</v>
      </c>
      <c r="J124" s="7"/>
      <c r="K124" s="37">
        <v>1.6840000000000001E-5</v>
      </c>
      <c r="L124" s="24">
        <v>6015</v>
      </c>
      <c r="M124" s="18">
        <v>1.8919970656473581</v>
      </c>
      <c r="N124" s="13" t="s">
        <v>5</v>
      </c>
      <c r="O124" s="55">
        <f t="shared" si="4"/>
        <v>4.2401023297962093E-9</v>
      </c>
      <c r="P124" s="53">
        <f t="shared" si="5"/>
        <v>845497518963.90308</v>
      </c>
      <c r="Q124" s="55">
        <f t="shared" si="6"/>
        <v>5.7986993052674585</v>
      </c>
      <c r="R124" s="55">
        <f t="shared" si="7"/>
        <v>-0.30078302956486785</v>
      </c>
    </row>
    <row r="125" spans="1:18" ht="15.75" x14ac:dyDescent="0.3">
      <c r="A125" s="3" t="s">
        <v>14</v>
      </c>
      <c r="B125" s="24">
        <v>3313</v>
      </c>
      <c r="C125" s="5">
        <v>157</v>
      </c>
      <c r="D125" s="24">
        <v>1077</v>
      </c>
      <c r="E125" s="26">
        <v>0.85875487465181055</v>
      </c>
      <c r="F125" s="28">
        <v>40.200000000000003</v>
      </c>
      <c r="G125" s="26">
        <v>1.5429999999999999</v>
      </c>
      <c r="H125" s="13" t="s">
        <v>5</v>
      </c>
      <c r="I125" s="26">
        <v>0.41899999999999998</v>
      </c>
      <c r="J125" s="7"/>
      <c r="K125" s="37">
        <v>1.2187330891871359E-5</v>
      </c>
      <c r="L125" s="25">
        <v>4526.6959999999999</v>
      </c>
      <c r="M125" s="18">
        <v>1.5166742807596807</v>
      </c>
      <c r="N125" s="13" t="s">
        <v>5</v>
      </c>
      <c r="O125" s="55">
        <f t="shared" si="4"/>
        <v>4.3779763732886095E-9</v>
      </c>
      <c r="P125" s="53">
        <f t="shared" si="5"/>
        <v>756742320540.89233</v>
      </c>
      <c r="Q125" s="55">
        <f t="shared" si="6"/>
        <v>5.6634054700574703</v>
      </c>
      <c r="R125" s="55">
        <f t="shared" si="7"/>
        <v>-0.29425364246164321</v>
      </c>
    </row>
    <row r="126" spans="1:18" ht="15.75" x14ac:dyDescent="0.3">
      <c r="A126" s="3" t="s">
        <v>14</v>
      </c>
      <c r="B126" s="24">
        <v>2551</v>
      </c>
      <c r="C126" s="5">
        <v>151</v>
      </c>
      <c r="D126" s="24">
        <v>828</v>
      </c>
      <c r="E126" s="26">
        <v>0.89849999999999997</v>
      </c>
      <c r="F126" s="28">
        <v>40.700000000000003</v>
      </c>
      <c r="G126" s="26">
        <v>1.427</v>
      </c>
      <c r="H126" s="13" t="s">
        <v>5</v>
      </c>
      <c r="I126" s="26">
        <v>0.51100000000000001</v>
      </c>
      <c r="J126" s="7"/>
      <c r="K126" s="37">
        <v>1.1764543174783324E-5</v>
      </c>
      <c r="L126" s="24">
        <v>3410</v>
      </c>
      <c r="M126" s="18">
        <v>1.411303</v>
      </c>
      <c r="N126" s="13" t="s">
        <v>5</v>
      </c>
      <c r="O126" s="55">
        <f t="shared" si="4"/>
        <v>1.3972325520619006E-8</v>
      </c>
      <c r="P126" s="53">
        <f t="shared" si="5"/>
        <v>182575190953.11005</v>
      </c>
      <c r="Q126" s="55">
        <f t="shared" si="6"/>
        <v>5.4784997559847621</v>
      </c>
      <c r="R126" s="55">
        <f t="shared" si="7"/>
        <v>-0.30291070703326289</v>
      </c>
    </row>
    <row r="127" spans="1:18" ht="15.75" x14ac:dyDescent="0.3">
      <c r="A127" s="3" t="s">
        <v>14</v>
      </c>
      <c r="B127" s="24">
        <v>2528</v>
      </c>
      <c r="C127" s="5">
        <v>153</v>
      </c>
      <c r="D127" s="24">
        <v>824</v>
      </c>
      <c r="E127" s="27">
        <v>0.87901334951456311</v>
      </c>
      <c r="F127" s="28">
        <v>39.299999999999997</v>
      </c>
      <c r="G127" s="26">
        <v>1.45</v>
      </c>
      <c r="H127" s="13" t="s">
        <v>5</v>
      </c>
      <c r="I127" s="26">
        <v>0.48899999999999999</v>
      </c>
      <c r="J127" s="7"/>
      <c r="K127" s="37">
        <v>1.11352235969781E-5</v>
      </c>
      <c r="L127" s="24">
        <v>3515</v>
      </c>
      <c r="M127" s="18">
        <v>1.4324304762790159</v>
      </c>
      <c r="N127" s="13" t="s">
        <v>5</v>
      </c>
      <c r="O127" s="55">
        <f t="shared" si="4"/>
        <v>1.2073416514160232E-8</v>
      </c>
      <c r="P127" s="53">
        <f t="shared" si="5"/>
        <v>209385636370.86298</v>
      </c>
      <c r="Q127" s="55">
        <f t="shared" si="6"/>
        <v>5.4936152499209863</v>
      </c>
      <c r="R127" s="55">
        <f t="shared" si="7"/>
        <v>-0.30131290992668758</v>
      </c>
    </row>
    <row r="128" spans="1:18" ht="15.75" x14ac:dyDescent="0.3">
      <c r="A128" s="3" t="s">
        <v>14</v>
      </c>
      <c r="B128" s="24">
        <v>2562</v>
      </c>
      <c r="C128" s="5">
        <v>153</v>
      </c>
      <c r="D128" s="24">
        <v>878</v>
      </c>
      <c r="E128" s="27">
        <v>0.86815831435079716</v>
      </c>
      <c r="F128" s="28">
        <v>42.6</v>
      </c>
      <c r="G128" s="26">
        <v>1.4550000000000001</v>
      </c>
      <c r="H128" s="13" t="s">
        <v>5</v>
      </c>
      <c r="I128" s="26">
        <v>0.41299999999999998</v>
      </c>
      <c r="J128" s="7"/>
      <c r="K128" s="37">
        <v>1.23589010327442E-5</v>
      </c>
      <c r="L128" s="24">
        <v>3635</v>
      </c>
      <c r="M128" s="18">
        <v>1.4338039390944741</v>
      </c>
      <c r="N128" s="13" t="s">
        <v>5</v>
      </c>
      <c r="O128" s="55">
        <f t="shared" si="4"/>
        <v>2.9214674210669901E-8</v>
      </c>
      <c r="P128" s="53">
        <f t="shared" si="5"/>
        <v>87695655323.620941</v>
      </c>
      <c r="Q128" s="55">
        <f t="shared" si="6"/>
        <v>5.4353978598550459</v>
      </c>
      <c r="R128" s="55">
        <f t="shared" si="7"/>
        <v>-0.31330479211418411</v>
      </c>
    </row>
    <row r="129" spans="1:18" ht="15.75" x14ac:dyDescent="0.3">
      <c r="A129" s="3" t="s">
        <v>14</v>
      </c>
      <c r="B129" s="24">
        <v>1714.9959999999999</v>
      </c>
      <c r="C129" s="5">
        <v>170</v>
      </c>
      <c r="D129" s="25">
        <v>461</v>
      </c>
      <c r="E129" s="27">
        <v>0.98686008676789583</v>
      </c>
      <c r="F129" s="29">
        <v>38.33</v>
      </c>
      <c r="G129" s="26">
        <v>1.2956000000000001</v>
      </c>
      <c r="H129" s="13" t="s">
        <v>5</v>
      </c>
      <c r="I129" s="26">
        <v>0.98399999999999999</v>
      </c>
      <c r="J129" s="7"/>
      <c r="K129" s="37">
        <v>8.3399999999999998E-6</v>
      </c>
      <c r="L129" s="24">
        <v>4814.9960000000001</v>
      </c>
      <c r="M129" s="18">
        <v>1.2562137600000001</v>
      </c>
      <c r="N129" s="13" t="s">
        <v>5</v>
      </c>
      <c r="O129" s="55">
        <f t="shared" si="4"/>
        <v>1.2752783540723641E-7</v>
      </c>
      <c r="P129" s="53">
        <f t="shared" si="5"/>
        <v>13448013089.816444</v>
      </c>
      <c r="Q129" s="55">
        <f t="shared" si="6"/>
        <v>5.0556143009978571</v>
      </c>
      <c r="R129" s="55">
        <f t="shared" si="7"/>
        <v>-0.31846527357574117</v>
      </c>
    </row>
    <row r="130" spans="1:18" ht="15.75" x14ac:dyDescent="0.3">
      <c r="A130" s="3" t="s">
        <v>14</v>
      </c>
      <c r="B130" s="24">
        <v>1614.9959999999999</v>
      </c>
      <c r="C130" s="5">
        <v>165</v>
      </c>
      <c r="D130" s="25">
        <v>441</v>
      </c>
      <c r="E130" s="27">
        <v>0.9594061224489796</v>
      </c>
      <c r="F130" s="29">
        <v>37.9</v>
      </c>
      <c r="G130" s="26">
        <v>1.2822</v>
      </c>
      <c r="H130" s="13" t="s">
        <v>5</v>
      </c>
      <c r="I130" s="26">
        <v>0.91500000000000004</v>
      </c>
      <c r="J130" s="7"/>
      <c r="K130" s="37">
        <v>8.8419999999999994E-6</v>
      </c>
      <c r="L130" s="24">
        <v>3964.9960000000001</v>
      </c>
      <c r="M130" s="18">
        <v>1.2518759700000002</v>
      </c>
      <c r="N130" s="13" t="s">
        <v>5</v>
      </c>
      <c r="O130" s="55">
        <f t="shared" si="4"/>
        <v>1.6520443110665008E-7</v>
      </c>
      <c r="P130" s="53">
        <f t="shared" si="5"/>
        <v>9775742630.0037422</v>
      </c>
      <c r="Q130" s="55">
        <f t="shared" si="6"/>
        <v>5.0217573304878913</v>
      </c>
      <c r="R130" s="55">
        <f t="shared" si="7"/>
        <v>-0.32157600613990012</v>
      </c>
    </row>
    <row r="131" spans="1:18" ht="15.75" x14ac:dyDescent="0.3">
      <c r="A131" s="3" t="s">
        <v>14</v>
      </c>
      <c r="B131" s="24">
        <v>3575</v>
      </c>
      <c r="C131" s="5">
        <v>151</v>
      </c>
      <c r="D131" s="24">
        <v>1428</v>
      </c>
      <c r="E131" s="27">
        <v>0.83362575680739615</v>
      </c>
      <c r="F131" s="28">
        <v>44.7</v>
      </c>
      <c r="G131" s="26">
        <v>1.712</v>
      </c>
      <c r="H131" s="13" t="s">
        <v>5</v>
      </c>
      <c r="I131" s="26">
        <v>0.309</v>
      </c>
      <c r="J131" s="7"/>
      <c r="K131" s="37">
        <v>1.29747949764333E-5</v>
      </c>
      <c r="L131" s="24">
        <v>5518</v>
      </c>
      <c r="M131" s="18">
        <v>1.6586662469385278</v>
      </c>
      <c r="N131" s="13" t="s">
        <v>5</v>
      </c>
      <c r="O131" s="55">
        <f t="shared" si="4"/>
        <v>3.534990005224323E-9</v>
      </c>
      <c r="P131" s="53">
        <f t="shared" si="5"/>
        <v>1011318276632.469</v>
      </c>
      <c r="Q131" s="55">
        <f t="shared" si="6"/>
        <v>5.755634003437498</v>
      </c>
      <c r="R131" s="55">
        <f t="shared" si="7"/>
        <v>-0.29575897992076217</v>
      </c>
    </row>
    <row r="132" spans="1:18" ht="15.75" x14ac:dyDescent="0.3">
      <c r="A132" s="3" t="s">
        <v>14</v>
      </c>
      <c r="B132" s="24">
        <v>3131</v>
      </c>
      <c r="C132" s="5">
        <v>161</v>
      </c>
      <c r="D132" s="24">
        <v>1124</v>
      </c>
      <c r="E132" s="27">
        <v>0.85542971530249112</v>
      </c>
      <c r="F132" s="28">
        <v>43.6</v>
      </c>
      <c r="G132" s="26">
        <v>1.5860000000000001</v>
      </c>
      <c r="H132" s="13" t="s">
        <v>5</v>
      </c>
      <c r="I132" s="26">
        <v>0.376</v>
      </c>
      <c r="J132" s="7"/>
      <c r="K132" s="37">
        <v>1.23492033978367E-5</v>
      </c>
      <c r="L132" s="24">
        <v>5009</v>
      </c>
      <c r="M132" s="18">
        <v>1.5429931315257974</v>
      </c>
      <c r="N132" s="13" t="s">
        <v>5</v>
      </c>
      <c r="O132" s="55">
        <f t="shared" si="4"/>
        <v>1.3141199230035478E-8</v>
      </c>
      <c r="P132" s="53">
        <f t="shared" si="5"/>
        <v>238258316092.69391</v>
      </c>
      <c r="Q132" s="55">
        <f t="shared" si="6"/>
        <v>5.5766630500238605</v>
      </c>
      <c r="R132" s="55">
        <f t="shared" si="7"/>
        <v>-0.30729626021950945</v>
      </c>
    </row>
    <row r="133" spans="1:18" ht="15.75" x14ac:dyDescent="0.3">
      <c r="A133" s="3" t="s">
        <v>14</v>
      </c>
      <c r="B133" s="24">
        <v>2992</v>
      </c>
      <c r="C133" s="5">
        <v>160</v>
      </c>
      <c r="D133" s="24">
        <v>1178</v>
      </c>
      <c r="E133" s="27">
        <v>0.87219552541973877</v>
      </c>
      <c r="F133" s="28">
        <v>44.4</v>
      </c>
      <c r="G133" s="26">
        <v>1.6619999999999999</v>
      </c>
      <c r="H133" s="13" t="s">
        <v>5</v>
      </c>
      <c r="I133" s="26">
        <v>0.313</v>
      </c>
      <c r="J133" s="7"/>
      <c r="K133" s="37">
        <v>1.2937006721061701E-5</v>
      </c>
      <c r="L133" s="24">
        <v>5050</v>
      </c>
      <c r="M133" s="18">
        <v>1.6067700795736513</v>
      </c>
      <c r="N133" s="13" t="s">
        <v>5</v>
      </c>
      <c r="O133" s="55">
        <f t="shared" si="4"/>
        <v>9.6036143128799307E-9</v>
      </c>
      <c r="P133" s="53">
        <f t="shared" si="5"/>
        <v>311549371154.73932</v>
      </c>
      <c r="Q133" s="55">
        <f t="shared" si="6"/>
        <v>5.6121621205146131</v>
      </c>
      <c r="R133" s="55">
        <f t="shared" si="7"/>
        <v>-0.30399890146032194</v>
      </c>
    </row>
    <row r="134" spans="1:18" ht="15.75" x14ac:dyDescent="0.3">
      <c r="A134" s="3" t="s">
        <v>14</v>
      </c>
      <c r="B134" s="24">
        <v>1614.9959999999999</v>
      </c>
      <c r="C134" s="5">
        <v>175</v>
      </c>
      <c r="D134" s="25">
        <v>440</v>
      </c>
      <c r="E134" s="27">
        <v>0.97651249999999989</v>
      </c>
      <c r="F134" s="29">
        <v>37.82</v>
      </c>
      <c r="G134" s="26">
        <v>1.2887999999999999</v>
      </c>
      <c r="H134" s="13" t="s">
        <v>5</v>
      </c>
      <c r="I134" s="27">
        <v>1.107</v>
      </c>
      <c r="J134" s="7"/>
      <c r="K134" s="37">
        <v>7.8406999999999993E-6</v>
      </c>
      <c r="L134" s="24">
        <v>5514.9960000000001</v>
      </c>
      <c r="M134" s="18">
        <v>1.2410628480000001</v>
      </c>
      <c r="N134" s="13" t="s">
        <v>5</v>
      </c>
      <c r="O134" s="55">
        <f t="shared" si="4"/>
        <v>1.7777196853771396E-7</v>
      </c>
      <c r="P134" s="53">
        <f t="shared" si="5"/>
        <v>9084649357.863245</v>
      </c>
      <c r="Q134" s="55">
        <f t="shared" si="6"/>
        <v>5.0082411316067619</v>
      </c>
      <c r="R134" s="55">
        <f t="shared" si="7"/>
        <v>-0.32222332350012861</v>
      </c>
    </row>
    <row r="135" spans="1:18" ht="15.75" x14ac:dyDescent="0.3">
      <c r="A135" s="3" t="s">
        <v>14</v>
      </c>
      <c r="B135" s="40">
        <v>3629</v>
      </c>
      <c r="C135" s="5">
        <v>156</v>
      </c>
      <c r="D135" s="24">
        <v>1477</v>
      </c>
      <c r="E135" s="27">
        <v>0.82269146712161434</v>
      </c>
      <c r="F135" s="28">
        <v>44</v>
      </c>
      <c r="G135" s="26">
        <v>1.7509999999999999</v>
      </c>
      <c r="H135" s="13" t="s">
        <v>5</v>
      </c>
      <c r="I135" s="26">
        <v>0.314</v>
      </c>
      <c r="J135" s="7"/>
      <c r="K135" s="37">
        <v>1.33689711230295E-5</v>
      </c>
      <c r="L135" s="24">
        <v>5723</v>
      </c>
      <c r="M135" s="18">
        <v>1.6913580368436223</v>
      </c>
      <c r="N135" s="13" t="s">
        <v>5</v>
      </c>
      <c r="O135" s="55">
        <f t="shared" si="4"/>
        <v>3.1259426985372912E-9</v>
      </c>
      <c r="P135" s="53">
        <f t="shared" si="5"/>
        <v>1160929789818.2766</v>
      </c>
      <c r="Q135" s="55">
        <f t="shared" si="6"/>
        <v>5.7764630431357213</v>
      </c>
      <c r="R135" s="55">
        <f t="shared" si="7"/>
        <v>-0.29496536436979748</v>
      </c>
    </row>
    <row r="136" spans="1:18" ht="15.75" x14ac:dyDescent="0.3">
      <c r="A136" s="3" t="s">
        <v>14</v>
      </c>
      <c r="B136" s="24">
        <v>2788</v>
      </c>
      <c r="C136" s="5">
        <v>159</v>
      </c>
      <c r="D136" s="24">
        <v>933</v>
      </c>
      <c r="E136" s="27">
        <v>0.84155519828510184</v>
      </c>
      <c r="F136" s="28">
        <v>41.1</v>
      </c>
      <c r="G136" s="26">
        <v>1.488</v>
      </c>
      <c r="H136" s="13" t="s">
        <v>5</v>
      </c>
      <c r="I136" s="26">
        <v>0.47299999999999998</v>
      </c>
      <c r="J136" s="7"/>
      <c r="K136" s="37">
        <v>1.03509031269858E-5</v>
      </c>
      <c r="L136" s="24">
        <v>4765</v>
      </c>
      <c r="M136" s="18">
        <v>1.4520069311395036</v>
      </c>
      <c r="N136" s="13" t="s">
        <v>5</v>
      </c>
      <c r="O136" s="55">
        <f t="shared" si="4"/>
        <v>2.1231941507544821E-8</v>
      </c>
      <c r="P136" s="53">
        <f t="shared" si="5"/>
        <v>131311590086.47633</v>
      </c>
      <c r="Q136" s="55">
        <f t="shared" si="6"/>
        <v>5.4874938015356092</v>
      </c>
      <c r="R136" s="55">
        <f t="shared" si="7"/>
        <v>-0.31059365061754285</v>
      </c>
    </row>
    <row r="137" spans="1:18" ht="15.75" x14ac:dyDescent="0.3">
      <c r="A137" s="3" t="s">
        <v>14</v>
      </c>
      <c r="B137" s="24">
        <v>3482</v>
      </c>
      <c r="C137" s="5">
        <v>165</v>
      </c>
      <c r="D137" s="24">
        <v>1482</v>
      </c>
      <c r="E137" s="27">
        <v>0.84429487179487173</v>
      </c>
      <c r="F137" s="28">
        <v>44.3</v>
      </c>
      <c r="G137" s="26">
        <v>1.7769999999999999</v>
      </c>
      <c r="H137" s="13" t="s">
        <v>5</v>
      </c>
      <c r="I137" s="26">
        <v>0.27500000000000002</v>
      </c>
      <c r="J137" s="7"/>
      <c r="K137" s="37">
        <v>1.36840244771081E-5</v>
      </c>
      <c r="L137" s="24">
        <v>5895</v>
      </c>
      <c r="M137" s="18">
        <v>1.7033367934411385</v>
      </c>
      <c r="N137" s="13" t="s">
        <v>5</v>
      </c>
      <c r="O137" s="55">
        <f t="shared" si="4"/>
        <v>3.4001105448937942E-9</v>
      </c>
      <c r="P137" s="53">
        <f t="shared" si="5"/>
        <v>1024084350794.3544</v>
      </c>
      <c r="Q137" s="55">
        <f t="shared" si="6"/>
        <v>5.7633612394717213</v>
      </c>
      <c r="R137" s="55">
        <f t="shared" si="7"/>
        <v>-0.29556520346365556</v>
      </c>
    </row>
    <row r="138" spans="1:18" ht="15.75" x14ac:dyDescent="0.3">
      <c r="A138" s="3" t="s">
        <v>14</v>
      </c>
      <c r="B138" s="24">
        <v>2976</v>
      </c>
      <c r="C138" s="5">
        <v>157</v>
      </c>
      <c r="D138" s="24">
        <v>1010</v>
      </c>
      <c r="E138" s="27">
        <v>0.84965544554455452</v>
      </c>
      <c r="F138" s="28">
        <v>42.2</v>
      </c>
      <c r="G138" s="26">
        <v>1.5229999999999999</v>
      </c>
      <c r="H138" s="13" t="s">
        <v>5</v>
      </c>
      <c r="I138" s="26">
        <v>0.35599999999999998</v>
      </c>
      <c r="J138" s="7"/>
      <c r="K138" s="37">
        <v>1.1999722138184901E-5</v>
      </c>
      <c r="L138" s="24">
        <v>4420</v>
      </c>
      <c r="M138" s="18">
        <v>1.4927313190414608</v>
      </c>
      <c r="N138" s="13" t="s">
        <v>5</v>
      </c>
      <c r="O138" s="55">
        <f t="shared" si="4"/>
        <v>1.5599299912334392E-8</v>
      </c>
      <c r="P138" s="53">
        <f t="shared" si="5"/>
        <v>190777792382.2897</v>
      </c>
      <c r="Q138" s="55">
        <f t="shared" si="6"/>
        <v>5.5357381687009433</v>
      </c>
      <c r="R138" s="55">
        <f t="shared" si="7"/>
        <v>-0.30795092967909304</v>
      </c>
    </row>
    <row r="139" spans="1:18" ht="15.75" x14ac:dyDescent="0.3">
      <c r="A139" s="3" t="s">
        <v>14</v>
      </c>
      <c r="B139" s="24">
        <v>2814.6959999999999</v>
      </c>
      <c r="C139" s="5">
        <v>159</v>
      </c>
      <c r="D139" s="25">
        <v>872</v>
      </c>
      <c r="E139" s="27">
        <f>(811*0.799+61*1.333)/(872)</f>
        <v>0.83635550458715602</v>
      </c>
      <c r="F139" s="29">
        <v>42.44</v>
      </c>
      <c r="G139" s="26">
        <v>1.4717</v>
      </c>
      <c r="H139" s="13" t="s">
        <v>5</v>
      </c>
      <c r="I139" s="26">
        <v>0.52</v>
      </c>
      <c r="J139" s="7"/>
      <c r="K139" s="37">
        <v>1.2483066538382099E-5</v>
      </c>
      <c r="L139" s="24">
        <v>4264.6959999999999</v>
      </c>
      <c r="M139" s="18">
        <v>1.4417672892184066</v>
      </c>
      <c r="N139" s="13" t="s">
        <v>5</v>
      </c>
      <c r="O139" s="55">
        <f t="shared" si="4"/>
        <v>5.3100650314260878E-8</v>
      </c>
      <c r="P139" s="53">
        <f t="shared" si="5"/>
        <v>53006808453.172096</v>
      </c>
      <c r="Q139" s="55">
        <f t="shared" si="6"/>
        <v>5.3839338491654551</v>
      </c>
      <c r="R139" s="55">
        <f t="shared" si="7"/>
        <v>-0.32140822693761839</v>
      </c>
    </row>
    <row r="140" spans="1:18" ht="15.75" x14ac:dyDescent="0.3">
      <c r="A140" s="3" t="s">
        <v>14</v>
      </c>
      <c r="B140" s="24">
        <v>2364.6959999999999</v>
      </c>
      <c r="C140" s="5">
        <v>156</v>
      </c>
      <c r="D140" s="25">
        <v>779</v>
      </c>
      <c r="E140" s="27">
        <v>0.83803829145728648</v>
      </c>
      <c r="F140" s="29">
        <v>41.48</v>
      </c>
      <c r="G140" s="26">
        <v>1.4186000000000001</v>
      </c>
      <c r="H140" s="13" t="s">
        <v>5</v>
      </c>
      <c r="I140" s="26">
        <v>0.624</v>
      </c>
      <c r="J140" s="7"/>
      <c r="K140" s="37">
        <v>1.13891928347361E-5</v>
      </c>
      <c r="L140" s="24">
        <v>4087.6959999999999</v>
      </c>
      <c r="M140" s="18">
        <v>1.3859980276738082</v>
      </c>
      <c r="N140" s="13" t="s">
        <v>5</v>
      </c>
      <c r="O140" s="55">
        <f t="shared" si="4"/>
        <v>6.7943443788328608E-8</v>
      </c>
      <c r="P140" s="53">
        <f t="shared" si="5"/>
        <v>34803887882.08976</v>
      </c>
      <c r="Q140" s="55">
        <f t="shared" si="6"/>
        <v>5.3277677097206757</v>
      </c>
      <c r="R140" s="55">
        <f t="shared" si="7"/>
        <v>-0.32280521051488414</v>
      </c>
    </row>
    <row r="141" spans="1:18" ht="15.75" x14ac:dyDescent="0.3">
      <c r="A141" s="3" t="s">
        <v>14</v>
      </c>
      <c r="B141" s="24">
        <v>2988</v>
      </c>
      <c r="C141" s="5">
        <v>165</v>
      </c>
      <c r="D141" s="24">
        <v>1147</v>
      </c>
      <c r="E141" s="27">
        <v>0.87540818768020245</v>
      </c>
      <c r="F141" s="28">
        <v>44</v>
      </c>
      <c r="G141" s="26">
        <v>1.649</v>
      </c>
      <c r="H141" s="13" t="s">
        <v>5</v>
      </c>
      <c r="I141" s="26">
        <v>0.36799999999999999</v>
      </c>
      <c r="J141" s="7"/>
      <c r="K141" s="37">
        <v>1.0355057978956E-5</v>
      </c>
      <c r="L141" s="24">
        <v>6566</v>
      </c>
      <c r="M141" s="18">
        <v>1.5684215927998539</v>
      </c>
      <c r="N141" s="13" t="s">
        <v>5</v>
      </c>
      <c r="O141" s="55">
        <f t="shared" si="4"/>
        <v>1.1411492806544051E-8</v>
      </c>
      <c r="P141" s="53">
        <f t="shared" si="5"/>
        <v>261841290236.37344</v>
      </c>
      <c r="Q141" s="55">
        <f t="shared" si="6"/>
        <v>5.5889313688519371</v>
      </c>
      <c r="R141" s="55">
        <f t="shared" si="7"/>
        <v>-0.30559570789218105</v>
      </c>
    </row>
    <row r="142" spans="1:18" ht="15.75" x14ac:dyDescent="0.3">
      <c r="A142" s="3" t="s">
        <v>14</v>
      </c>
      <c r="B142" s="24">
        <v>2327</v>
      </c>
      <c r="C142" s="5">
        <v>158</v>
      </c>
      <c r="D142" s="24">
        <v>734</v>
      </c>
      <c r="E142" s="27">
        <v>0.8943024523160763</v>
      </c>
      <c r="F142" s="28">
        <v>41.7</v>
      </c>
      <c r="G142" s="26">
        <v>1.4</v>
      </c>
      <c r="H142" s="13" t="s">
        <v>5</v>
      </c>
      <c r="I142" s="26">
        <v>0.55100000000000005</v>
      </c>
      <c r="J142" s="7"/>
      <c r="K142" s="37">
        <v>8.9183311020334792E-6</v>
      </c>
      <c r="L142" s="24">
        <v>4740</v>
      </c>
      <c r="M142" s="18">
        <v>1.364527444861539</v>
      </c>
      <c r="N142" s="13" t="s">
        <v>5</v>
      </c>
      <c r="O142" s="55">
        <f t="shared" si="4"/>
        <v>5.4712806489372093E-8</v>
      </c>
      <c r="P142" s="53">
        <f t="shared" si="5"/>
        <v>42531175957.813538</v>
      </c>
      <c r="Q142" s="55">
        <f t="shared" si="6"/>
        <v>5.317352579634739</v>
      </c>
      <c r="R142" s="55">
        <f t="shared" si="7"/>
        <v>-0.31800126458024525</v>
      </c>
    </row>
    <row r="143" spans="1:18" ht="15.75" x14ac:dyDescent="0.3">
      <c r="A143" s="3" t="s">
        <v>14</v>
      </c>
      <c r="B143" s="24">
        <v>3841.6959999999999</v>
      </c>
      <c r="C143" s="5">
        <v>161</v>
      </c>
      <c r="D143" s="24">
        <v>1908</v>
      </c>
      <c r="E143" s="27">
        <v>0.83407938415369509</v>
      </c>
      <c r="F143" s="28">
        <v>45.2</v>
      </c>
      <c r="G143" s="26">
        <v>1.98</v>
      </c>
      <c r="H143" s="13" t="s">
        <v>5</v>
      </c>
      <c r="I143" s="26">
        <v>0.24199999999999999</v>
      </c>
      <c r="J143" s="7"/>
      <c r="K143" s="37">
        <v>1.32050964869255E-5</v>
      </c>
      <c r="L143" s="24">
        <v>6914.9960000000001</v>
      </c>
      <c r="M143" s="18">
        <v>1.8716608335340812</v>
      </c>
      <c r="N143" s="13" t="s">
        <v>5</v>
      </c>
      <c r="O143" s="55">
        <f t="shared" si="4"/>
        <v>7.1107499324045689E-10</v>
      </c>
      <c r="P143" s="53">
        <f t="shared" si="5"/>
        <v>5402659405152.4775</v>
      </c>
      <c r="Q143" s="55">
        <f t="shared" si="6"/>
        <v>5.9486734476344756</v>
      </c>
      <c r="R143" s="55">
        <f t="shared" si="7"/>
        <v>-0.28240622682929167</v>
      </c>
    </row>
    <row r="144" spans="1:18" ht="15.75" x14ac:dyDescent="0.3">
      <c r="A144" s="3" t="s">
        <v>14</v>
      </c>
      <c r="B144" s="25">
        <v>3452</v>
      </c>
      <c r="C144" s="5">
        <v>175</v>
      </c>
      <c r="D144" s="24">
        <v>1446</v>
      </c>
      <c r="E144" s="27">
        <v>0.84904356846473017</v>
      </c>
      <c r="F144" s="28">
        <v>45.4</v>
      </c>
      <c r="G144" s="26">
        <v>1.7769999999999999</v>
      </c>
      <c r="H144" s="13" t="s">
        <v>5</v>
      </c>
      <c r="I144" s="26">
        <v>0.28531483083514203</v>
      </c>
      <c r="J144" s="7"/>
      <c r="K144" s="37">
        <v>1.2663605579472001E-5</v>
      </c>
      <c r="L144" s="24">
        <v>6530</v>
      </c>
      <c r="M144" s="18">
        <v>1.6875706647617661</v>
      </c>
      <c r="N144" s="13" t="s">
        <v>5</v>
      </c>
      <c r="O144" s="55">
        <f t="shared" si="4"/>
        <v>7.5589260595042478E-9</v>
      </c>
      <c r="P144" s="53">
        <f t="shared" si="5"/>
        <v>456678630379.25269</v>
      </c>
      <c r="Q144" s="55">
        <f t="shared" si="6"/>
        <v>5.683211876198877</v>
      </c>
      <c r="R144" s="55">
        <f t="shared" si="7"/>
        <v>-0.30390635111612008</v>
      </c>
    </row>
    <row r="145" spans="1:18" ht="15.75" x14ac:dyDescent="0.3">
      <c r="A145" s="3" t="s">
        <v>14</v>
      </c>
      <c r="B145" s="24">
        <v>2774.6959999999999</v>
      </c>
      <c r="C145" s="5">
        <v>183</v>
      </c>
      <c r="D145" s="24">
        <v>1062</v>
      </c>
      <c r="E145" s="26">
        <v>0.88906403013182678</v>
      </c>
      <c r="F145" s="29">
        <v>43.58</v>
      </c>
      <c r="G145" s="26">
        <v>1.6372</v>
      </c>
      <c r="H145" s="13" t="s">
        <v>5</v>
      </c>
      <c r="I145" s="26">
        <v>0.29499999999999998</v>
      </c>
      <c r="J145" s="7"/>
      <c r="K145" s="39">
        <v>1.43895E-5</v>
      </c>
      <c r="L145" s="24">
        <v>5314.6959999999999</v>
      </c>
      <c r="M145" s="18">
        <v>1.5641317640000001</v>
      </c>
      <c r="N145" s="13" t="s">
        <v>5</v>
      </c>
      <c r="O145" s="55">
        <f t="shared" si="4"/>
        <v>2.3709392861793396E-8</v>
      </c>
      <c r="P145" s="53">
        <f t="shared" si="5"/>
        <v>117029399114.12013</v>
      </c>
      <c r="Q145" s="55">
        <f t="shared" si="6"/>
        <v>5.4965709021491866</v>
      </c>
      <c r="R145" s="55">
        <f t="shared" si="7"/>
        <v>-0.31306301674559084</v>
      </c>
    </row>
    <row r="146" spans="1:18" ht="15.75" x14ac:dyDescent="0.3">
      <c r="A146" s="3" t="s">
        <v>14</v>
      </c>
      <c r="B146" s="24">
        <v>2737</v>
      </c>
      <c r="C146" s="5">
        <v>180</v>
      </c>
      <c r="D146" s="24">
        <v>1028</v>
      </c>
      <c r="E146" s="27">
        <f>(923*0.844+105*1.292)/1028</f>
        <v>0.88975875486381317</v>
      </c>
      <c r="F146" s="29">
        <v>44.1</v>
      </c>
      <c r="G146" s="26">
        <v>1.5669999999999999</v>
      </c>
      <c r="H146" s="13" t="s">
        <v>5</v>
      </c>
      <c r="I146" s="26">
        <v>0.40500000000000003</v>
      </c>
      <c r="J146" s="7"/>
      <c r="K146" s="39">
        <v>1.013E-5</v>
      </c>
      <c r="L146" s="24">
        <v>6500</v>
      </c>
      <c r="M146" s="18">
        <v>1.4873964</v>
      </c>
      <c r="N146" s="13" t="s">
        <v>5</v>
      </c>
      <c r="O146" s="55">
        <f t="shared" si="4"/>
        <v>3.1031417076483534E-8</v>
      </c>
      <c r="P146" s="53">
        <f t="shared" si="5"/>
        <v>88200934982.216553</v>
      </c>
      <c r="Q146" s="55">
        <f t="shared" si="6"/>
        <v>5.4630207342889543</v>
      </c>
      <c r="R146" s="55">
        <f t="shared" si="7"/>
        <v>-0.31599588019693298</v>
      </c>
    </row>
    <row r="147" spans="1:18" ht="15.75" x14ac:dyDescent="0.3">
      <c r="A147" s="3" t="s">
        <v>14</v>
      </c>
      <c r="B147" s="24">
        <v>2665</v>
      </c>
      <c r="C147" s="5">
        <v>190</v>
      </c>
      <c r="D147" s="24">
        <v>875.9778633928637</v>
      </c>
      <c r="E147" s="26">
        <v>0.89860640942942094</v>
      </c>
      <c r="F147" s="29">
        <v>42.1</v>
      </c>
      <c r="G147" s="26">
        <v>1.5273526321529347</v>
      </c>
      <c r="H147" s="13" t="s">
        <v>5</v>
      </c>
      <c r="I147" s="26">
        <v>0.53227000000000002</v>
      </c>
      <c r="J147" s="7"/>
      <c r="K147" s="37">
        <v>1.2567876612644101E-5</v>
      </c>
      <c r="L147" s="24">
        <v>4915</v>
      </c>
      <c r="M147" s="18">
        <v>1.4758874998425713</v>
      </c>
      <c r="N147" s="13" t="s">
        <v>5</v>
      </c>
      <c r="O147" s="55">
        <f t="shared" si="4"/>
        <v>5.1809982391010783E-8</v>
      </c>
      <c r="P147" s="53">
        <f t="shared" si="5"/>
        <v>51437963823.947899</v>
      </c>
      <c r="Q147" s="55">
        <f t="shared" si="6"/>
        <v>5.3684537796756224</v>
      </c>
      <c r="R147" s="55">
        <f t="shared" si="7"/>
        <v>-0.32001402154278591</v>
      </c>
    </row>
    <row r="148" spans="1:18" ht="15.75" x14ac:dyDescent="0.3">
      <c r="A148" s="3" t="s">
        <v>14</v>
      </c>
      <c r="B148" s="24">
        <v>2665</v>
      </c>
      <c r="C148" s="5">
        <v>180</v>
      </c>
      <c r="D148" s="24">
        <v>878.71586985293175</v>
      </c>
      <c r="E148" s="26">
        <v>0.91390951743438698</v>
      </c>
      <c r="F148" s="29">
        <v>40.200000000000003</v>
      </c>
      <c r="G148" s="26">
        <v>1.5162559439861154</v>
      </c>
      <c r="H148" s="13" t="s">
        <v>5</v>
      </c>
      <c r="I148" s="26">
        <v>0.52621000000000007</v>
      </c>
      <c r="J148" s="7"/>
      <c r="K148" s="37">
        <v>1.2270322886207972E-5</v>
      </c>
      <c r="L148" s="24">
        <v>4845</v>
      </c>
      <c r="M148" s="18">
        <v>1.4687980739335071</v>
      </c>
      <c r="N148" s="13" t="s">
        <v>5</v>
      </c>
      <c r="O148" s="55">
        <f t="shared" si="4"/>
        <v>1.6856669491504179E-8</v>
      </c>
      <c r="P148" s="53">
        <f t="shared" si="5"/>
        <v>158097659880.3407</v>
      </c>
      <c r="Q148" s="55">
        <f t="shared" si="6"/>
        <v>5.4708845037194687</v>
      </c>
      <c r="R148" s="55">
        <f t="shared" si="7"/>
        <v>-0.30566128786012969</v>
      </c>
    </row>
    <row r="149" spans="1:18" ht="15.75" x14ac:dyDescent="0.3">
      <c r="A149" s="3" t="s">
        <v>14</v>
      </c>
      <c r="B149" s="24">
        <v>2765</v>
      </c>
      <c r="C149" s="5">
        <v>175</v>
      </c>
      <c r="D149" s="24">
        <v>893.50580230451294</v>
      </c>
      <c r="E149" s="26">
        <v>0.91801860641097199</v>
      </c>
      <c r="F149" s="29">
        <v>39.619999999999997</v>
      </c>
      <c r="G149" s="26">
        <v>1.5156247720052562</v>
      </c>
      <c r="H149" s="13" t="s">
        <v>5</v>
      </c>
      <c r="I149" s="26">
        <v>0.51300000000000001</v>
      </c>
      <c r="J149" s="7"/>
      <c r="K149" s="37">
        <v>1.5213107546419976E-5</v>
      </c>
      <c r="L149" s="24">
        <v>3360</v>
      </c>
      <c r="M149" s="18">
        <v>1.5010495080908535</v>
      </c>
      <c r="N149" s="13" t="s">
        <v>5</v>
      </c>
      <c r="O149" s="55">
        <f t="shared" ref="O149:O173" si="8" xml:space="preserve"> EXP(Q149/R149)</f>
        <v>9.9790727865130596E-9</v>
      </c>
      <c r="P149" s="53">
        <f t="shared" ref="P149:P173" si="9">ABS((B149-O149)/O149)</f>
        <v>277079850918.31183</v>
      </c>
      <c r="Q149" s="55">
        <f t="shared" ref="Q149:Q173" si="10">(   ($B$1 + $B$2*LN(C149))  * ($B$3 + $B$4*LN(F149))  * ($B$5 + $B$6*LN(D149))  * ($B$7 + $B$8*LN(E149))  )</f>
        <v>5.5219769958121203</v>
      </c>
      <c r="R149" s="55">
        <f t="shared" ref="R149:R173" si="11">(   ($B$9 + $B$10*LN(C149))  * ($B$11 + $B$12*LN(F149))  * ($B$13 + $B$14*LN(D149))  * ($B$15 + $B$16*LN(E149))  )</f>
        <v>-0.29973642942254453</v>
      </c>
    </row>
    <row r="150" spans="1:18" ht="15.75" x14ac:dyDescent="0.3">
      <c r="A150" s="3" t="s">
        <v>14</v>
      </c>
      <c r="B150" s="24">
        <v>2665</v>
      </c>
      <c r="C150" s="5">
        <v>125</v>
      </c>
      <c r="D150" s="24">
        <v>819.2574068129552</v>
      </c>
      <c r="E150" s="26">
        <v>1.0250941951674821</v>
      </c>
      <c r="F150" s="29">
        <v>37.68</v>
      </c>
      <c r="G150" s="26">
        <v>1.4500573550223188</v>
      </c>
      <c r="H150" s="13" t="s">
        <v>5</v>
      </c>
      <c r="I150" s="26">
        <v>0.56599999999999995</v>
      </c>
      <c r="J150" s="7"/>
      <c r="K150" s="37">
        <v>1.0809348749147172E-5</v>
      </c>
      <c r="L150" s="24">
        <v>3615</v>
      </c>
      <c r="M150" s="18">
        <v>1.4336871668987603</v>
      </c>
      <c r="N150" s="13" t="s">
        <v>5</v>
      </c>
      <c r="O150" s="55">
        <f t="shared" si="8"/>
        <v>2.3034707834585049E-10</v>
      </c>
      <c r="P150" s="53">
        <f t="shared" si="9"/>
        <v>11569497729849.445</v>
      </c>
      <c r="Q150" s="55">
        <f t="shared" si="10"/>
        <v>5.77849675138616</v>
      </c>
      <c r="R150" s="55">
        <f t="shared" si="11"/>
        <v>-0.26039312174679757</v>
      </c>
    </row>
    <row r="151" spans="1:18" ht="15.75" x14ac:dyDescent="0.3">
      <c r="A151" s="3" t="s">
        <v>14</v>
      </c>
      <c r="B151" s="24">
        <v>2865</v>
      </c>
      <c r="C151" s="5">
        <v>152</v>
      </c>
      <c r="D151" s="24">
        <v>1014.8050338327058</v>
      </c>
      <c r="E151" s="26">
        <v>0.88702597887453039</v>
      </c>
      <c r="F151" s="29">
        <v>41.82</v>
      </c>
      <c r="G151" s="26">
        <v>1.5479636439197559</v>
      </c>
      <c r="H151" s="13" t="s">
        <v>5</v>
      </c>
      <c r="I151" s="26">
        <v>0.55300000000000005</v>
      </c>
      <c r="J151" s="7"/>
      <c r="K151" s="37">
        <v>1.21048004780431E-5</v>
      </c>
      <c r="L151" s="24">
        <v>4757</v>
      </c>
      <c r="M151" s="18">
        <v>1.5067920862808049</v>
      </c>
      <c r="N151" s="13" t="s">
        <v>5</v>
      </c>
      <c r="O151" s="55">
        <f t="shared" si="8"/>
        <v>6.6394251189377118E-9</v>
      </c>
      <c r="P151" s="53">
        <f t="shared" si="9"/>
        <v>431513263372.98193</v>
      </c>
      <c r="Q151" s="55">
        <f t="shared" si="10"/>
        <v>5.6051966985685473</v>
      </c>
      <c r="R151" s="55">
        <f t="shared" si="11"/>
        <v>-0.29766994806898228</v>
      </c>
    </row>
    <row r="152" spans="1:18" ht="15.75" x14ac:dyDescent="0.3">
      <c r="A152" s="3" t="s">
        <v>14</v>
      </c>
      <c r="B152" s="24">
        <v>3265</v>
      </c>
      <c r="C152" s="5">
        <v>155</v>
      </c>
      <c r="D152" s="24">
        <v>1316.8520531613119</v>
      </c>
      <c r="E152" s="26">
        <v>0.91363998027137561</v>
      </c>
      <c r="F152" s="29">
        <v>41.4</v>
      </c>
      <c r="G152" s="26">
        <v>1.7046470189183824</v>
      </c>
      <c r="H152" s="13" t="s">
        <v>5</v>
      </c>
      <c r="I152" s="26">
        <v>0.45250000000000001</v>
      </c>
      <c r="J152" s="7"/>
      <c r="K152" s="37">
        <v>1.4761725370070495E-5</v>
      </c>
      <c r="L152" s="24">
        <v>4694</v>
      </c>
      <c r="M152" s="18">
        <v>1.6637045819994651</v>
      </c>
      <c r="N152" s="13" t="s">
        <v>5</v>
      </c>
      <c r="O152" s="55">
        <f t="shared" si="8"/>
        <v>6.6838643818888698E-10</v>
      </c>
      <c r="P152" s="53">
        <f t="shared" si="9"/>
        <v>4884898635655.1982</v>
      </c>
      <c r="Q152" s="55">
        <f t="shared" si="10"/>
        <v>5.8595179721357358</v>
      </c>
      <c r="R152" s="55">
        <f t="shared" si="11"/>
        <v>-0.27735847249433859</v>
      </c>
    </row>
    <row r="153" spans="1:18" ht="15.75" x14ac:dyDescent="0.3">
      <c r="A153" s="3" t="s">
        <v>14</v>
      </c>
      <c r="B153" s="24">
        <v>3165</v>
      </c>
      <c r="C153" s="5">
        <v>159</v>
      </c>
      <c r="D153" s="24">
        <v>1309.5712971320097</v>
      </c>
      <c r="E153" s="26">
        <v>0.86290875140960577</v>
      </c>
      <c r="F153" s="29">
        <v>44.21</v>
      </c>
      <c r="G153" s="26">
        <v>1.69395136437296</v>
      </c>
      <c r="H153" s="13" t="s">
        <v>5</v>
      </c>
      <c r="I153" s="26">
        <v>0.42370000000000002</v>
      </c>
      <c r="J153" s="7"/>
      <c r="K153" s="37">
        <v>1.3256093623020083E-5</v>
      </c>
      <c r="L153" s="24">
        <v>5162</v>
      </c>
      <c r="M153" s="18">
        <v>1.6414422741091423</v>
      </c>
      <c r="N153" s="13" t="s">
        <v>5</v>
      </c>
      <c r="O153" s="55">
        <f t="shared" si="8"/>
        <v>4.8379544744070728E-9</v>
      </c>
      <c r="P153" s="53">
        <f t="shared" si="9"/>
        <v>654202104781.70239</v>
      </c>
      <c r="Q153" s="55">
        <f t="shared" si="10"/>
        <v>5.7011438368592131</v>
      </c>
      <c r="R153" s="55">
        <f t="shared" si="11"/>
        <v>-0.29776002401488233</v>
      </c>
    </row>
    <row r="154" spans="1:18" ht="15.75" x14ac:dyDescent="0.3">
      <c r="A154" s="3" t="s">
        <v>14</v>
      </c>
      <c r="B154" s="24">
        <v>3215</v>
      </c>
      <c r="C154" s="5">
        <v>155</v>
      </c>
      <c r="D154" s="24">
        <v>1255.9824334889472</v>
      </c>
      <c r="E154" s="26">
        <v>0.90748600249209299</v>
      </c>
      <c r="F154" s="29">
        <v>40.6</v>
      </c>
      <c r="G154" s="26">
        <v>1.6861166770295233</v>
      </c>
      <c r="H154" s="13" t="s">
        <v>5</v>
      </c>
      <c r="I154" s="26">
        <v>0.54239999999999999</v>
      </c>
      <c r="J154" s="7"/>
      <c r="K154" s="37">
        <v>1.3013815190895385E-5</v>
      </c>
      <c r="L154" s="24">
        <v>5265</v>
      </c>
      <c r="M154" s="18">
        <v>1.6328121426723283</v>
      </c>
      <c r="N154" s="13" t="s">
        <v>5</v>
      </c>
      <c r="O154" s="55">
        <f t="shared" si="8"/>
        <v>7.5932806243253019E-10</v>
      </c>
      <c r="P154" s="53">
        <f t="shared" si="9"/>
        <v>4234006563250.0024</v>
      </c>
      <c r="Q154" s="55">
        <f t="shared" si="10"/>
        <v>5.83897849789009</v>
      </c>
      <c r="R154" s="55">
        <f t="shared" si="11"/>
        <v>-0.27806530228407877</v>
      </c>
    </row>
    <row r="155" spans="1:18" ht="15.75" x14ac:dyDescent="0.3">
      <c r="A155" s="3" t="s">
        <v>14</v>
      </c>
      <c r="B155" s="24">
        <v>3259</v>
      </c>
      <c r="C155" s="5">
        <v>188</v>
      </c>
      <c r="D155" s="24">
        <v>1662.9066039752083</v>
      </c>
      <c r="E155" s="27">
        <v>0.9249433431781553</v>
      </c>
      <c r="F155" s="28">
        <v>45.1</v>
      </c>
      <c r="G155" s="26">
        <v>1.9659859874729206</v>
      </c>
      <c r="H155" s="13" t="s">
        <v>5</v>
      </c>
      <c r="I155" s="26">
        <v>0.24250372633665854</v>
      </c>
      <c r="J155" s="7"/>
      <c r="K155" s="37">
        <v>1.4044040777892234E-5</v>
      </c>
      <c r="L155" s="24">
        <v>5915</v>
      </c>
      <c r="M155" s="18">
        <v>1.8588954904135278</v>
      </c>
      <c r="N155" s="13" t="s">
        <v>5</v>
      </c>
      <c r="O155" s="55">
        <f t="shared" si="8"/>
        <v>1.2744080724503485E-9</v>
      </c>
      <c r="P155" s="53">
        <f t="shared" si="9"/>
        <v>2557265659603.4688</v>
      </c>
      <c r="Q155" s="55">
        <f t="shared" si="10"/>
        <v>5.8459713302053977</v>
      </c>
      <c r="R155" s="55">
        <f t="shared" si="11"/>
        <v>-0.28543689165558378</v>
      </c>
    </row>
    <row r="156" spans="1:18" ht="15.75" x14ac:dyDescent="0.3">
      <c r="A156" s="3" t="s">
        <v>14</v>
      </c>
      <c r="B156" s="24">
        <v>2290</v>
      </c>
      <c r="C156" s="5">
        <v>147</v>
      </c>
      <c r="D156" s="24">
        <v>926.67416705051619</v>
      </c>
      <c r="E156" s="27">
        <v>0.92190427125757779</v>
      </c>
      <c r="F156" s="28">
        <v>41.9</v>
      </c>
      <c r="G156" s="26">
        <v>1.5015039137706185</v>
      </c>
      <c r="H156" s="13" t="s">
        <v>5</v>
      </c>
      <c r="I156" s="26">
        <v>0.41020653230299997</v>
      </c>
      <c r="J156" s="7"/>
      <c r="K156" s="37">
        <v>1.503354094425121E-5</v>
      </c>
      <c r="L156" s="24">
        <v>2870</v>
      </c>
      <c r="M156" s="18">
        <v>1.4871518886211128</v>
      </c>
      <c r="N156" s="13" t="s">
        <v>5</v>
      </c>
      <c r="O156" s="55">
        <f t="shared" si="8"/>
        <v>6.4437124778160266E-9</v>
      </c>
      <c r="P156" s="53">
        <f t="shared" si="9"/>
        <v>355385192600.91321</v>
      </c>
      <c r="Q156" s="55">
        <f t="shared" si="10"/>
        <v>5.5742880901006995</v>
      </c>
      <c r="R156" s="55">
        <f t="shared" si="11"/>
        <v>-0.29555888163929328</v>
      </c>
    </row>
    <row r="157" spans="1:18" ht="15.75" x14ac:dyDescent="0.3">
      <c r="A157" s="3" t="s">
        <v>14</v>
      </c>
      <c r="B157" s="24">
        <v>3478</v>
      </c>
      <c r="C157" s="5">
        <v>189</v>
      </c>
      <c r="D157" s="24">
        <v>1669.824655779699</v>
      </c>
      <c r="E157" s="27">
        <v>0.90878470942589007</v>
      </c>
      <c r="F157" s="28">
        <v>45.1</v>
      </c>
      <c r="G157" s="26">
        <v>1.9542207314204327</v>
      </c>
      <c r="H157" s="13" t="s">
        <v>5</v>
      </c>
      <c r="I157" s="26">
        <v>0.23524203840575</v>
      </c>
      <c r="J157" s="7"/>
      <c r="K157" s="37">
        <v>1.58487149214415E-5</v>
      </c>
      <c r="L157" s="24">
        <v>5685</v>
      </c>
      <c r="M157" s="18">
        <v>1.8652054877412294</v>
      </c>
      <c r="N157" s="13" t="s">
        <v>5</v>
      </c>
      <c r="O157" s="55">
        <f t="shared" si="8"/>
        <v>1.6158117223594407E-9</v>
      </c>
      <c r="P157" s="53">
        <f t="shared" si="9"/>
        <v>2152478504686.0156</v>
      </c>
      <c r="Q157" s="55">
        <f t="shared" si="10"/>
        <v>5.8307824048695762</v>
      </c>
      <c r="R157" s="55">
        <f t="shared" si="11"/>
        <v>-0.28803334553508381</v>
      </c>
    </row>
    <row r="158" spans="1:18" ht="15.75" x14ac:dyDescent="0.3">
      <c r="A158" s="3" t="s">
        <v>14</v>
      </c>
      <c r="B158" s="24">
        <v>2656.22</v>
      </c>
      <c r="C158" s="5">
        <v>161</v>
      </c>
      <c r="D158" s="24">
        <v>1078.8275574104816</v>
      </c>
      <c r="E158" s="26">
        <v>0.92547543459989179</v>
      </c>
      <c r="F158" s="28">
        <v>42.825489712948126</v>
      </c>
      <c r="G158" s="26">
        <v>1.60545129758015</v>
      </c>
      <c r="H158" s="13" t="s">
        <v>5</v>
      </c>
      <c r="I158" s="27">
        <v>0.35863015920792102</v>
      </c>
      <c r="J158" s="7"/>
      <c r="K158" s="37">
        <v>1.24280420547592E-5</v>
      </c>
      <c r="L158" s="25">
        <v>5064</v>
      </c>
      <c r="M158" s="18">
        <v>1.5489326936445311</v>
      </c>
      <c r="N158" s="13" t="s">
        <v>5</v>
      </c>
      <c r="O158" s="55">
        <f t="shared" si="8"/>
        <v>5.1155320406774196E-9</v>
      </c>
      <c r="P158" s="53">
        <f t="shared" si="9"/>
        <v>519246087967.64313</v>
      </c>
      <c r="Q158" s="55">
        <f t="shared" si="10"/>
        <v>5.6332701073248677</v>
      </c>
      <c r="R158" s="55">
        <f t="shared" si="11"/>
        <v>-0.29507488882055327</v>
      </c>
    </row>
    <row r="159" spans="1:18" ht="15.75" x14ac:dyDescent="0.3">
      <c r="A159" s="3" t="s">
        <v>14</v>
      </c>
      <c r="B159" s="24">
        <v>2265</v>
      </c>
      <c r="C159" s="5">
        <v>165</v>
      </c>
      <c r="D159" s="24">
        <v>656</v>
      </c>
      <c r="E159" s="27">
        <v>0.92645137195121963</v>
      </c>
      <c r="F159" s="29">
        <v>37.130000000000003</v>
      </c>
      <c r="G159" s="26">
        <v>1.3793</v>
      </c>
      <c r="H159" s="13" t="s">
        <v>5</v>
      </c>
      <c r="I159" s="38">
        <v>0.74</v>
      </c>
      <c r="J159" s="7"/>
      <c r="K159" s="37">
        <v>1.0779500000000001E-5</v>
      </c>
      <c r="L159" s="24">
        <v>4015</v>
      </c>
      <c r="M159" s="18">
        <v>1.3487071260000001</v>
      </c>
      <c r="N159" s="13" t="s">
        <v>5</v>
      </c>
      <c r="O159" s="55">
        <f t="shared" si="8"/>
        <v>1.804256685924144E-8</v>
      </c>
      <c r="P159" s="53">
        <f t="shared" si="9"/>
        <v>125536461505.29961</v>
      </c>
      <c r="Q159" s="55">
        <f t="shared" si="10"/>
        <v>5.3699334342714842</v>
      </c>
      <c r="R159" s="55">
        <f t="shared" si="11"/>
        <v>-0.30116507015145827</v>
      </c>
    </row>
    <row r="160" spans="1:18" ht="15.75" x14ac:dyDescent="0.3">
      <c r="A160" s="3" t="s">
        <v>13</v>
      </c>
      <c r="B160" s="5">
        <v>3280</v>
      </c>
      <c r="C160" s="5">
        <v>280</v>
      </c>
      <c r="D160" s="30">
        <v>1454</v>
      </c>
      <c r="E160" s="18">
        <v>0.87214580467675373</v>
      </c>
      <c r="F160" s="17">
        <v>43.3</v>
      </c>
      <c r="G160" s="18">
        <v>2.008</v>
      </c>
      <c r="H160" s="13" t="s">
        <v>5</v>
      </c>
      <c r="I160" s="18">
        <v>0.13900000000000001</v>
      </c>
      <c r="J160" s="7"/>
      <c r="K160" s="21">
        <v>5.2865999999999998E-5</v>
      </c>
      <c r="L160" s="5">
        <v>8192</v>
      </c>
      <c r="M160" s="18">
        <v>1.78</v>
      </c>
      <c r="N160" s="13" t="s">
        <v>5</v>
      </c>
      <c r="O160" s="55">
        <f t="shared" si="8"/>
        <v>3.1916685141831382E-8</v>
      </c>
      <c r="P160" s="53">
        <f t="shared" si="9"/>
        <v>102767564532.23189</v>
      </c>
      <c r="Q160" s="55">
        <f t="shared" si="10"/>
        <v>5.5233311136621426</v>
      </c>
      <c r="R160" s="55">
        <f t="shared" si="11"/>
        <v>-0.32000505787870182</v>
      </c>
    </row>
    <row r="161" spans="1:18" ht="15.75" x14ac:dyDescent="0.3">
      <c r="A161" s="3" t="s">
        <v>13</v>
      </c>
      <c r="B161" s="5">
        <v>3722</v>
      </c>
      <c r="C161" s="5">
        <v>270</v>
      </c>
      <c r="D161" s="30">
        <v>2205.9741313164527</v>
      </c>
      <c r="E161" s="18">
        <v>0.9681445936820593</v>
      </c>
      <c r="F161" s="17">
        <v>44.4</v>
      </c>
      <c r="G161" s="18">
        <v>2.4543779368789083</v>
      </c>
      <c r="H161" s="13" t="s">
        <v>5</v>
      </c>
      <c r="I161" s="18">
        <v>0.127</v>
      </c>
      <c r="J161" s="7"/>
      <c r="K161" s="21">
        <v>5.24157793085684E-5</v>
      </c>
      <c r="L161" s="5">
        <v>8200</v>
      </c>
      <c r="M161" s="18">
        <v>2.1447051970846669</v>
      </c>
      <c r="N161" s="13" t="s">
        <v>5</v>
      </c>
      <c r="O161" s="55">
        <f t="shared" si="8"/>
        <v>5.15011804737851E-10</v>
      </c>
      <c r="P161" s="53">
        <f t="shared" si="9"/>
        <v>7227018809586.3945</v>
      </c>
      <c r="Q161" s="55">
        <f t="shared" si="10"/>
        <v>5.9388252673957869</v>
      </c>
      <c r="R161" s="55">
        <f t="shared" si="11"/>
        <v>-0.2776860763447187</v>
      </c>
    </row>
    <row r="162" spans="1:18" ht="15.75" x14ac:dyDescent="0.3">
      <c r="A162" s="3" t="s">
        <v>13</v>
      </c>
      <c r="B162" s="5">
        <v>3697</v>
      </c>
      <c r="C162" s="5">
        <v>270</v>
      </c>
      <c r="D162" s="30">
        <v>2185.1652241112824</v>
      </c>
      <c r="E162" s="18">
        <v>0.98172449597075817</v>
      </c>
      <c r="F162" s="17">
        <v>44.2</v>
      </c>
      <c r="G162" s="18">
        <v>2.6244769978515015</v>
      </c>
      <c r="H162" s="13" t="s">
        <v>5</v>
      </c>
      <c r="I162" s="18">
        <v>8.9899999999999994E-2</v>
      </c>
      <c r="J162" s="7"/>
      <c r="K162" s="21">
        <v>5.6315497084457199E-5</v>
      </c>
      <c r="L162" s="5">
        <v>8260</v>
      </c>
      <c r="M162" s="18">
        <v>2.2977123139010298</v>
      </c>
      <c r="N162" s="13" t="s">
        <v>5</v>
      </c>
      <c r="O162" s="55">
        <f t="shared" si="8"/>
        <v>4.2163154998847892E-10</v>
      </c>
      <c r="P162" s="53">
        <f t="shared" si="9"/>
        <v>8768319164210.0762</v>
      </c>
      <c r="Q162" s="55">
        <f t="shared" si="10"/>
        <v>5.9500021684565167</v>
      </c>
      <c r="R162" s="55">
        <f t="shared" si="11"/>
        <v>-0.27563036476425473</v>
      </c>
    </row>
    <row r="163" spans="1:18" ht="15.75" x14ac:dyDescent="0.3">
      <c r="A163" s="3" t="s">
        <v>13</v>
      </c>
      <c r="B163" s="5">
        <v>3066</v>
      </c>
      <c r="C163" s="5">
        <v>270</v>
      </c>
      <c r="D163" s="30">
        <v>1317.9111629386198</v>
      </c>
      <c r="E163" s="18">
        <v>0.97099999999999997</v>
      </c>
      <c r="F163" s="17">
        <v>41.8</v>
      </c>
      <c r="G163" s="18">
        <v>1.9114061086963996</v>
      </c>
      <c r="H163" s="13" t="s">
        <v>5</v>
      </c>
      <c r="I163" s="18">
        <v>0.15531206651272</v>
      </c>
      <c r="J163" s="7"/>
      <c r="K163" s="21">
        <v>3.0711608145691098E-5</v>
      </c>
      <c r="L163" s="5">
        <v>8100</v>
      </c>
      <c r="M163" s="18">
        <v>1.7229050776838599</v>
      </c>
      <c r="N163" s="13" t="s">
        <v>5</v>
      </c>
      <c r="O163" s="55">
        <f t="shared" si="8"/>
        <v>8.6022884395105657E-9</v>
      </c>
      <c r="P163" s="53">
        <f t="shared" si="9"/>
        <v>356416786248.31604</v>
      </c>
      <c r="Q163" s="55">
        <f t="shared" si="10"/>
        <v>5.6001907314210966</v>
      </c>
      <c r="R163" s="55">
        <f t="shared" si="11"/>
        <v>-0.30155183303590033</v>
      </c>
    </row>
    <row r="164" spans="1:18" ht="15.75" x14ac:dyDescent="0.3">
      <c r="A164" s="3" t="s">
        <v>13</v>
      </c>
      <c r="B164" s="5">
        <v>2944</v>
      </c>
      <c r="C164" s="5">
        <v>270</v>
      </c>
      <c r="D164" s="30">
        <v>1300.3197900526727</v>
      </c>
      <c r="E164" s="18">
        <v>0.99283819657972716</v>
      </c>
      <c r="F164" s="17">
        <v>42.5</v>
      </c>
      <c r="G164" s="18">
        <v>1.9198054319023261</v>
      </c>
      <c r="H164" s="13" t="s">
        <v>5</v>
      </c>
      <c r="I164" s="18">
        <v>0.1363</v>
      </c>
      <c r="J164" s="7"/>
      <c r="K164" s="21">
        <v>3.66317661139909E-5</v>
      </c>
      <c r="L164" s="5">
        <v>8150</v>
      </c>
      <c r="M164" s="18">
        <v>1.7065076919342763</v>
      </c>
      <c r="N164" s="13" t="s">
        <v>5</v>
      </c>
      <c r="O164" s="55">
        <f t="shared" si="8"/>
        <v>9.0768817551028064E-9</v>
      </c>
      <c r="P164" s="53">
        <f t="shared" si="9"/>
        <v>324340459578.6297</v>
      </c>
      <c r="Q164" s="55">
        <f t="shared" si="10"/>
        <v>5.5861414020053344</v>
      </c>
      <c r="R164" s="55">
        <f t="shared" si="11"/>
        <v>-0.30166765528426509</v>
      </c>
    </row>
    <row r="165" spans="1:18" ht="15.75" x14ac:dyDescent="0.3">
      <c r="A165" s="3" t="s">
        <v>13</v>
      </c>
      <c r="B165" s="5">
        <v>2923</v>
      </c>
      <c r="C165" s="5">
        <v>270</v>
      </c>
      <c r="D165" s="30">
        <v>1220.3824306769673</v>
      </c>
      <c r="E165" s="18">
        <v>0.95694427106172286</v>
      </c>
      <c r="F165" s="17">
        <v>42.6</v>
      </c>
      <c r="G165" s="18">
        <v>1.8679349568299397</v>
      </c>
      <c r="H165" s="13" t="s">
        <v>5</v>
      </c>
      <c r="I165" s="18">
        <v>0.183</v>
      </c>
      <c r="J165" s="7"/>
      <c r="K165" s="21">
        <v>3.5836299846315902E-5</v>
      </c>
      <c r="L165" s="5">
        <v>8200</v>
      </c>
      <c r="M165" s="18">
        <v>1.6671422130787923</v>
      </c>
      <c r="N165" s="13" t="s">
        <v>5</v>
      </c>
      <c r="O165" s="55">
        <f t="shared" si="8"/>
        <v>2.2229944900880383E-8</v>
      </c>
      <c r="P165" s="53">
        <f t="shared" si="9"/>
        <v>131489304764.85388</v>
      </c>
      <c r="Q165" s="55">
        <f t="shared" si="10"/>
        <v>5.4998066739341196</v>
      </c>
      <c r="R165" s="55">
        <f t="shared" si="11"/>
        <v>-0.31210198095563474</v>
      </c>
    </row>
    <row r="166" spans="1:18" ht="15.75" x14ac:dyDescent="0.3">
      <c r="A166" s="3" t="s">
        <v>13</v>
      </c>
      <c r="B166" s="5">
        <v>3789</v>
      </c>
      <c r="C166" s="5">
        <v>270</v>
      </c>
      <c r="D166" s="30">
        <v>2716.0284119008852</v>
      </c>
      <c r="E166" s="18">
        <v>0.91100000000000003</v>
      </c>
      <c r="F166" s="17">
        <v>46.088188442211049</v>
      </c>
      <c r="G166" s="18">
        <v>2.8817680081356842</v>
      </c>
      <c r="H166" s="13" t="s">
        <v>5</v>
      </c>
      <c r="I166" s="18">
        <v>0.16739999999999999</v>
      </c>
      <c r="J166" s="7"/>
      <c r="K166" s="21">
        <v>6.0317517366866591E-5</v>
      </c>
      <c r="L166" s="5">
        <v>6691</v>
      </c>
      <c r="M166" s="18">
        <v>2.5504739334005579</v>
      </c>
      <c r="N166" s="13" t="s">
        <v>5</v>
      </c>
      <c r="O166" s="55">
        <f t="shared" si="8"/>
        <v>4.1238861148013835E-10</v>
      </c>
      <c r="P166" s="53">
        <f t="shared" si="9"/>
        <v>9187935589201.0977</v>
      </c>
      <c r="Q166" s="55">
        <f t="shared" si="10"/>
        <v>5.9984811380991525</v>
      </c>
      <c r="R166" s="55">
        <f t="shared" si="11"/>
        <v>-0.27759109057841791</v>
      </c>
    </row>
    <row r="167" spans="1:18" ht="15.75" x14ac:dyDescent="0.3">
      <c r="A167" s="3" t="s">
        <v>13</v>
      </c>
      <c r="B167" s="5">
        <v>2356</v>
      </c>
      <c r="C167" s="5">
        <v>234</v>
      </c>
      <c r="D167" s="30">
        <v>997</v>
      </c>
      <c r="E167" s="18">
        <v>1.05</v>
      </c>
      <c r="F167" s="17">
        <v>42.5</v>
      </c>
      <c r="G167" s="18">
        <v>1.6846951018052452</v>
      </c>
      <c r="H167" s="13" t="s">
        <v>5</v>
      </c>
      <c r="I167" s="18">
        <v>0.23200000000000001</v>
      </c>
      <c r="J167" s="7"/>
      <c r="K167" s="21">
        <v>2.6910915673748293E-5</v>
      </c>
      <c r="L167" s="5">
        <v>7500</v>
      </c>
      <c r="M167" s="18">
        <v>1.547083293592789</v>
      </c>
      <c r="N167" s="13" t="s">
        <v>5</v>
      </c>
      <c r="O167" s="55">
        <f t="shared" si="8"/>
        <v>1.2170142046018789E-8</v>
      </c>
      <c r="P167" s="53">
        <f t="shared" si="9"/>
        <v>193588537510.82938</v>
      </c>
      <c r="Q167" s="55">
        <f t="shared" si="10"/>
        <v>5.4869310534116744</v>
      </c>
      <c r="R167" s="55">
        <f t="shared" si="11"/>
        <v>-0.30107806594685982</v>
      </c>
    </row>
    <row r="168" spans="1:18" ht="15.75" x14ac:dyDescent="0.3">
      <c r="A168" s="3" t="s">
        <v>13</v>
      </c>
      <c r="B168" s="5">
        <v>2212</v>
      </c>
      <c r="C168" s="5">
        <v>234</v>
      </c>
      <c r="D168" s="30">
        <v>847.10507033279407</v>
      </c>
      <c r="E168" s="18">
        <v>1.042</v>
      </c>
      <c r="F168" s="17">
        <v>41.8</v>
      </c>
      <c r="G168" s="18">
        <v>1.5865404013686017</v>
      </c>
      <c r="H168" s="13" t="s">
        <v>5</v>
      </c>
      <c r="I168" s="18">
        <v>0.245</v>
      </c>
      <c r="J168" s="7"/>
      <c r="K168" s="21">
        <v>2.0657461797034198E-5</v>
      </c>
      <c r="L168" s="5">
        <v>7500</v>
      </c>
      <c r="M168" s="18">
        <v>1.4710532679434376</v>
      </c>
      <c r="N168" s="13" t="s">
        <v>5</v>
      </c>
      <c r="O168" s="55">
        <f t="shared" si="8"/>
        <v>2.9636358708667726E-8</v>
      </c>
      <c r="P168" s="53">
        <f t="shared" si="9"/>
        <v>74638049219.029785</v>
      </c>
      <c r="Q168" s="55">
        <f t="shared" si="10"/>
        <v>5.3638267928201513</v>
      </c>
      <c r="R168" s="55">
        <f t="shared" si="11"/>
        <v>-0.30943493334468142</v>
      </c>
    </row>
    <row r="169" spans="1:18" ht="15.75" x14ac:dyDescent="0.3">
      <c r="A169" s="3" t="s">
        <v>13</v>
      </c>
      <c r="B169" s="5">
        <v>3310</v>
      </c>
      <c r="C169" s="5">
        <v>240</v>
      </c>
      <c r="D169" s="30">
        <v>1471.8214907124384</v>
      </c>
      <c r="E169" s="18">
        <v>0.84899999999999998</v>
      </c>
      <c r="F169" s="17">
        <v>44.7</v>
      </c>
      <c r="G169" s="18">
        <v>1.93272514077489</v>
      </c>
      <c r="H169" s="13" t="s">
        <v>5</v>
      </c>
      <c r="I169" s="18">
        <v>0.128</v>
      </c>
      <c r="J169" s="7"/>
      <c r="K169" s="21">
        <v>3.481969076520409E-5</v>
      </c>
      <c r="L169" s="5">
        <v>5500</v>
      </c>
      <c r="M169" s="18">
        <v>1.8178851069538626</v>
      </c>
      <c r="N169" s="13" t="s">
        <v>5</v>
      </c>
      <c r="O169" s="55">
        <f t="shared" si="8"/>
        <v>2.8595574819140596E-8</v>
      </c>
      <c r="P169" s="53">
        <f t="shared" si="9"/>
        <v>115752175674.25288</v>
      </c>
      <c r="Q169" s="55">
        <f t="shared" si="10"/>
        <v>5.5508583722564611</v>
      </c>
      <c r="R169" s="55">
        <f t="shared" si="11"/>
        <v>-0.31956556959206178</v>
      </c>
    </row>
    <row r="170" spans="1:18" ht="15.75" x14ac:dyDescent="0.3">
      <c r="A170" s="3" t="s">
        <v>13</v>
      </c>
      <c r="B170" s="5">
        <v>3067</v>
      </c>
      <c r="C170" s="5">
        <v>242</v>
      </c>
      <c r="D170" s="30">
        <v>1195.9951434878585</v>
      </c>
      <c r="E170" s="18">
        <v>0.91600000000000004</v>
      </c>
      <c r="F170" s="17">
        <v>40.9</v>
      </c>
      <c r="G170" s="18">
        <v>1.7486462426644702</v>
      </c>
      <c r="H170" s="13" t="s">
        <v>5</v>
      </c>
      <c r="I170" s="18">
        <v>0.17599999999999999</v>
      </c>
      <c r="J170" s="7"/>
      <c r="K170" s="21">
        <v>2.6646440917223094E-5</v>
      </c>
      <c r="L170" s="5">
        <v>7528</v>
      </c>
      <c r="M170" s="18">
        <v>1.6073638122571077</v>
      </c>
      <c r="N170" s="13" t="s">
        <v>5</v>
      </c>
      <c r="O170" s="55">
        <f t="shared" si="8"/>
        <v>1.3699079628869971E-8</v>
      </c>
      <c r="P170" s="53">
        <f t="shared" si="9"/>
        <v>223883653725.37775</v>
      </c>
      <c r="Q170" s="55">
        <f t="shared" si="10"/>
        <v>5.5572509008732034</v>
      </c>
      <c r="R170" s="55">
        <f t="shared" si="11"/>
        <v>-0.30692975699385622</v>
      </c>
    </row>
    <row r="171" spans="1:18" ht="15.75" x14ac:dyDescent="0.3">
      <c r="A171" s="3" t="s">
        <v>13</v>
      </c>
      <c r="B171" s="5">
        <v>3149</v>
      </c>
      <c r="C171" s="5">
        <v>241</v>
      </c>
      <c r="D171" s="30">
        <v>1302.9698972755696</v>
      </c>
      <c r="E171" s="18">
        <v>0.88902905853998426</v>
      </c>
      <c r="F171" s="17">
        <v>42.8</v>
      </c>
      <c r="G171" s="18">
        <v>1.8582176927835234</v>
      </c>
      <c r="H171" s="13" t="s">
        <v>5</v>
      </c>
      <c r="I171" s="18">
        <v>0.156</v>
      </c>
      <c r="J171" s="7"/>
      <c r="K171" s="21">
        <v>3.3405927508536401E-5</v>
      </c>
      <c r="L171" s="5">
        <v>6840</v>
      </c>
      <c r="M171" s="18">
        <v>1.7148134475218746</v>
      </c>
      <c r="N171" s="13" t="s">
        <v>5</v>
      </c>
      <c r="O171" s="55">
        <f t="shared" si="8"/>
        <v>2.0799020491469228E-8</v>
      </c>
      <c r="P171" s="53">
        <f t="shared" si="9"/>
        <v>151401360524.20215</v>
      </c>
      <c r="Q171" s="55">
        <f t="shared" si="10"/>
        <v>5.5458752885338303</v>
      </c>
      <c r="R171" s="55">
        <f t="shared" si="11"/>
        <v>-0.31353247595438394</v>
      </c>
    </row>
    <row r="172" spans="1:18" ht="15.75" x14ac:dyDescent="0.3">
      <c r="A172" s="3" t="s">
        <v>13</v>
      </c>
      <c r="B172" s="5">
        <v>3005</v>
      </c>
      <c r="C172" s="5">
        <v>242</v>
      </c>
      <c r="D172" s="30">
        <v>1290.7743124026983</v>
      </c>
      <c r="E172" s="18">
        <v>0.90783856762258497</v>
      </c>
      <c r="F172" s="17">
        <v>44.9</v>
      </c>
      <c r="G172" s="18">
        <v>1.8594969644768309</v>
      </c>
      <c r="H172" s="13" t="s">
        <v>5</v>
      </c>
      <c r="I172" s="18">
        <v>0.14699999999999999</v>
      </c>
      <c r="J172" s="7"/>
      <c r="K172" s="21">
        <v>2.9842397655878901E-5</v>
      </c>
      <c r="L172" s="5">
        <v>6577</v>
      </c>
      <c r="M172" s="18">
        <v>2.1945895929954657</v>
      </c>
      <c r="N172" s="13" t="s">
        <v>5</v>
      </c>
      <c r="O172" s="55">
        <f t="shared" si="8"/>
        <v>3.3969377002868863E-8</v>
      </c>
      <c r="P172" s="53">
        <f t="shared" si="9"/>
        <v>88462028600.414001</v>
      </c>
      <c r="Q172" s="55">
        <f t="shared" si="10"/>
        <v>5.4912008851547016</v>
      </c>
      <c r="R172" s="55">
        <f t="shared" si="11"/>
        <v>-0.31929658696987973</v>
      </c>
    </row>
    <row r="173" spans="1:18" ht="15.75" x14ac:dyDescent="0.3">
      <c r="A173" s="3" t="s">
        <v>13</v>
      </c>
      <c r="B173" s="5">
        <v>3609</v>
      </c>
      <c r="C173" s="5">
        <v>240</v>
      </c>
      <c r="D173" s="30">
        <v>1830</v>
      </c>
      <c r="E173" s="18">
        <v>0.99679574727810316</v>
      </c>
      <c r="F173" s="17">
        <v>41.4</v>
      </c>
      <c r="G173" s="18">
        <v>2.2355892603576124</v>
      </c>
      <c r="H173" s="13" t="s">
        <v>5</v>
      </c>
      <c r="I173" s="18">
        <v>0.13567425546815229</v>
      </c>
      <c r="J173" s="7"/>
      <c r="K173" s="21">
        <v>4.0392901023486177E-5</v>
      </c>
      <c r="L173" s="5">
        <v>6815</v>
      </c>
      <c r="M173" s="18">
        <v>2.0624873723608794</v>
      </c>
      <c r="N173" s="13" t="s">
        <v>5</v>
      </c>
      <c r="O173" s="55">
        <f t="shared" si="8"/>
        <v>2.2423249903173485E-10</v>
      </c>
      <c r="P173" s="53">
        <f t="shared" si="9"/>
        <v>16094901566828.662</v>
      </c>
      <c r="Q173" s="55">
        <f t="shared" si="10"/>
        <v>5.975998323778426</v>
      </c>
      <c r="R173" s="55">
        <f t="shared" si="11"/>
        <v>-0.26896694141380234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1F92-C2D9-42A7-9AC8-CF9816AAF7F5}">
  <sheetPr>
    <tabColor rgb="FF00B050"/>
  </sheetPr>
  <dimension ref="A1:V173"/>
  <sheetViews>
    <sheetView topLeftCell="A5" zoomScale="90" zoomScaleNormal="90" workbookViewId="0">
      <selection activeCell="O20" sqref="O20"/>
    </sheetView>
  </sheetViews>
  <sheetFormatPr defaultRowHeight="15" x14ac:dyDescent="0.25"/>
  <cols>
    <col min="2" max="2" width="9.28515625" bestFit="1" customWidth="1"/>
    <col min="12" max="12" width="8.85546875" bestFit="1" customWidth="1"/>
    <col min="13" max="13" width="11.5703125" bestFit="1" customWidth="1"/>
    <col min="14" max="14" width="14.85546875" bestFit="1" customWidth="1"/>
    <col min="15" max="15" width="25.85546875" style="53" bestFit="1" customWidth="1"/>
    <col min="16" max="16" width="9.140625" style="53"/>
    <col min="19" max="19" width="25.85546875" bestFit="1" customWidth="1"/>
  </cols>
  <sheetData>
    <row r="1" spans="1:22" x14ac:dyDescent="0.25">
      <c r="A1" t="s">
        <v>27</v>
      </c>
      <c r="B1" s="49">
        <v>0.2188505</v>
      </c>
    </row>
    <row r="2" spans="1:22" x14ac:dyDescent="0.25">
      <c r="A2" t="s">
        <v>28</v>
      </c>
      <c r="B2" s="49">
        <v>-0.13864969999999999</v>
      </c>
    </row>
    <row r="3" spans="1:22" x14ac:dyDescent="0.25">
      <c r="A3" t="s">
        <v>29</v>
      </c>
      <c r="B3" s="49">
        <v>1.427497E-2</v>
      </c>
      <c r="R3" s="50"/>
      <c r="S3" s="52" t="s">
        <v>49</v>
      </c>
      <c r="T3" s="52" t="s">
        <v>48</v>
      </c>
    </row>
    <row r="4" spans="1:22" x14ac:dyDescent="0.25">
      <c r="A4" t="s">
        <v>30</v>
      </c>
      <c r="B4" s="49">
        <v>0.87137450000000005</v>
      </c>
      <c r="R4" s="50" t="s">
        <v>47</v>
      </c>
      <c r="S4" s="51">
        <f>(100/COUNT(O20:O173))*SUM(P20:P173)</f>
        <v>12.720852985736485</v>
      </c>
      <c r="T4" s="51">
        <v>9.2759</v>
      </c>
      <c r="V4">
        <f>T4/S4</f>
        <v>0.72918852300241122</v>
      </c>
    </row>
    <row r="5" spans="1:22" x14ac:dyDescent="0.25">
      <c r="A5" t="s">
        <v>31</v>
      </c>
      <c r="B5" s="49">
        <v>-0.8232235</v>
      </c>
      <c r="N5" t="s">
        <v>44</v>
      </c>
      <c r="O5" s="54">
        <v>9.9999999999999995E-7</v>
      </c>
    </row>
    <row r="6" spans="1:22" x14ac:dyDescent="0.25">
      <c r="A6" t="s">
        <v>32</v>
      </c>
      <c r="B6" s="49">
        <v>0.1129037</v>
      </c>
      <c r="N6" t="s">
        <v>45</v>
      </c>
      <c r="O6" s="53">
        <f>0.001</f>
        <v>1E-3</v>
      </c>
    </row>
    <row r="7" spans="1:22" x14ac:dyDescent="0.25">
      <c r="A7" t="s">
        <v>33</v>
      </c>
      <c r="B7" s="49">
        <v>-6.6339790000000001</v>
      </c>
    </row>
    <row r="8" spans="1:22" x14ac:dyDescent="0.25">
      <c r="A8" t="s">
        <v>34</v>
      </c>
      <c r="B8" s="49">
        <v>0.95004469999999996</v>
      </c>
    </row>
    <row r="9" spans="1:22" x14ac:dyDescent="0.25">
      <c r="A9" t="s">
        <v>35</v>
      </c>
      <c r="B9" s="49">
        <v>-4.9946270000000001E-2</v>
      </c>
    </row>
    <row r="10" spans="1:22" x14ac:dyDescent="0.25">
      <c r="A10" t="s">
        <v>36</v>
      </c>
      <c r="B10" s="49">
        <v>1.723455</v>
      </c>
    </row>
    <row r="11" spans="1:22" x14ac:dyDescent="0.25">
      <c r="A11" t="s">
        <v>37</v>
      </c>
      <c r="B11" s="49">
        <v>0.26326310000000003</v>
      </c>
    </row>
    <row r="12" spans="1:22" x14ac:dyDescent="0.25">
      <c r="A12" t="s">
        <v>38</v>
      </c>
      <c r="B12" s="49">
        <v>0.26657510000000001</v>
      </c>
    </row>
    <row r="13" spans="1:22" x14ac:dyDescent="0.25">
      <c r="A13" t="s">
        <v>39</v>
      </c>
      <c r="B13" s="49">
        <v>12.3635</v>
      </c>
    </row>
    <row r="14" spans="1:22" x14ac:dyDescent="0.25">
      <c r="A14" t="s">
        <v>40</v>
      </c>
      <c r="B14" s="49">
        <v>2.958942</v>
      </c>
    </row>
    <row r="15" spans="1:22" x14ac:dyDescent="0.25">
      <c r="A15" t="s">
        <v>41</v>
      </c>
      <c r="B15" s="49">
        <v>-7.275459E-4</v>
      </c>
    </row>
    <row r="16" spans="1:22" x14ac:dyDescent="0.25">
      <c r="A16" t="s">
        <v>42</v>
      </c>
    </row>
    <row r="18" spans="1:16" ht="15.75" x14ac:dyDescent="0.3">
      <c r="A18" s="3"/>
      <c r="B18" s="1"/>
      <c r="C18" s="1"/>
      <c r="D18" s="1"/>
      <c r="E18" s="1"/>
      <c r="F18" s="2"/>
      <c r="G18" s="1"/>
      <c r="H18" s="1"/>
      <c r="I18" s="1"/>
      <c r="J18" s="1"/>
      <c r="K18" s="1"/>
      <c r="L18" s="1"/>
      <c r="M18" s="1"/>
      <c r="N18" s="1"/>
    </row>
    <row r="19" spans="1:16" ht="126" x14ac:dyDescent="0.3">
      <c r="A19" s="11" t="s">
        <v>17</v>
      </c>
      <c r="B19" s="12" t="s">
        <v>1</v>
      </c>
      <c r="C19" s="12" t="s">
        <v>4</v>
      </c>
      <c r="D19" s="12" t="s">
        <v>7</v>
      </c>
      <c r="E19" s="12" t="s">
        <v>3</v>
      </c>
      <c r="F19" s="15" t="s">
        <v>0</v>
      </c>
      <c r="G19" s="12" t="s">
        <v>11</v>
      </c>
      <c r="H19" s="12" t="s">
        <v>8</v>
      </c>
      <c r="I19" s="12" t="s">
        <v>6</v>
      </c>
      <c r="J19" s="12"/>
      <c r="K19" s="12" t="s">
        <v>12</v>
      </c>
      <c r="L19" s="12" t="s">
        <v>2</v>
      </c>
      <c r="M19" s="12" t="s">
        <v>10</v>
      </c>
      <c r="N19" s="12" t="s">
        <v>9</v>
      </c>
      <c r="O19" s="12" t="s">
        <v>46</v>
      </c>
      <c r="P19" s="12" t="s">
        <v>43</v>
      </c>
    </row>
    <row r="20" spans="1:16" ht="15.75" x14ac:dyDescent="0.3">
      <c r="A20" s="4" t="s">
        <v>15</v>
      </c>
      <c r="B20" s="14">
        <v>3501</v>
      </c>
      <c r="C20" s="30">
        <v>174</v>
      </c>
      <c r="D20" s="20">
        <v>1667.7686823505683</v>
      </c>
      <c r="E20" s="19">
        <v>0.83574909006792664</v>
      </c>
      <c r="F20" s="13">
        <v>46.658961138443573</v>
      </c>
      <c r="G20" s="31">
        <v>1.9055786070768399</v>
      </c>
      <c r="H20" s="13" t="s">
        <v>5</v>
      </c>
      <c r="I20" s="32">
        <v>0.1800575556996</v>
      </c>
      <c r="J20" s="32"/>
      <c r="K20" s="6">
        <v>2.5861872746664799E-5</v>
      </c>
      <c r="L20" s="14">
        <v>8227</v>
      </c>
      <c r="M20" s="31">
        <v>1.75703537278207</v>
      </c>
      <c r="N20" s="13" t="s">
        <v>5</v>
      </c>
      <c r="O20" s="54">
        <f>EXP(    ($B$1+$B$2*LN(C20) + $B$3*LN(C20)^2)   *   ($B$4+$B$5*LN(F20) +$B$6*LN(F20)^2)    *  ($B$7+$B$8*LN(D20) +$B$9*LN(D20)^2)    *  ($B$10+$B$11*LN(E20) +$B$12*LN(E20)^2)   *  ($B$13+$B$14*LN(B20) +$B$15*LN(B20)^2)   )</f>
        <v>2.9200539307543094E-5</v>
      </c>
      <c r="P20" s="53">
        <f>ABS((K20-O20)/O20)</f>
        <v>0.11433578420299413</v>
      </c>
    </row>
    <row r="21" spans="1:16" ht="15.75" x14ac:dyDescent="0.3">
      <c r="A21" s="4" t="s">
        <v>15</v>
      </c>
      <c r="B21" s="14">
        <v>6415</v>
      </c>
      <c r="C21" s="30">
        <v>159</v>
      </c>
      <c r="D21" s="20">
        <f>(3011*1.0461+39)</f>
        <v>3188.8071</v>
      </c>
      <c r="E21" s="19">
        <f>(3011*1.0461*0.7329+24*1.0283+15*1.3503)/(3011*1.0461+39)</f>
        <v>0.73802749736413975</v>
      </c>
      <c r="F21" s="13">
        <v>42.1</v>
      </c>
      <c r="G21" s="31" t="s">
        <v>5</v>
      </c>
      <c r="H21" s="33" t="s">
        <v>5</v>
      </c>
      <c r="I21" s="31" t="s">
        <v>5</v>
      </c>
      <c r="J21" s="31"/>
      <c r="K21" s="6">
        <v>2.9828500000000001E-5</v>
      </c>
      <c r="L21" s="14">
        <v>5439</v>
      </c>
      <c r="M21" s="31" t="s">
        <v>5</v>
      </c>
      <c r="N21" s="13" t="s">
        <v>5</v>
      </c>
      <c r="O21" s="54">
        <f t="shared" ref="O21:O84" si="0">EXP(    ($B$1+$B$2*LN(C21) + $B$3*LN(C21)^2)   *   ($B$4+$B$5*LN(F21) +$B$6*LN(F21)^2)    *  ($B$7+$B$8*LN(D21) +$B$9*LN(D21)^2)    *  ($B$10+$B$11*LN(E21) +$B$12*LN(E21)^2)   *  ($B$13+$B$14*LN(B21) +$B$15*LN(B21)^2)   )</f>
        <v>2.9621749314371706E-5</v>
      </c>
      <c r="P21" s="53">
        <f t="shared" ref="P21:P84" si="1">ABS((K21-O21)/O21)</f>
        <v>6.9796919632961803E-3</v>
      </c>
    </row>
    <row r="22" spans="1:16" ht="15.75" x14ac:dyDescent="0.3">
      <c r="A22" s="4" t="s">
        <v>15</v>
      </c>
      <c r="B22" s="14">
        <v>3265</v>
      </c>
      <c r="C22" s="30">
        <v>157</v>
      </c>
      <c r="D22" s="20">
        <v>1133.4462691607539</v>
      </c>
      <c r="E22" s="19">
        <v>0.8500077412459377</v>
      </c>
      <c r="F22" s="13">
        <v>44.23</v>
      </c>
      <c r="G22" s="31">
        <v>1.5995999999999999</v>
      </c>
      <c r="H22" s="13" t="s">
        <v>5</v>
      </c>
      <c r="I22" s="32">
        <v>0.30599999999999999</v>
      </c>
      <c r="J22" s="32"/>
      <c r="K22" s="6">
        <v>1.78112E-5</v>
      </c>
      <c r="L22" s="14">
        <v>5690</v>
      </c>
      <c r="M22" s="31">
        <v>1.5450999999999999</v>
      </c>
      <c r="N22" s="13" t="s">
        <v>5</v>
      </c>
      <c r="O22" s="54">
        <f t="shared" si="0"/>
        <v>1.8511967167138308E-5</v>
      </c>
      <c r="P22" s="53">
        <f t="shared" si="1"/>
        <v>3.7854819037399838E-2</v>
      </c>
    </row>
    <row r="23" spans="1:16" ht="15.75" x14ac:dyDescent="0.3">
      <c r="A23" s="4" t="s">
        <v>15</v>
      </c>
      <c r="B23" s="14">
        <v>5575</v>
      </c>
      <c r="C23" s="30">
        <v>190</v>
      </c>
      <c r="D23" s="20">
        <f>(7899*1.0611+41)</f>
        <v>8422.6288999999997</v>
      </c>
      <c r="E23" s="19">
        <f>(7899*1.0611*0.742+23*0.9619+19*1.4441)/(7899*1.0611+41)</f>
        <v>0.74427240214750523</v>
      </c>
      <c r="F23" s="13">
        <v>51.48</v>
      </c>
      <c r="G23" s="31" t="s">
        <v>5</v>
      </c>
      <c r="H23" s="34">
        <v>6.4061909429272449E-4</v>
      </c>
      <c r="I23" s="31" t="s">
        <v>5</v>
      </c>
      <c r="J23" s="31"/>
      <c r="K23" s="23">
        <v>6.183155080213914E-5</v>
      </c>
      <c r="L23" s="14">
        <v>9061</v>
      </c>
      <c r="M23" s="31" t="s">
        <v>5</v>
      </c>
      <c r="N23" s="34">
        <v>5.5599417318106506E-4</v>
      </c>
      <c r="O23" s="54">
        <f t="shared" si="0"/>
        <v>6.6329921670046674E-5</v>
      </c>
      <c r="P23" s="53">
        <f t="shared" si="1"/>
        <v>6.7818124228826174E-2</v>
      </c>
    </row>
    <row r="24" spans="1:16" ht="15.75" x14ac:dyDescent="0.3">
      <c r="A24" s="4" t="s">
        <v>15</v>
      </c>
      <c r="B24" s="14">
        <v>3415</v>
      </c>
      <c r="C24" s="30">
        <v>153</v>
      </c>
      <c r="D24" s="20">
        <v>1371</v>
      </c>
      <c r="E24" s="19">
        <v>0.84958189781021909</v>
      </c>
      <c r="F24" s="13">
        <v>45.07</v>
      </c>
      <c r="G24" s="31">
        <v>1.7246999999999999</v>
      </c>
      <c r="H24" s="13" t="s">
        <v>5</v>
      </c>
      <c r="I24" s="32">
        <v>0.254</v>
      </c>
      <c r="J24" s="32"/>
      <c r="K24" s="6">
        <v>2.0641000000000001E-5</v>
      </c>
      <c r="L24" s="14">
        <v>5605</v>
      </c>
      <c r="M24" s="31">
        <v>1.6646000000000001</v>
      </c>
      <c r="N24" s="13" t="s">
        <v>5</v>
      </c>
      <c r="O24" s="54">
        <f t="shared" si="0"/>
        <v>2.180538042277563E-5</v>
      </c>
      <c r="P24" s="53">
        <f t="shared" si="1"/>
        <v>5.3398766735545604E-2</v>
      </c>
    </row>
    <row r="25" spans="1:16" ht="15.75" x14ac:dyDescent="0.3">
      <c r="A25" s="4" t="s">
        <v>15</v>
      </c>
      <c r="B25" s="14">
        <v>2965</v>
      </c>
      <c r="C25" s="30">
        <v>156</v>
      </c>
      <c r="D25" s="20">
        <v>979</v>
      </c>
      <c r="E25" s="19">
        <v>0.84233779366700712</v>
      </c>
      <c r="F25" s="13">
        <v>41.5</v>
      </c>
      <c r="G25" s="31">
        <v>1.5277000000000001</v>
      </c>
      <c r="H25" s="33" t="s">
        <v>5</v>
      </c>
      <c r="I25" s="32">
        <v>0.38600000000000001</v>
      </c>
      <c r="J25" s="32"/>
      <c r="K25" s="6">
        <v>1.84603E-5</v>
      </c>
      <c r="L25" s="14">
        <v>5578</v>
      </c>
      <c r="M25" s="31">
        <v>1.4709000000000001</v>
      </c>
      <c r="N25" s="13" t="s">
        <v>5</v>
      </c>
      <c r="O25" s="54">
        <f t="shared" si="0"/>
        <v>1.6709465197151493E-5</v>
      </c>
      <c r="P25" s="53">
        <f t="shared" si="1"/>
        <v>0.10478101975082819</v>
      </c>
    </row>
    <row r="26" spans="1:16" ht="15.75" x14ac:dyDescent="0.3">
      <c r="A26" s="4" t="s">
        <v>15</v>
      </c>
      <c r="B26" s="14">
        <v>4215</v>
      </c>
      <c r="C26" s="30">
        <v>135</v>
      </c>
      <c r="D26" s="20">
        <f>(1607*1.0505+60)</f>
        <v>1748.1534999999999</v>
      </c>
      <c r="E26" s="19">
        <f>(1607*1.0505*0.7748+19*0.8601+40*1.4479)/(1607*1.0505+60)</f>
        <v>0.79068527552071366</v>
      </c>
      <c r="F26" s="13">
        <v>43.13</v>
      </c>
      <c r="G26" s="31">
        <v>1.3649</v>
      </c>
      <c r="H26" s="33" t="s">
        <v>5</v>
      </c>
      <c r="I26" s="32" t="s">
        <v>5</v>
      </c>
      <c r="J26" s="32"/>
      <c r="K26" s="6">
        <v>2.21206E-5</v>
      </c>
      <c r="L26" s="14">
        <v>4087</v>
      </c>
      <c r="M26" s="31">
        <v>1.3649</v>
      </c>
      <c r="N26" s="13" t="s">
        <v>5</v>
      </c>
      <c r="O26" s="54">
        <f t="shared" si="0"/>
        <v>2.3391167892597127E-5</v>
      </c>
      <c r="P26" s="53">
        <f t="shared" si="1"/>
        <v>5.4318275104136136E-2</v>
      </c>
    </row>
    <row r="27" spans="1:16" ht="15.75" x14ac:dyDescent="0.3">
      <c r="A27" s="4" t="s">
        <v>15</v>
      </c>
      <c r="B27" s="14">
        <v>2915.0250000000001</v>
      </c>
      <c r="C27" s="30">
        <v>132</v>
      </c>
      <c r="D27" s="20">
        <v>977</v>
      </c>
      <c r="E27" s="19">
        <v>0.81936949846468798</v>
      </c>
      <c r="F27" s="13">
        <v>39.19</v>
      </c>
      <c r="G27" s="31">
        <v>1.4986911732675505</v>
      </c>
      <c r="H27" s="33" t="s">
        <v>5</v>
      </c>
      <c r="I27" s="32">
        <v>0.44900000000000001</v>
      </c>
      <c r="J27" s="32"/>
      <c r="K27" s="6">
        <v>1.54185158706069E-5</v>
      </c>
      <c r="L27" s="14">
        <v>3962.0250000000001</v>
      </c>
      <c r="M27" s="31">
        <v>1.4773948236521384</v>
      </c>
      <c r="N27" s="13" t="s">
        <v>5</v>
      </c>
      <c r="O27" s="54">
        <f t="shared" si="0"/>
        <v>1.641016145746625E-5</v>
      </c>
      <c r="P27" s="53">
        <f t="shared" si="1"/>
        <v>6.0428752601222789E-2</v>
      </c>
    </row>
    <row r="28" spans="1:16" ht="15.75" x14ac:dyDescent="0.3">
      <c r="A28" s="4" t="s">
        <v>15</v>
      </c>
      <c r="B28" s="14">
        <v>325.02499999999998</v>
      </c>
      <c r="C28" s="30">
        <v>90</v>
      </c>
      <c r="D28" s="20">
        <v>224</v>
      </c>
      <c r="E28" s="19">
        <v>1.2951339285714287</v>
      </c>
      <c r="F28" s="13">
        <v>42.1</v>
      </c>
      <c r="G28" s="31">
        <v>1.1680999999999999</v>
      </c>
      <c r="H28" s="13" t="s">
        <v>5</v>
      </c>
      <c r="I28" s="32">
        <v>1.1719999999999999</v>
      </c>
      <c r="J28" s="32"/>
      <c r="K28" s="6">
        <v>1.03558E-5</v>
      </c>
      <c r="L28" s="14">
        <v>1297.0250000000001</v>
      </c>
      <c r="M28" s="31">
        <v>1.156944645</v>
      </c>
      <c r="N28" s="13" t="s">
        <v>5</v>
      </c>
      <c r="O28" s="54">
        <f t="shared" si="0"/>
        <v>1.0355797370994392E-5</v>
      </c>
      <c r="P28" s="53">
        <f t="shared" si="1"/>
        <v>2.5386800399186827E-7</v>
      </c>
    </row>
    <row r="29" spans="1:16" ht="15.75" x14ac:dyDescent="0.3">
      <c r="A29" s="4" t="s">
        <v>15</v>
      </c>
      <c r="B29" s="14">
        <v>2515</v>
      </c>
      <c r="C29" s="30">
        <v>155</v>
      </c>
      <c r="D29" s="20">
        <v>895</v>
      </c>
      <c r="E29" s="19">
        <v>0.86946729910714293</v>
      </c>
      <c r="F29" s="13">
        <v>42.65</v>
      </c>
      <c r="G29" s="31">
        <v>1.4924999999999999</v>
      </c>
      <c r="H29" s="13" t="s">
        <v>5</v>
      </c>
      <c r="I29" s="32">
        <v>0.26800000000000002</v>
      </c>
      <c r="J29" s="32"/>
      <c r="K29" s="6">
        <v>1.72274E-5</v>
      </c>
      <c r="L29" s="14">
        <v>4278</v>
      </c>
      <c r="M29" s="31">
        <v>1.4563999999999999</v>
      </c>
      <c r="N29" s="13" t="s">
        <v>5</v>
      </c>
      <c r="O29" s="54">
        <f t="shared" si="0"/>
        <v>1.6920830695013004E-5</v>
      </c>
      <c r="P29" s="53">
        <f t="shared" si="1"/>
        <v>1.8117863745149919E-2</v>
      </c>
    </row>
    <row r="30" spans="1:16" ht="15.75" x14ac:dyDescent="0.3">
      <c r="A30" s="4" t="s">
        <v>15</v>
      </c>
      <c r="B30" s="14">
        <v>3162</v>
      </c>
      <c r="C30" s="30">
        <v>157</v>
      </c>
      <c r="D30" s="20">
        <v>1179</v>
      </c>
      <c r="E30" s="19">
        <v>0.85150169491525418</v>
      </c>
      <c r="F30" s="13">
        <v>42</v>
      </c>
      <c r="G30" s="31">
        <v>1.6050995510203501</v>
      </c>
      <c r="H30" s="33" t="s">
        <v>5</v>
      </c>
      <c r="I30" s="32">
        <v>0.29599999999999999</v>
      </c>
      <c r="J30" s="32"/>
      <c r="K30" s="23">
        <v>1.794705998628507E-5</v>
      </c>
      <c r="L30" s="14">
        <v>4698</v>
      </c>
      <c r="M30" s="31">
        <v>1.569312227992639</v>
      </c>
      <c r="N30" s="13" t="s">
        <v>5</v>
      </c>
      <c r="O30" s="54">
        <f t="shared" si="0"/>
        <v>1.9383870499238692E-5</v>
      </c>
      <c r="P30" s="53">
        <f t="shared" si="1"/>
        <v>7.4124025591795692E-2</v>
      </c>
    </row>
    <row r="31" spans="1:16" ht="15.75" x14ac:dyDescent="0.3">
      <c r="A31" s="4" t="s">
        <v>15</v>
      </c>
      <c r="B31" s="14">
        <v>2915</v>
      </c>
      <c r="C31" s="30">
        <v>157</v>
      </c>
      <c r="D31" s="20">
        <v>1064</v>
      </c>
      <c r="E31" s="19">
        <v>0.8712595864661653</v>
      </c>
      <c r="F31" s="13">
        <v>42.8</v>
      </c>
      <c r="G31" s="31">
        <v>1.5653999999999999</v>
      </c>
      <c r="H31" s="13" t="s">
        <v>5</v>
      </c>
      <c r="I31" s="32">
        <v>0.309</v>
      </c>
      <c r="J31" s="32"/>
      <c r="K31" s="6">
        <v>1.7852200000000002E-5</v>
      </c>
      <c r="L31" s="14">
        <v>6165</v>
      </c>
      <c r="M31" s="31">
        <v>1.4995000000000001</v>
      </c>
      <c r="N31" s="13" t="s">
        <v>5</v>
      </c>
      <c r="O31" s="54">
        <f t="shared" si="0"/>
        <v>1.8223015044671009E-5</v>
      </c>
      <c r="P31" s="53">
        <f t="shared" si="1"/>
        <v>2.0348720766679367E-2</v>
      </c>
    </row>
    <row r="32" spans="1:16" ht="15.75" x14ac:dyDescent="0.3">
      <c r="A32" s="4" t="s">
        <v>15</v>
      </c>
      <c r="B32" s="14">
        <v>3981</v>
      </c>
      <c r="C32" s="30">
        <v>144</v>
      </c>
      <c r="D32" s="20">
        <v>1827</v>
      </c>
      <c r="E32" s="19">
        <v>0.77204269293924499</v>
      </c>
      <c r="F32" s="13">
        <v>45.6</v>
      </c>
      <c r="G32" s="31">
        <v>1.88574002017762</v>
      </c>
      <c r="H32" s="13" t="s">
        <v>5</v>
      </c>
      <c r="I32" s="32">
        <v>0.184</v>
      </c>
      <c r="J32" s="32"/>
      <c r="K32" s="23">
        <v>3.0246998091170203E-5</v>
      </c>
      <c r="L32" s="14">
        <v>4554</v>
      </c>
      <c r="M32" s="31">
        <v>1.86044577651448</v>
      </c>
      <c r="N32" s="13" t="s">
        <v>5</v>
      </c>
      <c r="O32" s="54">
        <f t="shared" si="0"/>
        <v>2.7266831420402021E-5</v>
      </c>
      <c r="P32" s="53">
        <f t="shared" si="1"/>
        <v>0.1092964057619953</v>
      </c>
    </row>
    <row r="33" spans="1:16" ht="15.75" x14ac:dyDescent="0.3">
      <c r="A33" s="4" t="s">
        <v>15</v>
      </c>
      <c r="B33" s="14">
        <v>3765.0250000000001</v>
      </c>
      <c r="C33" s="30">
        <v>164</v>
      </c>
      <c r="D33" s="20">
        <v>1633</v>
      </c>
      <c r="E33" s="19">
        <v>0.79283404776485</v>
      </c>
      <c r="F33" s="13">
        <v>47.66</v>
      </c>
      <c r="G33" s="31">
        <v>1.905</v>
      </c>
      <c r="H33" s="13" t="s">
        <v>5</v>
      </c>
      <c r="I33" s="32">
        <v>0.20899999999999999</v>
      </c>
      <c r="J33" s="32"/>
      <c r="K33" s="6">
        <v>2.86722E-5</v>
      </c>
      <c r="L33" s="14">
        <v>7671.0249999999996</v>
      </c>
      <c r="M33" s="31">
        <v>1.7716207204278491</v>
      </c>
      <c r="N33" s="13" t="s">
        <v>5</v>
      </c>
      <c r="O33" s="54">
        <f t="shared" si="0"/>
        <v>2.7626292432560026E-5</v>
      </c>
      <c r="P33" s="53">
        <f t="shared" si="1"/>
        <v>3.7859136183155707E-2</v>
      </c>
    </row>
    <row r="34" spans="1:16" ht="15.75" x14ac:dyDescent="0.3">
      <c r="A34" s="4" t="s">
        <v>15</v>
      </c>
      <c r="B34" s="14">
        <v>4115</v>
      </c>
      <c r="C34" s="30">
        <v>165</v>
      </c>
      <c r="D34" s="20">
        <v>1921.8963562753036</v>
      </c>
      <c r="E34" s="19">
        <v>0.80648070107880954</v>
      </c>
      <c r="F34" s="13">
        <v>44.5</v>
      </c>
      <c r="G34" s="31">
        <v>2.032</v>
      </c>
      <c r="H34" s="33" t="s">
        <v>5</v>
      </c>
      <c r="I34" s="32">
        <v>0.13337967864028299</v>
      </c>
      <c r="J34" s="32"/>
      <c r="K34" s="6">
        <v>2.6290000000000001E-5</v>
      </c>
      <c r="L34" s="14">
        <v>6180</v>
      </c>
      <c r="M34" s="31">
        <v>1.944</v>
      </c>
      <c r="N34" s="13" t="s">
        <v>5</v>
      </c>
      <c r="O34" s="54">
        <f t="shared" si="0"/>
        <v>2.8050572778606663E-5</v>
      </c>
      <c r="P34" s="53">
        <f t="shared" si="1"/>
        <v>6.2764236313541485E-2</v>
      </c>
    </row>
    <row r="35" spans="1:16" ht="15.75" x14ac:dyDescent="0.3">
      <c r="A35" s="4" t="s">
        <v>15</v>
      </c>
      <c r="B35" s="14">
        <v>2115</v>
      </c>
      <c r="C35" s="30">
        <v>142</v>
      </c>
      <c r="D35" s="20">
        <v>564</v>
      </c>
      <c r="E35" s="19">
        <v>0.92616719858156027</v>
      </c>
      <c r="F35" s="13">
        <v>38.86</v>
      </c>
      <c r="G35" s="31">
        <v>1.3082</v>
      </c>
      <c r="H35" s="33" t="s">
        <v>5</v>
      </c>
      <c r="I35" s="32">
        <v>0.59299999999999997</v>
      </c>
      <c r="J35" s="32"/>
      <c r="K35" s="6">
        <v>1.2208800000000001E-5</v>
      </c>
      <c r="L35" s="14">
        <v>5968</v>
      </c>
      <c r="M35" s="31">
        <v>1.2613000000000001</v>
      </c>
      <c r="N35" s="13" t="s">
        <v>5</v>
      </c>
      <c r="O35" s="54">
        <f t="shared" si="0"/>
        <v>9.4706653017056208E-6</v>
      </c>
      <c r="P35" s="53">
        <f t="shared" si="1"/>
        <v>0.28911746018532142</v>
      </c>
    </row>
    <row r="36" spans="1:16" ht="15.75" x14ac:dyDescent="0.3">
      <c r="A36" s="4" t="s">
        <v>15</v>
      </c>
      <c r="B36" s="14">
        <v>3365</v>
      </c>
      <c r="C36" s="30">
        <v>170</v>
      </c>
      <c r="D36" s="20">
        <v>1226</v>
      </c>
      <c r="E36" s="19">
        <v>0.88517026618550887</v>
      </c>
      <c r="F36" s="13">
        <v>41.82</v>
      </c>
      <c r="G36" s="31">
        <v>1.6618999999999999</v>
      </c>
      <c r="H36" s="13" t="s">
        <v>5</v>
      </c>
      <c r="I36" s="32">
        <v>0.25700000000000001</v>
      </c>
      <c r="J36" s="32"/>
      <c r="K36" s="6">
        <v>1.8875599999999999E-5</v>
      </c>
      <c r="L36" s="14">
        <v>6515</v>
      </c>
      <c r="M36" s="31">
        <v>1.5886</v>
      </c>
      <c r="N36" s="13" t="s">
        <v>5</v>
      </c>
      <c r="O36" s="54">
        <f t="shared" si="0"/>
        <v>1.9189173882942765E-5</v>
      </c>
      <c r="P36" s="53">
        <f t="shared" si="1"/>
        <v>1.6341187216063612E-2</v>
      </c>
    </row>
    <row r="37" spans="1:16" ht="15.75" x14ac:dyDescent="0.3">
      <c r="A37" s="4" t="s">
        <v>15</v>
      </c>
      <c r="B37" s="14">
        <v>2865</v>
      </c>
      <c r="C37" s="30">
        <v>138</v>
      </c>
      <c r="D37" s="20">
        <v>848</v>
      </c>
      <c r="E37" s="19">
        <v>0.8846938679245282</v>
      </c>
      <c r="F37" s="13">
        <v>39.520000000000003</v>
      </c>
      <c r="G37" s="31">
        <v>1.4198</v>
      </c>
      <c r="H37" s="13" t="s">
        <v>5</v>
      </c>
      <c r="I37" s="32">
        <v>0.45600000000000002</v>
      </c>
      <c r="J37" s="32"/>
      <c r="K37" s="6">
        <v>1.3568600000000001E-5</v>
      </c>
      <c r="L37" s="14">
        <v>5612</v>
      </c>
      <c r="M37" s="31">
        <v>1.3776999999999999</v>
      </c>
      <c r="N37" s="13" t="s">
        <v>5</v>
      </c>
      <c r="O37" s="54">
        <f t="shared" si="0"/>
        <v>1.2927141264990894E-5</v>
      </c>
      <c r="P37" s="53">
        <f t="shared" si="1"/>
        <v>4.9621081866436829E-2</v>
      </c>
    </row>
    <row r="38" spans="1:16" ht="15.75" x14ac:dyDescent="0.3">
      <c r="A38" s="4" t="s">
        <v>15</v>
      </c>
      <c r="B38" s="14">
        <v>2835</v>
      </c>
      <c r="C38" s="30">
        <v>149</v>
      </c>
      <c r="D38" s="20">
        <v>840</v>
      </c>
      <c r="E38" s="19">
        <v>0.89454904761904763</v>
      </c>
      <c r="F38" s="13">
        <v>39.229999999999997</v>
      </c>
      <c r="G38" s="31">
        <v>1.4476</v>
      </c>
      <c r="H38" s="13" t="s">
        <v>5</v>
      </c>
      <c r="I38" s="32">
        <v>0.38700000000000001</v>
      </c>
      <c r="J38" s="32"/>
      <c r="K38" s="6">
        <v>1.46948E-5</v>
      </c>
      <c r="L38" s="14">
        <v>6021</v>
      </c>
      <c r="M38" s="31">
        <v>1.3939999999999999</v>
      </c>
      <c r="N38" s="13" t="s">
        <v>5</v>
      </c>
      <c r="O38" s="54">
        <f t="shared" si="0"/>
        <v>1.2994758971049296E-5</v>
      </c>
      <c r="P38" s="53">
        <f t="shared" si="1"/>
        <v>0.13082512978795408</v>
      </c>
    </row>
    <row r="39" spans="1:16" ht="15.75" x14ac:dyDescent="0.3">
      <c r="A39" s="4" t="s">
        <v>15</v>
      </c>
      <c r="B39" s="14">
        <v>2615</v>
      </c>
      <c r="C39" s="30">
        <v>156</v>
      </c>
      <c r="D39" s="20">
        <v>743</v>
      </c>
      <c r="E39" s="19">
        <v>0.89798317631224767</v>
      </c>
      <c r="F39" s="13">
        <v>40.68</v>
      </c>
      <c r="G39" s="31">
        <v>1.3936999999999999</v>
      </c>
      <c r="H39" s="13" t="s">
        <v>5</v>
      </c>
      <c r="I39" s="32">
        <v>0.38100000000000001</v>
      </c>
      <c r="J39" s="32"/>
      <c r="K39" s="6">
        <v>1.37521E-5</v>
      </c>
      <c r="L39" s="14">
        <v>6575</v>
      </c>
      <c r="M39" s="31">
        <v>1.3373999999999999</v>
      </c>
      <c r="N39" s="13" t="s">
        <v>5</v>
      </c>
      <c r="O39" s="54">
        <f t="shared" si="0"/>
        <v>1.2259812163413439E-5</v>
      </c>
      <c r="P39" s="53">
        <f t="shared" si="1"/>
        <v>0.12172191683653587</v>
      </c>
    </row>
    <row r="40" spans="1:16" ht="15.75" x14ac:dyDescent="0.3">
      <c r="A40" s="4" t="s">
        <v>15</v>
      </c>
      <c r="B40" s="14">
        <v>2965</v>
      </c>
      <c r="C40" s="30">
        <v>164</v>
      </c>
      <c r="D40" s="20">
        <v>975</v>
      </c>
      <c r="E40" s="19">
        <v>0.86339910857758939</v>
      </c>
      <c r="F40" s="13">
        <v>40.47</v>
      </c>
      <c r="G40" s="31">
        <v>1.5153000000000001</v>
      </c>
      <c r="H40" s="13" t="s">
        <v>5</v>
      </c>
      <c r="I40" s="32">
        <v>0.36799999999999999</v>
      </c>
      <c r="J40" s="32"/>
      <c r="K40" s="6">
        <v>1.6968699999999999E-5</v>
      </c>
      <c r="L40" s="14">
        <v>8323</v>
      </c>
      <c r="M40" s="31">
        <v>1.4247000000000001</v>
      </c>
      <c r="N40" s="13" t="s">
        <v>5</v>
      </c>
      <c r="O40" s="54">
        <f t="shared" si="0"/>
        <v>1.6528187965431578E-5</v>
      </c>
      <c r="P40" s="53">
        <f t="shared" si="1"/>
        <v>2.6652167526757559E-2</v>
      </c>
    </row>
    <row r="41" spans="1:16" ht="15.75" x14ac:dyDescent="0.3">
      <c r="A41" s="4" t="s">
        <v>15</v>
      </c>
      <c r="B41" s="14">
        <v>4280</v>
      </c>
      <c r="C41" s="30">
        <v>170</v>
      </c>
      <c r="D41" s="20">
        <v>2124</v>
      </c>
      <c r="E41" s="19">
        <v>0.78740556732153377</v>
      </c>
      <c r="F41" s="13">
        <v>46.5</v>
      </c>
      <c r="G41" s="31">
        <v>2.1372361680955811</v>
      </c>
      <c r="H41" s="13" t="s">
        <v>5</v>
      </c>
      <c r="I41" s="32">
        <v>0.16700000000000001</v>
      </c>
      <c r="J41" s="32"/>
      <c r="K41" s="23">
        <v>3.7546883008720921E-5</v>
      </c>
      <c r="L41" s="14">
        <v>8000</v>
      </c>
      <c r="M41" s="31">
        <v>1.9788422467159459</v>
      </c>
      <c r="N41" s="13" t="s">
        <v>5</v>
      </c>
      <c r="O41" s="54">
        <f t="shared" si="0"/>
        <v>3.1725177068522034E-5</v>
      </c>
      <c r="P41" s="53">
        <f t="shared" si="1"/>
        <v>0.18350428518097156</v>
      </c>
    </row>
    <row r="42" spans="1:16" ht="15.75" x14ac:dyDescent="0.3">
      <c r="A42" s="4" t="s">
        <v>15</v>
      </c>
      <c r="B42" s="14">
        <v>5187</v>
      </c>
      <c r="C42" s="30">
        <v>161</v>
      </c>
      <c r="D42" s="20">
        <f>(4380*1.1125+99)</f>
        <v>4971.75</v>
      </c>
      <c r="E42" s="19">
        <f>(4380*1.1125*0.7706+34*0.9715+65*1.4022)/(4380*1.1125+99)</f>
        <v>0.78023133705435699</v>
      </c>
      <c r="F42" s="13">
        <v>47.21</v>
      </c>
      <c r="G42" s="31" t="s">
        <v>5</v>
      </c>
      <c r="H42" s="34">
        <v>6.4415557599999899E-4</v>
      </c>
      <c r="I42" s="32" t="s">
        <v>5</v>
      </c>
      <c r="J42" s="32"/>
      <c r="K42" s="23">
        <v>4.5710145927484643E-5</v>
      </c>
      <c r="L42" s="14">
        <v>6115</v>
      </c>
      <c r="M42" s="31" t="s">
        <v>5</v>
      </c>
      <c r="N42" s="34">
        <v>6.2070164113513899E-4</v>
      </c>
      <c r="O42" s="54">
        <f t="shared" si="0"/>
        <v>4.6529727449492707E-5</v>
      </c>
      <c r="P42" s="53">
        <f t="shared" si="1"/>
        <v>1.7614148350593883E-2</v>
      </c>
    </row>
    <row r="43" spans="1:16" ht="15.75" x14ac:dyDescent="0.3">
      <c r="A43" s="4" t="s">
        <v>15</v>
      </c>
      <c r="B43" s="14">
        <v>4375</v>
      </c>
      <c r="C43" s="30">
        <v>167</v>
      </c>
      <c r="D43" s="20">
        <v>2645</v>
      </c>
      <c r="E43" s="19">
        <v>0.80427641371235392</v>
      </c>
      <c r="F43" s="13">
        <v>47.52</v>
      </c>
      <c r="G43" s="31">
        <v>2.3553999999999999</v>
      </c>
      <c r="H43" s="13" t="s">
        <v>5</v>
      </c>
      <c r="I43" s="32">
        <v>0.17699999999999999</v>
      </c>
      <c r="J43" s="32"/>
      <c r="K43" s="6">
        <v>3.3244699999999997E-5</v>
      </c>
      <c r="L43" s="14">
        <v>11083</v>
      </c>
      <c r="M43" s="31">
        <v>2.0859999999999999</v>
      </c>
      <c r="N43" s="13" t="s">
        <v>5</v>
      </c>
      <c r="O43" s="54">
        <f t="shared" si="0"/>
        <v>3.6529558880062416E-5</v>
      </c>
      <c r="P43" s="53">
        <f t="shared" si="1"/>
        <v>8.9923310895913197E-2</v>
      </c>
    </row>
    <row r="44" spans="1:16" ht="15.75" x14ac:dyDescent="0.3">
      <c r="A44" s="4" t="s">
        <v>15</v>
      </c>
      <c r="B44" s="14">
        <v>5183</v>
      </c>
      <c r="C44" s="30">
        <v>157</v>
      </c>
      <c r="D44" s="20">
        <f>(3845*1.1132+109)</f>
        <v>4389.2539999999999</v>
      </c>
      <c r="E44" s="19">
        <f>(3845*1.1132*0.738+57*0.934+52*1.3185)/(3845*1.1132+109)</f>
        <v>0.74742255791075196</v>
      </c>
      <c r="F44" s="13">
        <v>47.57</v>
      </c>
      <c r="G44" s="31" t="s">
        <v>5</v>
      </c>
      <c r="H44" s="34">
        <v>6.4164260506897658E-4</v>
      </c>
      <c r="I44" s="32" t="s">
        <v>5</v>
      </c>
      <c r="J44" s="32"/>
      <c r="K44" s="23">
        <f>(1-0.98539)/0.98539*(1/(5515-5183))</f>
        <v>4.4658484555745014E-5</v>
      </c>
      <c r="L44" s="14">
        <v>5715</v>
      </c>
      <c r="M44" s="31" t="s">
        <v>5</v>
      </c>
      <c r="N44" s="34">
        <v>6.2735650788273449E-4</v>
      </c>
      <c r="O44" s="54">
        <f t="shared" si="0"/>
        <v>4.4854943495664491E-5</v>
      </c>
      <c r="P44" s="53">
        <f t="shared" si="1"/>
        <v>4.3798726429889736E-3</v>
      </c>
    </row>
    <row r="45" spans="1:16" ht="15.75" x14ac:dyDescent="0.3">
      <c r="A45" s="4" t="s">
        <v>15</v>
      </c>
      <c r="B45" s="14">
        <v>4088</v>
      </c>
      <c r="C45" s="30">
        <v>148</v>
      </c>
      <c r="D45" s="20">
        <v>2393</v>
      </c>
      <c r="E45" s="19">
        <v>0.80163309653155035</v>
      </c>
      <c r="F45" s="13">
        <v>47.6</v>
      </c>
      <c r="G45" s="31">
        <v>2.2130739781586799</v>
      </c>
      <c r="H45" s="13" t="s">
        <v>5</v>
      </c>
      <c r="I45" s="32">
        <v>0.14699999999999999</v>
      </c>
      <c r="J45" s="32"/>
      <c r="K45" s="23">
        <v>3.2993586346309899E-5</v>
      </c>
      <c r="L45" s="14">
        <v>6177</v>
      </c>
      <c r="M45" s="31">
        <v>2.1040654680209947</v>
      </c>
      <c r="N45" s="13" t="s">
        <v>5</v>
      </c>
      <c r="O45" s="54">
        <f t="shared" si="0"/>
        <v>3.3809065518532712E-5</v>
      </c>
      <c r="P45" s="53">
        <f t="shared" si="1"/>
        <v>2.4120133452839792E-2</v>
      </c>
    </row>
    <row r="46" spans="1:16" ht="15.75" x14ac:dyDescent="0.3">
      <c r="A46" s="4" t="s">
        <v>15</v>
      </c>
      <c r="B46" s="14">
        <v>4328.6499999999996</v>
      </c>
      <c r="C46" s="30">
        <v>143</v>
      </c>
      <c r="D46" s="20">
        <v>2261</v>
      </c>
      <c r="E46" s="19">
        <v>0.8055714285714286</v>
      </c>
      <c r="F46" s="13">
        <v>45.352893388326464</v>
      </c>
      <c r="G46" s="31">
        <v>2.1920000000000002</v>
      </c>
      <c r="H46" s="13" t="s">
        <v>5</v>
      </c>
      <c r="I46" s="32">
        <v>0.16600000000000001</v>
      </c>
      <c r="J46" s="32"/>
      <c r="K46" s="6">
        <v>2.97878E-5</v>
      </c>
      <c r="L46" s="14">
        <v>7114.65</v>
      </c>
      <c r="M46" s="31">
        <v>2.0699999999999998</v>
      </c>
      <c r="N46" s="13" t="s">
        <v>5</v>
      </c>
      <c r="O46" s="54">
        <f t="shared" si="0"/>
        <v>2.9309754545082597E-5</v>
      </c>
      <c r="P46" s="53">
        <f t="shared" si="1"/>
        <v>1.6310114579161684E-2</v>
      </c>
    </row>
    <row r="47" spans="1:16" ht="15.75" x14ac:dyDescent="0.3">
      <c r="A47" s="4" t="s">
        <v>15</v>
      </c>
      <c r="B47" s="14">
        <v>3565</v>
      </c>
      <c r="C47" s="30">
        <v>142</v>
      </c>
      <c r="D47" s="20">
        <v>1598</v>
      </c>
      <c r="E47" s="19">
        <v>0.83444602876798013</v>
      </c>
      <c r="F47" s="13">
        <v>44.32</v>
      </c>
      <c r="G47" s="31">
        <v>1.8241000000000001</v>
      </c>
      <c r="H47" s="13" t="s">
        <v>5</v>
      </c>
      <c r="I47" s="32">
        <v>0.25900000000000001</v>
      </c>
      <c r="J47" s="32"/>
      <c r="K47" s="6">
        <v>2.1097100000000002E-5</v>
      </c>
      <c r="L47" s="14">
        <v>4731</v>
      </c>
      <c r="M47" s="31">
        <v>1.7854000000000001</v>
      </c>
      <c r="N47" s="13" t="s">
        <v>5</v>
      </c>
      <c r="O47" s="54">
        <f t="shared" si="0"/>
        <v>2.4077265969261985E-5</v>
      </c>
      <c r="P47" s="53">
        <f t="shared" si="1"/>
        <v>0.12377509859577014</v>
      </c>
    </row>
    <row r="48" spans="1:16" ht="15.75" x14ac:dyDescent="0.3">
      <c r="A48" s="4" t="s">
        <v>15</v>
      </c>
      <c r="B48" s="14">
        <v>4451</v>
      </c>
      <c r="C48" s="30">
        <v>151</v>
      </c>
      <c r="D48" s="20">
        <v>2689</v>
      </c>
      <c r="E48" s="19">
        <v>0.86693904456452753</v>
      </c>
      <c r="F48" s="13">
        <v>46.13</v>
      </c>
      <c r="G48" s="31">
        <v>2.4154</v>
      </c>
      <c r="H48" s="13" t="s">
        <v>5</v>
      </c>
      <c r="I48" s="32">
        <v>0.186</v>
      </c>
      <c r="J48" s="32"/>
      <c r="K48" s="6">
        <v>3.8010199999999997E-5</v>
      </c>
      <c r="L48" s="14">
        <v>6961</v>
      </c>
      <c r="M48" s="31">
        <v>2.2726000000000002</v>
      </c>
      <c r="N48" s="13" t="s">
        <v>5</v>
      </c>
      <c r="O48" s="54">
        <f t="shared" si="0"/>
        <v>3.131678791521034E-5</v>
      </c>
      <c r="P48" s="53">
        <f t="shared" si="1"/>
        <v>0.21373239499887262</v>
      </c>
    </row>
    <row r="49" spans="1:16" ht="15.75" x14ac:dyDescent="0.3">
      <c r="A49" s="4" t="s">
        <v>15</v>
      </c>
      <c r="B49" s="14">
        <v>3995</v>
      </c>
      <c r="C49" s="30">
        <v>162</v>
      </c>
      <c r="D49" s="20">
        <v>2072</v>
      </c>
      <c r="E49" s="19">
        <v>0.84604101208844851</v>
      </c>
      <c r="F49" s="13">
        <v>44.89</v>
      </c>
      <c r="G49" s="31">
        <v>2.1619999999999999</v>
      </c>
      <c r="H49" s="13" t="s">
        <v>5</v>
      </c>
      <c r="I49" s="32">
        <v>0.151</v>
      </c>
      <c r="J49" s="32"/>
      <c r="K49" s="6">
        <v>2.9722599999999999E-5</v>
      </c>
      <c r="L49" s="14">
        <v>7154</v>
      </c>
      <c r="M49" s="31">
        <v>2.0295999999999998</v>
      </c>
      <c r="N49" s="13" t="s">
        <v>5</v>
      </c>
      <c r="O49" s="54">
        <f t="shared" si="0"/>
        <v>2.9075267308178178E-5</v>
      </c>
      <c r="P49" s="53">
        <f t="shared" si="1"/>
        <v>2.22640323461357E-2</v>
      </c>
    </row>
    <row r="50" spans="1:16" ht="15.75" x14ac:dyDescent="0.3">
      <c r="A50" s="4" t="s">
        <v>15</v>
      </c>
      <c r="B50" s="14">
        <v>3955</v>
      </c>
      <c r="C50" s="30">
        <v>140</v>
      </c>
      <c r="D50" s="20">
        <v>1776</v>
      </c>
      <c r="E50" s="19">
        <v>0.83418704954954959</v>
      </c>
      <c r="F50" s="13">
        <v>44.12</v>
      </c>
      <c r="G50" s="31">
        <v>1.901</v>
      </c>
      <c r="H50" s="13" t="s">
        <v>5</v>
      </c>
      <c r="I50" s="32">
        <v>0.21299999999999999</v>
      </c>
      <c r="J50" s="32"/>
      <c r="K50" s="6">
        <v>2.2328200000000001E-5</v>
      </c>
      <c r="L50" s="14">
        <v>3726</v>
      </c>
      <c r="M50" s="31">
        <v>1.901</v>
      </c>
      <c r="N50" s="13" t="s">
        <v>5</v>
      </c>
      <c r="O50" s="54">
        <f t="shared" si="0"/>
        <v>2.4218149151285619E-5</v>
      </c>
      <c r="P50" s="53">
        <f t="shared" si="1"/>
        <v>7.8038546194406047E-2</v>
      </c>
    </row>
    <row r="51" spans="1:16" ht="15.75" x14ac:dyDescent="0.3">
      <c r="A51" s="4" t="s">
        <v>15</v>
      </c>
      <c r="B51" s="14">
        <v>3865</v>
      </c>
      <c r="C51" s="30">
        <v>147</v>
      </c>
      <c r="D51" s="20">
        <v>1786</v>
      </c>
      <c r="E51" s="19">
        <v>0.84211125419932797</v>
      </c>
      <c r="F51" s="13">
        <v>43.8</v>
      </c>
      <c r="G51" s="31">
        <v>1.9545999999999999</v>
      </c>
      <c r="H51" s="13" t="s">
        <v>5</v>
      </c>
      <c r="I51" s="32">
        <v>0.20799999999999999</v>
      </c>
      <c r="J51" s="32"/>
      <c r="K51" s="6">
        <v>2.40754E-5</v>
      </c>
      <c r="L51" s="14">
        <v>4774</v>
      </c>
      <c r="M51" s="31">
        <v>1.9172</v>
      </c>
      <c r="N51" s="13" t="s">
        <v>5</v>
      </c>
      <c r="O51" s="54">
        <f t="shared" si="0"/>
        <v>2.4822644954920098E-5</v>
      </c>
      <c r="P51" s="53">
        <f t="shared" si="1"/>
        <v>3.0103357489790265E-2</v>
      </c>
    </row>
    <row r="52" spans="1:16" ht="15.75" x14ac:dyDescent="0.3">
      <c r="A52" s="4" t="s">
        <v>15</v>
      </c>
      <c r="B52" s="14">
        <v>4217</v>
      </c>
      <c r="C52" s="30">
        <v>146</v>
      </c>
      <c r="D52" s="20">
        <v>2247</v>
      </c>
      <c r="E52" s="19">
        <v>0.8427257117437722</v>
      </c>
      <c r="F52" s="13">
        <v>46.89</v>
      </c>
      <c r="G52" s="31">
        <v>2.1732999999999998</v>
      </c>
      <c r="H52" s="13" t="s">
        <v>5</v>
      </c>
      <c r="I52" s="32">
        <v>0.21099999999999999</v>
      </c>
      <c r="J52" s="32"/>
      <c r="K52" s="6">
        <v>3.1637200000000003E-5</v>
      </c>
      <c r="L52" s="14">
        <v>6728</v>
      </c>
      <c r="M52" s="31">
        <v>2.0609999999999999</v>
      </c>
      <c r="N52" s="13" t="s">
        <v>5</v>
      </c>
      <c r="O52" s="54">
        <f t="shared" si="0"/>
        <v>2.9347504014524668E-5</v>
      </c>
      <c r="P52" s="53">
        <f t="shared" si="1"/>
        <v>7.8020126834027134E-2</v>
      </c>
    </row>
    <row r="53" spans="1:16" ht="15.75" x14ac:dyDescent="0.3">
      <c r="A53" s="4" t="s">
        <v>15</v>
      </c>
      <c r="B53" s="14">
        <v>4145</v>
      </c>
      <c r="C53" s="30">
        <v>158</v>
      </c>
      <c r="D53" s="20">
        <v>2196</v>
      </c>
      <c r="E53" s="19">
        <v>0.82779175398633253</v>
      </c>
      <c r="F53" s="13">
        <v>47.32</v>
      </c>
      <c r="G53" s="31">
        <v>2.1798999999999999</v>
      </c>
      <c r="H53" s="13" t="s">
        <v>5</v>
      </c>
      <c r="I53" s="32">
        <v>0.185</v>
      </c>
      <c r="J53" s="32"/>
      <c r="K53" s="6">
        <v>3.0255000000000001E-5</v>
      </c>
      <c r="L53" s="14">
        <v>5823</v>
      </c>
      <c r="M53" s="31">
        <v>2.0948000000000002</v>
      </c>
      <c r="N53" s="13" t="s">
        <v>5</v>
      </c>
      <c r="O53" s="54">
        <f t="shared" si="0"/>
        <v>3.0984832679035972E-5</v>
      </c>
      <c r="P53" s="53">
        <f t="shared" si="1"/>
        <v>2.3554514126189526E-2</v>
      </c>
    </row>
    <row r="54" spans="1:16" ht="15.75" x14ac:dyDescent="0.3">
      <c r="A54" s="4" t="s">
        <v>15</v>
      </c>
      <c r="B54" s="14">
        <v>3465</v>
      </c>
      <c r="C54" s="30">
        <v>140</v>
      </c>
      <c r="D54" s="20">
        <v>1455</v>
      </c>
      <c r="E54" s="19">
        <v>0.80935814432989683</v>
      </c>
      <c r="F54" s="13">
        <v>43.88</v>
      </c>
      <c r="G54" s="31">
        <v>1.7339</v>
      </c>
      <c r="H54" s="13" t="s">
        <v>5</v>
      </c>
      <c r="I54" s="32">
        <v>0.434</v>
      </c>
      <c r="J54" s="32"/>
      <c r="K54" s="6">
        <v>2.06329E-5</v>
      </c>
      <c r="L54" s="14">
        <v>4865</v>
      </c>
      <c r="M54" s="31">
        <v>1.6921999999999999</v>
      </c>
      <c r="N54" s="13" t="s">
        <v>5</v>
      </c>
      <c r="O54" s="54">
        <f t="shared" si="0"/>
        <v>2.2993204844737762E-5</v>
      </c>
      <c r="P54" s="53">
        <f t="shared" si="1"/>
        <v>0.10265227751745719</v>
      </c>
    </row>
    <row r="55" spans="1:16" ht="15.75" x14ac:dyDescent="0.3">
      <c r="A55" s="4" t="s">
        <v>15</v>
      </c>
      <c r="B55" s="14">
        <v>2515</v>
      </c>
      <c r="C55" s="30">
        <v>149</v>
      </c>
      <c r="D55" s="20">
        <v>761</v>
      </c>
      <c r="E55" s="19">
        <v>0.88659053876478311</v>
      </c>
      <c r="F55" s="13">
        <v>40.659999999999997</v>
      </c>
      <c r="G55" s="31">
        <v>1.4036</v>
      </c>
      <c r="H55" s="13" t="s">
        <v>5</v>
      </c>
      <c r="I55" s="32">
        <v>0.41199999999999998</v>
      </c>
      <c r="J55" s="32"/>
      <c r="K55" s="6">
        <v>1.3774100000000001E-5</v>
      </c>
      <c r="L55" s="14">
        <v>5309</v>
      </c>
      <c r="M55" s="31">
        <v>1.3613999999999999</v>
      </c>
      <c r="N55" s="13" t="s">
        <v>5</v>
      </c>
      <c r="O55" s="54">
        <f t="shared" si="0"/>
        <v>1.3054511183572326E-5</v>
      </c>
      <c r="P55" s="53">
        <f t="shared" si="1"/>
        <v>5.5121850700407558E-2</v>
      </c>
    </row>
    <row r="56" spans="1:16" ht="15.75" x14ac:dyDescent="0.3">
      <c r="A56" s="4" t="s">
        <v>15</v>
      </c>
      <c r="B56" s="14">
        <v>2215</v>
      </c>
      <c r="C56" s="30">
        <v>157</v>
      </c>
      <c r="D56" s="20">
        <v>694</v>
      </c>
      <c r="E56" s="19">
        <v>0.91650691642651272</v>
      </c>
      <c r="F56" s="13">
        <v>40.619999999999997</v>
      </c>
      <c r="G56" s="31">
        <v>1.3705000000000001</v>
      </c>
      <c r="H56" s="33" t="s">
        <v>5</v>
      </c>
      <c r="I56" s="32">
        <v>0.45300000000000001</v>
      </c>
      <c r="J56" s="32"/>
      <c r="K56" s="6">
        <v>1.46343E-5</v>
      </c>
      <c r="L56" s="14">
        <v>5916</v>
      </c>
      <c r="M56" s="31">
        <v>1.3181</v>
      </c>
      <c r="N56" s="13" t="s">
        <v>5</v>
      </c>
      <c r="O56" s="54">
        <f t="shared" si="0"/>
        <v>1.2786076695944486E-5</v>
      </c>
      <c r="P56" s="53">
        <f t="shared" si="1"/>
        <v>0.14454968071963287</v>
      </c>
    </row>
    <row r="57" spans="1:16" ht="15.75" x14ac:dyDescent="0.3">
      <c r="A57" s="4" t="s">
        <v>15</v>
      </c>
      <c r="B57" s="14">
        <v>3165</v>
      </c>
      <c r="C57" s="30">
        <v>169</v>
      </c>
      <c r="D57" s="20">
        <v>1193</v>
      </c>
      <c r="E57" s="19">
        <v>0.92319242033006776</v>
      </c>
      <c r="F57" s="13">
        <v>43.95</v>
      </c>
      <c r="G57" s="31">
        <v>1.6789000000000001</v>
      </c>
      <c r="H57" s="13" t="s">
        <v>5</v>
      </c>
      <c r="I57" s="32">
        <v>0.23499999999999999</v>
      </c>
      <c r="J57" s="32"/>
      <c r="K57" s="6">
        <v>2.0536100000000001E-5</v>
      </c>
      <c r="L57" s="14">
        <v>6972</v>
      </c>
      <c r="M57" s="31">
        <v>1.5885</v>
      </c>
      <c r="N57" s="13" t="s">
        <v>5</v>
      </c>
      <c r="O57" s="54">
        <f t="shared" si="0"/>
        <v>1.891547613306913E-5</v>
      </c>
      <c r="P57" s="53">
        <f t="shared" si="1"/>
        <v>8.5677138419878479E-2</v>
      </c>
    </row>
    <row r="58" spans="1:16" ht="15.75" x14ac:dyDescent="0.3">
      <c r="A58" s="4" t="s">
        <v>15</v>
      </c>
      <c r="B58" s="14">
        <v>5655</v>
      </c>
      <c r="C58" s="30">
        <v>165</v>
      </c>
      <c r="D58" s="20">
        <v>2539</v>
      </c>
      <c r="E58" s="19">
        <v>0.77590107505608719</v>
      </c>
      <c r="F58" s="13">
        <v>41.67</v>
      </c>
      <c r="G58" s="31">
        <v>2.2337833825723759</v>
      </c>
      <c r="H58" s="13" t="s">
        <v>5</v>
      </c>
      <c r="I58" s="32">
        <v>0.249</v>
      </c>
      <c r="J58" s="32"/>
      <c r="K58" s="6">
        <v>2.70824E-5</v>
      </c>
      <c r="L58" s="14">
        <v>6515</v>
      </c>
      <c r="M58" s="31">
        <v>2.1887727105337955</v>
      </c>
      <c r="N58" s="13" t="s">
        <v>5</v>
      </c>
      <c r="O58" s="54">
        <f t="shared" si="0"/>
        <v>2.7312642941687132E-5</v>
      </c>
      <c r="P58" s="53">
        <f t="shared" si="1"/>
        <v>8.4299034032958367E-3</v>
      </c>
    </row>
    <row r="59" spans="1:16" ht="15.75" x14ac:dyDescent="0.3">
      <c r="A59" s="4" t="s">
        <v>15</v>
      </c>
      <c r="B59" s="14">
        <v>3865</v>
      </c>
      <c r="C59" s="30">
        <v>165</v>
      </c>
      <c r="D59" s="20">
        <v>1311</v>
      </c>
      <c r="E59" s="19">
        <v>0.80779518026477171</v>
      </c>
      <c r="F59" s="13">
        <v>41.31</v>
      </c>
      <c r="G59" s="31">
        <v>1.7010000000000001</v>
      </c>
      <c r="H59" s="13" t="s">
        <v>5</v>
      </c>
      <c r="I59" s="32">
        <v>0.36599999999999999</v>
      </c>
      <c r="J59" s="32"/>
      <c r="K59" s="6">
        <v>2.0366100000000001E-5</v>
      </c>
      <c r="L59" s="14">
        <v>7215</v>
      </c>
      <c r="M59" s="31">
        <v>1.6188</v>
      </c>
      <c r="N59" s="13" t="s">
        <v>5</v>
      </c>
      <c r="O59" s="54">
        <f t="shared" si="0"/>
        <v>1.9733129619785377E-5</v>
      </c>
      <c r="P59" s="53">
        <f t="shared" si="1"/>
        <v>3.2076532836432525E-2</v>
      </c>
    </row>
    <row r="60" spans="1:16" ht="15.75" x14ac:dyDescent="0.3">
      <c r="A60" s="4" t="s">
        <v>15</v>
      </c>
      <c r="B60" s="14">
        <v>4820</v>
      </c>
      <c r="C60" s="30">
        <v>176</v>
      </c>
      <c r="D60" s="20">
        <v>7104</v>
      </c>
      <c r="E60" s="19">
        <v>0.75817891207484189</v>
      </c>
      <c r="F60" s="13">
        <v>52.3</v>
      </c>
      <c r="G60" s="31">
        <v>5.1120000000000001</v>
      </c>
      <c r="H60" s="34" t="s">
        <v>5</v>
      </c>
      <c r="I60" s="32">
        <v>5.0999999999999997E-2</v>
      </c>
      <c r="J60" s="32"/>
      <c r="K60" s="23">
        <v>7.5153502924252676E-5</v>
      </c>
      <c r="L60" s="14">
        <v>7596</v>
      </c>
      <c r="M60" s="31" t="s">
        <v>5</v>
      </c>
      <c r="N60" s="34" t="s">
        <v>5</v>
      </c>
      <c r="O60" s="54">
        <f t="shared" si="0"/>
        <v>6.686734276977221E-5</v>
      </c>
      <c r="P60" s="53">
        <f t="shared" si="1"/>
        <v>0.12391938742070478</v>
      </c>
    </row>
    <row r="61" spans="1:16" ht="15.75" x14ac:dyDescent="0.3">
      <c r="A61" s="4" t="s">
        <v>15</v>
      </c>
      <c r="B61" s="14">
        <v>3815</v>
      </c>
      <c r="C61" s="30">
        <v>149</v>
      </c>
      <c r="D61" s="20">
        <v>1583</v>
      </c>
      <c r="E61" s="19">
        <v>0.82023585858585857</v>
      </c>
      <c r="F61" s="13">
        <v>44.41</v>
      </c>
      <c r="G61" s="31">
        <v>1.8231999999999999</v>
      </c>
      <c r="H61" s="13" t="s">
        <v>5</v>
      </c>
      <c r="I61" s="32">
        <v>0.254</v>
      </c>
      <c r="J61" s="32"/>
      <c r="K61" s="6">
        <v>2.1942399999999998E-5</v>
      </c>
      <c r="L61" s="14">
        <v>5215</v>
      </c>
      <c r="M61" s="31">
        <v>1.7758</v>
      </c>
      <c r="N61" s="13" t="s">
        <v>5</v>
      </c>
      <c r="O61" s="54">
        <f t="shared" si="0"/>
        <v>2.3292985190399377E-5</v>
      </c>
      <c r="P61" s="53">
        <f t="shared" si="1"/>
        <v>5.7982486115864901E-2</v>
      </c>
    </row>
    <row r="62" spans="1:16" ht="15.75" x14ac:dyDescent="0.3">
      <c r="A62" s="4" t="s">
        <v>15</v>
      </c>
      <c r="B62" s="14">
        <v>3565</v>
      </c>
      <c r="C62" s="30">
        <v>152</v>
      </c>
      <c r="D62" s="20">
        <v>1562</v>
      </c>
      <c r="E62" s="19">
        <v>0.82400711082639333</v>
      </c>
      <c r="F62" s="13">
        <v>46.69</v>
      </c>
      <c r="G62" s="31">
        <v>1.8395999999999999</v>
      </c>
      <c r="H62" s="13" t="s">
        <v>5</v>
      </c>
      <c r="I62" s="32">
        <v>0.29299999999999998</v>
      </c>
      <c r="J62" s="32"/>
      <c r="K62" s="6">
        <v>2.3057500000000001E-5</v>
      </c>
      <c r="L62" s="14">
        <v>7315</v>
      </c>
      <c r="M62" s="31">
        <v>1.7322</v>
      </c>
      <c r="N62" s="13" t="s">
        <v>5</v>
      </c>
      <c r="O62" s="54">
        <f t="shared" si="0"/>
        <v>2.5274953908028531E-5</v>
      </c>
      <c r="P62" s="53">
        <f t="shared" si="1"/>
        <v>8.773325229780779E-2</v>
      </c>
    </row>
    <row r="63" spans="1:16" ht="15.75" x14ac:dyDescent="0.3">
      <c r="A63" s="4" t="s">
        <v>15</v>
      </c>
      <c r="B63" s="14">
        <v>4271</v>
      </c>
      <c r="C63" s="30">
        <v>129</v>
      </c>
      <c r="D63" s="20">
        <v>1992</v>
      </c>
      <c r="E63" s="19">
        <v>0.84911701807228912</v>
      </c>
      <c r="F63" s="13">
        <v>46.91</v>
      </c>
      <c r="G63" s="31">
        <v>1.9789000000000001</v>
      </c>
      <c r="H63" s="13" t="s">
        <v>5</v>
      </c>
      <c r="I63" s="32">
        <v>0.504</v>
      </c>
      <c r="J63" s="32"/>
      <c r="K63" s="6">
        <v>2.2232000608155799E-5</v>
      </c>
      <c r="L63" s="14">
        <v>4215</v>
      </c>
      <c r="M63" s="31" t="s">
        <v>5</v>
      </c>
      <c r="N63" s="13" t="s">
        <v>5</v>
      </c>
      <c r="O63" s="54">
        <f t="shared" si="0"/>
        <v>2.5474445344826972E-5</v>
      </c>
      <c r="P63" s="53">
        <f t="shared" si="1"/>
        <v>0.12728225061550191</v>
      </c>
    </row>
    <row r="64" spans="1:16" ht="15.75" x14ac:dyDescent="0.3">
      <c r="A64" s="4" t="s">
        <v>15</v>
      </c>
      <c r="B64" s="14">
        <v>5335</v>
      </c>
      <c r="C64" s="30">
        <v>189</v>
      </c>
      <c r="D64" s="20">
        <f>(9000*1.0501+39)</f>
        <v>9489.9</v>
      </c>
      <c r="E64" s="19">
        <f>(9000*1.0501*0.7561+14*0.8875+25*1.3218)/(9000*1.0501+39)</f>
        <v>0.75778411679785873</v>
      </c>
      <c r="F64" s="13">
        <v>49.47</v>
      </c>
      <c r="G64" s="31" t="s">
        <v>5</v>
      </c>
      <c r="H64" s="34">
        <v>6.5025002113312563E-4</v>
      </c>
      <c r="I64" s="32" t="s">
        <v>5</v>
      </c>
      <c r="J64" s="32"/>
      <c r="K64" s="23">
        <v>6.6363559345965624E-5</v>
      </c>
      <c r="L64" s="14">
        <v>7765</v>
      </c>
      <c r="M64" s="31" t="s">
        <v>5</v>
      </c>
      <c r="N64" s="34">
        <v>5.7769407632494139E-4</v>
      </c>
      <c r="O64" s="54">
        <f t="shared" si="0"/>
        <v>6.6365084720348622E-5</v>
      </c>
      <c r="P64" s="53">
        <f t="shared" si="1"/>
        <v>2.298459181398334E-5</v>
      </c>
    </row>
    <row r="65" spans="1:16" ht="15.75" x14ac:dyDescent="0.3">
      <c r="A65" s="4" t="s">
        <v>15</v>
      </c>
      <c r="B65" s="14">
        <v>3615</v>
      </c>
      <c r="C65" s="30">
        <v>143</v>
      </c>
      <c r="D65" s="20">
        <v>1537</v>
      </c>
      <c r="E65" s="19">
        <v>0.83229050097592716</v>
      </c>
      <c r="F65" s="13">
        <v>44.76</v>
      </c>
      <c r="G65" s="31">
        <v>1.7962</v>
      </c>
      <c r="H65" s="13" t="s">
        <v>5</v>
      </c>
      <c r="I65" s="32">
        <v>0.23799999999999999</v>
      </c>
      <c r="J65" s="32"/>
      <c r="K65" s="6">
        <v>2.0970200000000001E-5</v>
      </c>
      <c r="L65" s="14">
        <v>5365</v>
      </c>
      <c r="M65" s="31">
        <v>1.7427999999999999</v>
      </c>
      <c r="N65" s="13" t="s">
        <v>5</v>
      </c>
      <c r="O65" s="54">
        <f t="shared" si="0"/>
        <v>2.3140956612995261E-5</v>
      </c>
      <c r="P65" s="53">
        <f t="shared" si="1"/>
        <v>9.3805828743321204E-2</v>
      </c>
    </row>
    <row r="66" spans="1:16" ht="15.75" x14ac:dyDescent="0.3">
      <c r="A66" s="4" t="s">
        <v>15</v>
      </c>
      <c r="B66" s="14">
        <v>3992</v>
      </c>
      <c r="C66" s="30">
        <v>169</v>
      </c>
      <c r="D66" s="20">
        <v>1902.8279498619736</v>
      </c>
      <c r="E66" s="19">
        <v>0.83751465827147997</v>
      </c>
      <c r="F66" s="13">
        <v>46.98</v>
      </c>
      <c r="G66" s="31">
        <v>2.0244</v>
      </c>
      <c r="H66" s="13" t="s">
        <v>5</v>
      </c>
      <c r="I66" s="32">
        <v>0.188</v>
      </c>
      <c r="J66" s="32"/>
      <c r="K66" s="6">
        <v>2.8958600000000001E-5</v>
      </c>
      <c r="L66" s="14">
        <v>7108</v>
      </c>
      <c r="M66" s="31">
        <v>1.9049</v>
      </c>
      <c r="N66" s="13" t="s">
        <v>5</v>
      </c>
      <c r="O66" s="54">
        <f t="shared" si="0"/>
        <v>2.8949009503047197E-5</v>
      </c>
      <c r="P66" s="53">
        <f t="shared" si="1"/>
        <v>3.3128929512404453E-4</v>
      </c>
    </row>
    <row r="67" spans="1:16" ht="15.75" x14ac:dyDescent="0.3">
      <c r="A67" s="4" t="s">
        <v>15</v>
      </c>
      <c r="B67" s="14">
        <v>3865</v>
      </c>
      <c r="C67" s="30">
        <v>154</v>
      </c>
      <c r="D67" s="20">
        <v>1611</v>
      </c>
      <c r="E67" s="19">
        <v>0.8241312228429547</v>
      </c>
      <c r="F67" s="13">
        <v>44.43</v>
      </c>
      <c r="G67" s="31">
        <v>1.8481000000000001</v>
      </c>
      <c r="H67" s="13" t="s">
        <v>5</v>
      </c>
      <c r="I67" s="32">
        <v>0.21</v>
      </c>
      <c r="J67" s="32"/>
      <c r="K67" s="6">
        <v>2.41219E-5</v>
      </c>
      <c r="L67" s="14">
        <v>5180</v>
      </c>
      <c r="M67" s="31">
        <v>1.7997000000000001</v>
      </c>
      <c r="N67" s="13" t="s">
        <v>5</v>
      </c>
      <c r="O67" s="54">
        <f t="shared" si="0"/>
        <v>2.3654224353051088E-5</v>
      </c>
      <c r="P67" s="53">
        <f t="shared" si="1"/>
        <v>1.9771337244824432E-2</v>
      </c>
    </row>
    <row r="68" spans="1:16" ht="15.75" x14ac:dyDescent="0.3">
      <c r="A68" s="4" t="s">
        <v>15</v>
      </c>
      <c r="B68" s="14">
        <v>6058</v>
      </c>
      <c r="C68" s="30">
        <v>145</v>
      </c>
      <c r="D68" s="20">
        <f>(6523*1.0697+53)</f>
        <v>7030.6531000000004</v>
      </c>
      <c r="E68" s="19">
        <f>(6523*1.0697*0.7366+14*0.9432+39*1.248)/(6523*1.0697+53)</f>
        <v>0.73984820463692058</v>
      </c>
      <c r="F68" s="13">
        <v>48.64</v>
      </c>
      <c r="G68" s="31" t="s">
        <v>5</v>
      </c>
      <c r="H68" s="34">
        <v>5.9443490046187587E-4</v>
      </c>
      <c r="I68" s="32" t="s">
        <v>5</v>
      </c>
      <c r="J68" s="32"/>
      <c r="K68" s="23">
        <v>3.8767352612879179E-5</v>
      </c>
      <c r="L68" s="14">
        <v>7750</v>
      </c>
      <c r="M68" s="31" t="s">
        <v>5</v>
      </c>
      <c r="N68" s="34">
        <v>5.6165260662974735E-4</v>
      </c>
      <c r="O68" s="54">
        <f t="shared" si="0"/>
        <v>4.7911063849456337E-5</v>
      </c>
      <c r="P68" s="53">
        <f t="shared" si="1"/>
        <v>0.19084759347669786</v>
      </c>
    </row>
    <row r="69" spans="1:16" ht="15.75" x14ac:dyDescent="0.3">
      <c r="A69" s="4" t="s">
        <v>15</v>
      </c>
      <c r="B69" s="14">
        <v>3365</v>
      </c>
      <c r="C69" s="30">
        <v>129</v>
      </c>
      <c r="D69" s="20">
        <v>1106</v>
      </c>
      <c r="E69" s="19">
        <v>0.83125307414104888</v>
      </c>
      <c r="F69" s="13">
        <v>38.78</v>
      </c>
      <c r="G69" s="31">
        <v>1.5330965401161434</v>
      </c>
      <c r="H69" s="13" t="s">
        <v>5</v>
      </c>
      <c r="I69" s="32">
        <v>0.45</v>
      </c>
      <c r="J69" s="32"/>
      <c r="K69" s="6">
        <v>1.6000600000000001E-5</v>
      </c>
      <c r="L69" s="14">
        <v>4960</v>
      </c>
      <c r="M69" s="35">
        <v>1.5794999999999999</v>
      </c>
      <c r="N69" s="13" t="s">
        <v>5</v>
      </c>
      <c r="O69" s="54">
        <f t="shared" si="0"/>
        <v>1.6366704381286661E-5</v>
      </c>
      <c r="P69" s="53">
        <f t="shared" si="1"/>
        <v>2.2368851587816097E-2</v>
      </c>
    </row>
    <row r="70" spans="1:16" ht="15.75" x14ac:dyDescent="0.3">
      <c r="A70" s="4" t="s">
        <v>15</v>
      </c>
      <c r="B70" s="14">
        <v>2415</v>
      </c>
      <c r="C70" s="30">
        <v>137</v>
      </c>
      <c r="D70" s="20">
        <v>716</v>
      </c>
      <c r="E70" s="19">
        <v>0.8440983240223463</v>
      </c>
      <c r="F70" s="13">
        <v>37.92</v>
      </c>
      <c r="G70" s="31">
        <v>1.3903466158085649</v>
      </c>
      <c r="H70" s="13" t="s">
        <v>5</v>
      </c>
      <c r="I70" s="32">
        <v>0.56000000000000005</v>
      </c>
      <c r="J70" s="32"/>
      <c r="K70" s="6">
        <v>1.4001E-5</v>
      </c>
      <c r="L70" s="14">
        <v>4815</v>
      </c>
      <c r="M70" s="31">
        <v>1.352737733274451</v>
      </c>
      <c r="N70" s="13" t="s">
        <v>5</v>
      </c>
      <c r="O70" s="54">
        <f t="shared" si="0"/>
        <v>1.2913670412566944E-5</v>
      </c>
      <c r="P70" s="53">
        <f t="shared" si="1"/>
        <v>8.4199886840454041E-2</v>
      </c>
    </row>
    <row r="71" spans="1:16" ht="15.75" x14ac:dyDescent="0.3">
      <c r="A71" s="4" t="s">
        <v>15</v>
      </c>
      <c r="B71" s="14">
        <v>5435</v>
      </c>
      <c r="C71" s="30">
        <v>192</v>
      </c>
      <c r="D71" s="20">
        <f>(7889*1.0674+47)</f>
        <v>8467.7186000000002</v>
      </c>
      <c r="E71" s="19">
        <f>(7889*1.0674*0.7451+26*0.9251+21*1.3754)/(7889*1.0674+47)</f>
        <v>0.7472158355451255</v>
      </c>
      <c r="F71" s="13">
        <v>51.74</v>
      </c>
      <c r="G71" s="31" t="s">
        <v>5</v>
      </c>
      <c r="H71" s="34">
        <v>6.4655033071049411E-4</v>
      </c>
      <c r="I71" s="32" t="s">
        <v>5</v>
      </c>
      <c r="J71" s="32"/>
      <c r="K71" s="23">
        <v>6.1927960315292786E-5</v>
      </c>
      <c r="L71" s="14">
        <v>9144</v>
      </c>
      <c r="M71" s="31" t="s">
        <v>5</v>
      </c>
      <c r="N71" s="34">
        <v>5.5389080596651176E-4</v>
      </c>
      <c r="O71" s="54">
        <f t="shared" si="0"/>
        <v>6.8544249317066246E-5</v>
      </c>
      <c r="P71" s="53">
        <f t="shared" si="1"/>
        <v>9.6525807309791725E-2</v>
      </c>
    </row>
    <row r="72" spans="1:16" ht="15.75" x14ac:dyDescent="0.3">
      <c r="A72" s="4" t="s">
        <v>15</v>
      </c>
      <c r="B72" s="14">
        <v>4535</v>
      </c>
      <c r="C72" s="30">
        <v>177</v>
      </c>
      <c r="D72" s="20">
        <v>2583</v>
      </c>
      <c r="E72" s="19">
        <v>0.78466681175390973</v>
      </c>
      <c r="F72" s="13">
        <v>47.68</v>
      </c>
      <c r="G72" s="31">
        <v>2.4142999999999999</v>
      </c>
      <c r="H72" s="13" t="s">
        <v>5</v>
      </c>
      <c r="I72" s="32">
        <v>0.125</v>
      </c>
      <c r="J72" s="32"/>
      <c r="K72" s="6">
        <v>3.9792000000000001E-5</v>
      </c>
      <c r="L72" s="14">
        <v>7617</v>
      </c>
      <c r="M72" s="31">
        <v>2.2368000000000001</v>
      </c>
      <c r="N72" s="13" t="s">
        <v>5</v>
      </c>
      <c r="O72" s="54">
        <f t="shared" si="0"/>
        <v>3.7243533773915092E-5</v>
      </c>
      <c r="P72" s="53">
        <f t="shared" si="1"/>
        <v>6.8427078954302223E-2</v>
      </c>
    </row>
    <row r="73" spans="1:16" ht="15.75" x14ac:dyDescent="0.3">
      <c r="A73" s="4" t="s">
        <v>15</v>
      </c>
      <c r="B73" s="14">
        <v>4575</v>
      </c>
      <c r="C73" s="30">
        <v>176</v>
      </c>
      <c r="D73" s="20">
        <v>2592.8721580424876</v>
      </c>
      <c r="E73" s="19">
        <v>0.79100877299711558</v>
      </c>
      <c r="F73" s="13">
        <v>48.11</v>
      </c>
      <c r="G73" s="31">
        <v>2.4289999999999998</v>
      </c>
      <c r="H73" s="13" t="s">
        <v>5</v>
      </c>
      <c r="I73" s="32">
        <v>0.127</v>
      </c>
      <c r="J73" s="32"/>
      <c r="K73" s="6">
        <v>3.7751499999999999E-5</v>
      </c>
      <c r="L73" s="14">
        <v>7449</v>
      </c>
      <c r="M73" s="31">
        <v>2.2591000000000001</v>
      </c>
      <c r="N73" s="13" t="s">
        <v>5</v>
      </c>
      <c r="O73" s="54">
        <f t="shared" si="0"/>
        <v>3.6946916140234403E-5</v>
      </c>
      <c r="P73" s="53">
        <f t="shared" si="1"/>
        <v>2.1776752806966261E-2</v>
      </c>
    </row>
    <row r="74" spans="1:16" ht="15.75" x14ac:dyDescent="0.3">
      <c r="A74" s="4" t="s">
        <v>15</v>
      </c>
      <c r="B74" s="14">
        <v>5238</v>
      </c>
      <c r="C74" s="30">
        <v>180</v>
      </c>
      <c r="D74" s="20">
        <f>(3780*1.0517+34)</f>
        <v>4009.4260000000004</v>
      </c>
      <c r="E74" s="19">
        <f>(3708*1.0517*0.7831+10*0.8186+12*0.9849+13*1.2101)/(3780*1.0517+34)</f>
        <v>0.77058261934750771</v>
      </c>
      <c r="F74" s="13">
        <v>47.23</v>
      </c>
      <c r="G74" s="31" t="s">
        <v>5</v>
      </c>
      <c r="H74" s="34">
        <v>6.8991210519779773E-4</v>
      </c>
      <c r="I74" s="32" t="s">
        <v>5</v>
      </c>
      <c r="J74" s="32"/>
      <c r="K74" s="23">
        <v>4.7141591724124223E-5</v>
      </c>
      <c r="L74" s="14">
        <v>7498</v>
      </c>
      <c r="M74" s="31" t="s">
        <v>5</v>
      </c>
      <c r="N74" s="34">
        <v>6.4085310365158106E-4</v>
      </c>
      <c r="O74" s="54">
        <f t="shared" si="0"/>
        <v>4.5138539205736552E-5</v>
      </c>
      <c r="P74" s="53">
        <f t="shared" si="1"/>
        <v>4.4375661100993426E-2</v>
      </c>
    </row>
    <row r="75" spans="1:16" ht="15.75" x14ac:dyDescent="0.3">
      <c r="A75" s="4" t="s">
        <v>15</v>
      </c>
      <c r="B75" s="14">
        <v>5055</v>
      </c>
      <c r="C75" s="30">
        <v>182</v>
      </c>
      <c r="D75" s="20">
        <f>(3692*1.0563+41)</f>
        <v>3940.8596000000002</v>
      </c>
      <c r="E75" s="19">
        <v>0.77850099024655151</v>
      </c>
      <c r="F75" s="13">
        <v>48.62</v>
      </c>
      <c r="G75" s="31" t="s">
        <v>5</v>
      </c>
      <c r="H75" s="34">
        <v>7.0605014368120415E-4</v>
      </c>
      <c r="I75" s="32" t="s">
        <v>5</v>
      </c>
      <c r="J75" s="32"/>
      <c r="K75" s="23">
        <v>4.4855980263368582E-5</v>
      </c>
      <c r="L75" s="14">
        <v>7608</v>
      </c>
      <c r="M75" s="31" t="s">
        <v>5</v>
      </c>
      <c r="N75" s="34">
        <v>6.4908090144355588E-4</v>
      </c>
      <c r="O75" s="54">
        <f t="shared" si="0"/>
        <v>4.7132521354868791E-5</v>
      </c>
      <c r="P75" s="53">
        <f t="shared" si="1"/>
        <v>4.8300855249388056E-2</v>
      </c>
    </row>
    <row r="76" spans="1:16" ht="15.75" x14ac:dyDescent="0.3">
      <c r="A76" s="4" t="s">
        <v>15</v>
      </c>
      <c r="B76" s="14">
        <v>5210</v>
      </c>
      <c r="C76" s="30">
        <v>195</v>
      </c>
      <c r="D76" s="20">
        <f>(11314*1.0606+39)</f>
        <v>12038.6284</v>
      </c>
      <c r="E76" s="19">
        <f>(11314*1.0606*0.7582+9*0.7775+21*0.9886+9*1.1347)/(11314*1.0606+39)</f>
        <v>0.75889780374647986</v>
      </c>
      <c r="F76" s="13">
        <v>52.72</v>
      </c>
      <c r="G76" s="31" t="s">
        <v>5</v>
      </c>
      <c r="H76" s="34">
        <v>6.4738327679519383E-4</v>
      </c>
      <c r="I76" s="32" t="s">
        <v>5</v>
      </c>
      <c r="J76" s="32"/>
      <c r="K76" s="23">
        <v>7.6181920712299812E-5</v>
      </c>
      <c r="L76" s="14">
        <v>9155</v>
      </c>
      <c r="M76" s="31" t="s">
        <v>5</v>
      </c>
      <c r="N76" s="34">
        <v>5.3544369541820829E-4</v>
      </c>
      <c r="O76" s="54">
        <f t="shared" si="0"/>
        <v>7.5959321317841931E-5</v>
      </c>
      <c r="P76" s="53">
        <f t="shared" si="1"/>
        <v>2.930507942882252E-3</v>
      </c>
    </row>
    <row r="77" spans="1:16" ht="15.75" x14ac:dyDescent="0.3">
      <c r="A77" s="4" t="s">
        <v>15</v>
      </c>
      <c r="B77" s="14">
        <v>5019</v>
      </c>
      <c r="C77" s="30">
        <v>182</v>
      </c>
      <c r="D77" s="20">
        <f>(3422*1.1688+249)</f>
        <v>4248.6336000000001</v>
      </c>
      <c r="E77" s="19">
        <f>(3422*1.1688*0.7252+175*0.9668+52*1.4082+221.5793)/(3422*1.1688+249)</f>
        <v>0.79190871783342287</v>
      </c>
      <c r="F77" s="13">
        <v>50.99</v>
      </c>
      <c r="G77" s="31" t="s">
        <v>5</v>
      </c>
      <c r="H77" s="34">
        <v>6.8240753377917288E-4</v>
      </c>
      <c r="I77" s="32" t="s">
        <v>5</v>
      </c>
      <c r="J77" s="32"/>
      <c r="K77" s="23">
        <v>5.428996110097987E-5</v>
      </c>
      <c r="L77" s="14">
        <v>7897</v>
      </c>
      <c r="M77" s="31" t="s">
        <v>5</v>
      </c>
      <c r="N77" s="34">
        <v>6.0055371052110038E-4</v>
      </c>
      <c r="O77" s="54">
        <f t="shared" si="0"/>
        <v>5.0938691639679251E-5</v>
      </c>
      <c r="P77" s="53">
        <f t="shared" si="1"/>
        <v>6.5790253998006323E-2</v>
      </c>
    </row>
    <row r="78" spans="1:16" ht="15.75" x14ac:dyDescent="0.3">
      <c r="A78" s="4" t="s">
        <v>15</v>
      </c>
      <c r="B78" s="14">
        <v>4786</v>
      </c>
      <c r="C78" s="30">
        <v>184</v>
      </c>
      <c r="D78" s="20">
        <f>3444*1.1903+272</f>
        <v>4371.3931999999995</v>
      </c>
      <c r="E78" s="19">
        <v>0.74776942167439542</v>
      </c>
      <c r="F78" s="13">
        <v>52.67</v>
      </c>
      <c r="G78" s="31" t="s">
        <v>5</v>
      </c>
      <c r="H78" s="34">
        <v>6.9102292123029714E-4</v>
      </c>
      <c r="I78" s="32" t="s">
        <v>5</v>
      </c>
      <c r="J78" s="32"/>
      <c r="K78" s="23">
        <v>6.0875900129307919E-5</v>
      </c>
      <c r="L78" s="14">
        <v>8361</v>
      </c>
      <c r="M78" s="31" t="s">
        <v>5</v>
      </c>
      <c r="N78" s="34">
        <v>6.0933996295213034E-4</v>
      </c>
      <c r="O78" s="54">
        <f t="shared" si="0"/>
        <v>5.8436516656221224E-5</v>
      </c>
      <c r="P78" s="53">
        <f t="shared" si="1"/>
        <v>4.1744162942453457E-2</v>
      </c>
    </row>
    <row r="79" spans="1:16" ht="15.75" x14ac:dyDescent="0.3">
      <c r="A79" s="4" t="s">
        <v>15</v>
      </c>
      <c r="B79" s="14">
        <v>5326</v>
      </c>
      <c r="C79" s="30">
        <v>182</v>
      </c>
      <c r="D79" s="20">
        <f>6022*1.0868+73</f>
        <v>6617.7096000000001</v>
      </c>
      <c r="E79" s="19">
        <v>0.76577585543240156</v>
      </c>
      <c r="F79" s="13">
        <v>51.08</v>
      </c>
      <c r="G79" s="31" t="s">
        <v>5</v>
      </c>
      <c r="H79" s="34">
        <v>6.5113068800000005E-4</v>
      </c>
      <c r="I79" s="32" t="s">
        <v>5</v>
      </c>
      <c r="J79" s="32"/>
      <c r="K79" s="23">
        <v>5.7696592598665659E-5</v>
      </c>
      <c r="L79" s="14">
        <v>8917</v>
      </c>
      <c r="M79" s="31" t="s">
        <v>5</v>
      </c>
      <c r="N79" s="34">
        <v>5.7037907393253553E-4</v>
      </c>
      <c r="O79" s="54">
        <f t="shared" si="0"/>
        <v>6.0334822743539491E-5</v>
      </c>
      <c r="P79" s="53">
        <f t="shared" si="1"/>
        <v>4.3726492014204636E-2</v>
      </c>
    </row>
    <row r="80" spans="1:16" ht="15.75" x14ac:dyDescent="0.3">
      <c r="A80" s="4" t="s">
        <v>15</v>
      </c>
      <c r="B80" s="14">
        <v>5217</v>
      </c>
      <c r="C80" s="30">
        <v>186</v>
      </c>
      <c r="D80" s="20">
        <f>(4400*1.1237+129)</f>
        <v>5073.28</v>
      </c>
      <c r="E80" s="19">
        <f>(4400*1.1237*0.7604+75.8464+42*1.295+12*1.3607)/(4400*1.1237+129)</f>
        <v>0.76995460766998858</v>
      </c>
      <c r="F80" s="13">
        <v>51.01</v>
      </c>
      <c r="G80" s="31" t="s">
        <v>5</v>
      </c>
      <c r="H80" s="34">
        <v>6.7575786244272957E-4</v>
      </c>
      <c r="I80" s="32" t="s">
        <v>5</v>
      </c>
      <c r="J80" s="32"/>
      <c r="K80" s="23">
        <v>5.8237185326586588E-5</v>
      </c>
      <c r="L80" s="14">
        <v>8444</v>
      </c>
      <c r="M80" s="31" t="s">
        <v>5</v>
      </c>
      <c r="N80" s="34">
        <v>6.0055371052110038E-4</v>
      </c>
      <c r="O80" s="54">
        <f t="shared" si="0"/>
        <v>5.6112934647161601E-5</v>
      </c>
      <c r="P80" s="53">
        <f t="shared" si="1"/>
        <v>3.7856702608450012E-2</v>
      </c>
    </row>
    <row r="81" spans="1:16" ht="15.75" x14ac:dyDescent="0.3">
      <c r="A81" s="4" t="s">
        <v>15</v>
      </c>
      <c r="B81" s="14">
        <v>5179</v>
      </c>
      <c r="C81" s="30">
        <v>203</v>
      </c>
      <c r="D81" s="20">
        <f>(10226*1.0717+91)</f>
        <v>11050.2042</v>
      </c>
      <c r="E81" s="19">
        <f>(10226*1.0717*0.7267+59*1.0275+32*1.5444)/(10226*1.0717+91)</f>
        <v>0.73067400800973437</v>
      </c>
      <c r="F81" s="13">
        <v>54.78</v>
      </c>
      <c r="G81" s="31" t="s">
        <v>5</v>
      </c>
      <c r="H81" s="34">
        <v>6.6808746601105021E-4</v>
      </c>
      <c r="I81" s="32" t="s">
        <v>5</v>
      </c>
      <c r="J81" s="32"/>
      <c r="K81" s="23">
        <v>7.5223557651672528E-5</v>
      </c>
      <c r="L81" s="14">
        <v>9680</v>
      </c>
      <c r="M81" s="31" t="s">
        <v>5</v>
      </c>
      <c r="N81" s="34">
        <v>5.4414957583540568E-4</v>
      </c>
      <c r="O81" s="54">
        <f t="shared" si="0"/>
        <v>8.454057875926061E-5</v>
      </c>
      <c r="P81" s="53">
        <f t="shared" si="1"/>
        <v>0.11020768067036081</v>
      </c>
    </row>
    <row r="82" spans="1:16" ht="15.75" x14ac:dyDescent="0.3">
      <c r="A82" s="4" t="s">
        <v>15</v>
      </c>
      <c r="B82" s="14">
        <v>4756.0249999999996</v>
      </c>
      <c r="C82" s="30">
        <v>157</v>
      </c>
      <c r="D82" s="20">
        <f>(2213*1.1661+63)</f>
        <v>2643.5792999999999</v>
      </c>
      <c r="E82" s="19">
        <f>(2213*0.7641*1.1661+19*0.939+15*1.247+29*1.457)/(2213*1.1661+63)</f>
        <v>0.77569817675981945</v>
      </c>
      <c r="F82" s="13">
        <v>46.15</v>
      </c>
      <c r="G82" s="31" t="s">
        <v>5</v>
      </c>
      <c r="H82" s="31" t="s">
        <v>5</v>
      </c>
      <c r="I82" s="32" t="s">
        <v>5</v>
      </c>
      <c r="J82" s="32"/>
      <c r="K82" s="6">
        <v>3.76003E-5</v>
      </c>
      <c r="L82" s="31" t="s">
        <v>5</v>
      </c>
      <c r="M82" s="31" t="s">
        <v>5</v>
      </c>
      <c r="N82" s="13" t="s">
        <v>5</v>
      </c>
      <c r="O82" s="54">
        <f t="shared" si="0"/>
        <v>3.3211235893718334E-5</v>
      </c>
      <c r="P82" s="53">
        <f t="shared" si="1"/>
        <v>0.13215600046705356</v>
      </c>
    </row>
    <row r="83" spans="1:16" ht="15.75" x14ac:dyDescent="0.3">
      <c r="A83" s="4" t="s">
        <v>15</v>
      </c>
      <c r="B83" s="14">
        <v>5249.65</v>
      </c>
      <c r="C83" s="30">
        <v>143</v>
      </c>
      <c r="D83" s="20">
        <v>1964</v>
      </c>
      <c r="E83" s="19">
        <v>0.69889205702647672</v>
      </c>
      <c r="F83" s="13">
        <v>44.34</v>
      </c>
      <c r="G83" s="31">
        <v>1.9510000000000001</v>
      </c>
      <c r="H83" s="13" t="s">
        <v>5</v>
      </c>
      <c r="I83" s="32">
        <v>0.223</v>
      </c>
      <c r="J83" s="32"/>
      <c r="K83" s="6">
        <v>2.46257E-5</v>
      </c>
      <c r="L83" s="14">
        <v>5594.65</v>
      </c>
      <c r="M83" s="31">
        <v>1.9350000000000001</v>
      </c>
      <c r="N83" s="13" t="s">
        <v>5</v>
      </c>
      <c r="O83" s="54">
        <f t="shared" si="0"/>
        <v>2.4107364667349606E-5</v>
      </c>
      <c r="P83" s="53">
        <f t="shared" si="1"/>
        <v>2.1501119670389139E-2</v>
      </c>
    </row>
    <row r="84" spans="1:16" ht="15.75" x14ac:dyDescent="0.3">
      <c r="A84" s="4" t="s">
        <v>15</v>
      </c>
      <c r="B84" s="14">
        <v>4315.0249999999996</v>
      </c>
      <c r="C84" s="30">
        <v>165</v>
      </c>
      <c r="D84" s="20">
        <v>1928</v>
      </c>
      <c r="E84" s="19">
        <v>0.76893049792531121</v>
      </c>
      <c r="F84" s="13">
        <v>45.91</v>
      </c>
      <c r="G84" s="31">
        <v>1.99082731299834</v>
      </c>
      <c r="H84" s="13" t="s">
        <v>5</v>
      </c>
      <c r="I84" s="32">
        <v>0.33200000000000002</v>
      </c>
      <c r="J84" s="32"/>
      <c r="K84" s="6">
        <v>3.0369200000000001E-5</v>
      </c>
      <c r="L84" s="14">
        <v>6213.0249999999996</v>
      </c>
      <c r="M84" s="31">
        <v>1.9061399734829223</v>
      </c>
      <c r="N84" s="13" t="s">
        <v>5</v>
      </c>
      <c r="O84" s="54">
        <f t="shared" si="0"/>
        <v>2.8708648956956556E-5</v>
      </c>
      <c r="P84" s="53">
        <f t="shared" si="1"/>
        <v>5.7841490400093072E-2</v>
      </c>
    </row>
    <row r="85" spans="1:16" ht="15.75" x14ac:dyDescent="0.3">
      <c r="A85" s="4" t="s">
        <v>15</v>
      </c>
      <c r="B85" s="14">
        <v>2965</v>
      </c>
      <c r="C85" s="30">
        <v>147</v>
      </c>
      <c r="D85" s="20">
        <v>1022</v>
      </c>
      <c r="E85" s="19">
        <v>0.85086647116324532</v>
      </c>
      <c r="F85" s="13">
        <v>41.15</v>
      </c>
      <c r="G85" s="31">
        <v>1.5425604341844183</v>
      </c>
      <c r="H85" s="13" t="s">
        <v>5</v>
      </c>
      <c r="I85" s="32">
        <v>0.33800000000000002</v>
      </c>
      <c r="J85" s="32"/>
      <c r="K85" s="6">
        <v>1.72767E-5</v>
      </c>
      <c r="L85" s="14">
        <v>4253</v>
      </c>
      <c r="M85" s="31">
        <v>1.5130603680982628</v>
      </c>
      <c r="N85" s="13" t="s">
        <v>5</v>
      </c>
      <c r="O85" s="54">
        <f t="shared" ref="O85:O148" si="2">EXP(    ($B$1+$B$2*LN(C85) + $B$3*LN(C85)^2)   *   ($B$4+$B$5*LN(F85) +$B$6*LN(F85)^2)    *  ($B$7+$B$8*LN(D85) +$B$9*LN(D85)^2)    *  ($B$10+$B$11*LN(E85) +$B$12*LN(E85)^2)   *  ($B$13+$B$14*LN(B85) +$B$15*LN(B85)^2)   )</f>
        <v>1.6878346273250691E-5</v>
      </c>
      <c r="P85" s="53">
        <f t="shared" ref="P85:P148" si="3">ABS((K85-O85)/O85)</f>
        <v>2.3601466654386179E-2</v>
      </c>
    </row>
    <row r="86" spans="1:16" ht="15.75" x14ac:dyDescent="0.3">
      <c r="A86" s="4" t="s">
        <v>15</v>
      </c>
      <c r="B86" s="14">
        <v>3169.6959999999999</v>
      </c>
      <c r="C86" s="30">
        <v>157.9</v>
      </c>
      <c r="D86" s="20">
        <v>1190</v>
      </c>
      <c r="E86" s="19">
        <v>0.8476117647058824</v>
      </c>
      <c r="F86" s="13">
        <v>42.3</v>
      </c>
      <c r="G86" s="31">
        <v>1.639</v>
      </c>
      <c r="H86" s="13" t="s">
        <v>5</v>
      </c>
      <c r="I86" s="32">
        <v>0.28499999999999998</v>
      </c>
      <c r="J86" s="32"/>
      <c r="K86" s="23">
        <v>2.0018016214593399E-5</v>
      </c>
      <c r="L86" s="14">
        <v>7514.6959999999999</v>
      </c>
      <c r="M86" s="31">
        <v>1.544</v>
      </c>
      <c r="N86" s="13" t="s">
        <v>5</v>
      </c>
      <c r="O86" s="54">
        <f t="shared" si="2"/>
        <v>1.9753632391574317E-5</v>
      </c>
      <c r="P86" s="53">
        <f t="shared" si="3"/>
        <v>1.3384061107255013E-2</v>
      </c>
    </row>
    <row r="87" spans="1:16" ht="15.75" x14ac:dyDescent="0.3">
      <c r="A87" s="4" t="s">
        <v>15</v>
      </c>
      <c r="B87" s="14">
        <v>4115.0249999999996</v>
      </c>
      <c r="C87" s="30">
        <v>147</v>
      </c>
      <c r="D87" s="20">
        <v>1858</v>
      </c>
      <c r="E87" s="19">
        <v>0.82734391819160391</v>
      </c>
      <c r="F87" s="13">
        <v>45.53</v>
      </c>
      <c r="G87" s="31">
        <v>2.0020581987014658</v>
      </c>
      <c r="H87" s="13" t="s">
        <v>5</v>
      </c>
      <c r="I87" s="32">
        <v>0.215</v>
      </c>
      <c r="J87" s="32"/>
      <c r="K87" s="6">
        <v>2.4649699999999999E-5</v>
      </c>
      <c r="L87" s="14">
        <v>5637.0249999999996</v>
      </c>
      <c r="M87" s="31">
        <v>1.9392476670579872</v>
      </c>
      <c r="N87" s="13" t="s">
        <v>5</v>
      </c>
      <c r="O87" s="54">
        <f t="shared" si="2"/>
        <v>2.5433158079588738E-5</v>
      </c>
      <c r="P87" s="53">
        <f t="shared" si="3"/>
        <v>3.0804592852253752E-2</v>
      </c>
    </row>
    <row r="88" spans="1:16" ht="15.75" x14ac:dyDescent="0.3">
      <c r="A88" s="4" t="s">
        <v>15</v>
      </c>
      <c r="B88" s="14">
        <v>3005.6959999999999</v>
      </c>
      <c r="C88" s="30">
        <v>156</v>
      </c>
      <c r="D88" s="20">
        <v>1235</v>
      </c>
      <c r="E88" s="19">
        <v>0.86626456310679611</v>
      </c>
      <c r="F88" s="13">
        <v>42.3</v>
      </c>
      <c r="G88" s="31">
        <v>1.657</v>
      </c>
      <c r="H88" s="13" t="s">
        <v>5</v>
      </c>
      <c r="I88" s="32">
        <v>0.29399999999999998</v>
      </c>
      <c r="J88" s="32"/>
      <c r="K88" s="23">
        <v>1.9306598903568971E-5</v>
      </c>
      <c r="L88" s="14">
        <v>7609.6959999999999</v>
      </c>
      <c r="M88" s="31">
        <v>1.556</v>
      </c>
      <c r="N88" s="13" t="s">
        <v>5</v>
      </c>
      <c r="O88" s="54">
        <f t="shared" si="2"/>
        <v>2.0880051763817719E-5</v>
      </c>
      <c r="P88" s="53">
        <f t="shared" si="3"/>
        <v>7.5356750933698702E-2</v>
      </c>
    </row>
    <row r="89" spans="1:16" ht="15.75" x14ac:dyDescent="0.3">
      <c r="A89" s="4" t="s">
        <v>15</v>
      </c>
      <c r="B89" s="14">
        <v>1265.0250000000001</v>
      </c>
      <c r="C89" s="30">
        <v>157</v>
      </c>
      <c r="D89" s="20">
        <v>338</v>
      </c>
      <c r="E89" s="19">
        <v>0.82463204747774488</v>
      </c>
      <c r="F89" s="13">
        <v>43.65</v>
      </c>
      <c r="G89" s="31">
        <v>1.2838000000000001</v>
      </c>
      <c r="H89" s="13" t="s">
        <v>5</v>
      </c>
      <c r="I89" s="32">
        <v>0.56599999999999995</v>
      </c>
      <c r="J89" s="32"/>
      <c r="K89" s="6">
        <v>1.36184E-5</v>
      </c>
      <c r="L89" s="14">
        <v>3165.0250000000001</v>
      </c>
      <c r="M89" s="31">
        <v>1.2577</v>
      </c>
      <c r="N89" s="13" t="s">
        <v>5</v>
      </c>
      <c r="O89" s="54">
        <f t="shared" si="2"/>
        <v>9.3881831065520076E-6</v>
      </c>
      <c r="P89" s="53">
        <f t="shared" si="3"/>
        <v>0.45058951720868401</v>
      </c>
    </row>
    <row r="90" spans="1:16" ht="15.75" x14ac:dyDescent="0.3">
      <c r="A90" s="4" t="s">
        <v>15</v>
      </c>
      <c r="B90" s="14">
        <v>5276</v>
      </c>
      <c r="C90" s="30">
        <v>170</v>
      </c>
      <c r="D90" s="20">
        <f>(7187*1.2099+263)</f>
        <v>8958.5512999999992</v>
      </c>
      <c r="E90" s="19">
        <f>(7187*1.2099*0.7258+263*1.2356)/(7187*1.2099+263)</f>
        <v>0.74076641538459465</v>
      </c>
      <c r="F90" s="13">
        <v>51.27</v>
      </c>
      <c r="G90" s="31" t="s">
        <v>5</v>
      </c>
      <c r="H90" s="34">
        <v>6.2776609435324395E-4</v>
      </c>
      <c r="I90" s="32" t="s">
        <v>5</v>
      </c>
      <c r="J90" s="32"/>
      <c r="K90" s="23">
        <v>5.8542578969883249E-5</v>
      </c>
      <c r="L90" s="14">
        <v>9715</v>
      </c>
      <c r="M90" s="31" t="s">
        <v>5</v>
      </c>
      <c r="N90" s="34">
        <v>5.3098566869680191E-4</v>
      </c>
      <c r="O90" s="54">
        <f t="shared" si="2"/>
        <v>6.3994867396307108E-5</v>
      </c>
      <c r="P90" s="53">
        <f t="shared" si="3"/>
        <v>8.5198839348458261E-2</v>
      </c>
    </row>
    <row r="91" spans="1:16" ht="15.75" x14ac:dyDescent="0.3">
      <c r="A91" s="4" t="s">
        <v>15</v>
      </c>
      <c r="B91" s="14">
        <v>4925</v>
      </c>
      <c r="C91" s="30">
        <v>174</v>
      </c>
      <c r="D91" s="20">
        <f>3423*1.1713+201</f>
        <v>4210.3598999999995</v>
      </c>
      <c r="E91" s="19">
        <f>(3423*1.1713*0.7514+106*0.8642+95*1.4455)/(3423*1.1713+201)</f>
        <v>0.76990110248294918</v>
      </c>
      <c r="F91" s="13">
        <v>48.39</v>
      </c>
      <c r="G91" s="31" t="s">
        <v>5</v>
      </c>
      <c r="H91" s="34">
        <v>6.8674243724890977E-4</v>
      </c>
      <c r="I91" s="32" t="s">
        <v>5</v>
      </c>
      <c r="J91" s="32"/>
      <c r="K91" s="23">
        <v>4.9084457480247505E-5</v>
      </c>
      <c r="L91" s="14">
        <v>8620</v>
      </c>
      <c r="M91" s="31" t="s">
        <v>5</v>
      </c>
      <c r="N91" s="34">
        <v>6.1396776669224863E-4</v>
      </c>
      <c r="O91" s="54">
        <f t="shared" si="2"/>
        <v>4.8326580077519721E-5</v>
      </c>
      <c r="P91" s="53">
        <f t="shared" si="3"/>
        <v>1.5682413311930765E-2</v>
      </c>
    </row>
    <row r="92" spans="1:16" ht="15.75" x14ac:dyDescent="0.3">
      <c r="A92" s="4" t="s">
        <v>15</v>
      </c>
      <c r="B92" s="14">
        <v>4884</v>
      </c>
      <c r="C92" s="30">
        <v>178</v>
      </c>
      <c r="D92" s="20">
        <f>(4003*1.2158+288)</f>
        <v>5154.8473999999997</v>
      </c>
      <c r="E92" s="19">
        <f>(4003*1.2158*0.7362+288*1.2696)/(4003*1.2158+288)</f>
        <v>0.7660009209739167</v>
      </c>
      <c r="F92" s="13">
        <v>49.47</v>
      </c>
      <c r="G92" s="31" t="s">
        <v>5</v>
      </c>
      <c r="H92" s="34">
        <v>6.7260803766605007E-4</v>
      </c>
      <c r="I92" s="32" t="s">
        <v>5</v>
      </c>
      <c r="J92" s="32"/>
      <c r="K92" s="23">
        <v>5.5507535049465321E-5</v>
      </c>
      <c r="L92" s="14">
        <v>8960</v>
      </c>
      <c r="M92" s="31" t="s">
        <v>5</v>
      </c>
      <c r="N92" s="34">
        <v>5.8540811726895403E-4</v>
      </c>
      <c r="O92" s="54">
        <f t="shared" si="2"/>
        <v>5.5834635346904768E-5</v>
      </c>
      <c r="P92" s="53">
        <f t="shared" si="3"/>
        <v>5.8583761747013898E-3</v>
      </c>
    </row>
    <row r="93" spans="1:16" ht="15.75" x14ac:dyDescent="0.3">
      <c r="A93" s="4" t="s">
        <v>15</v>
      </c>
      <c r="B93" s="14">
        <v>3815</v>
      </c>
      <c r="C93" s="30">
        <v>174</v>
      </c>
      <c r="D93" s="20">
        <v>1784</v>
      </c>
      <c r="E93" s="19">
        <v>0.83123413677130042</v>
      </c>
      <c r="F93" s="13">
        <v>48.3</v>
      </c>
      <c r="G93" s="31">
        <v>1.9897</v>
      </c>
      <c r="H93" s="13" t="s">
        <v>5</v>
      </c>
      <c r="I93" s="32">
        <v>0.20899999999999999</v>
      </c>
      <c r="J93" s="32"/>
      <c r="K93" s="6">
        <v>2.88053E-5</v>
      </c>
      <c r="L93" s="14">
        <v>6115</v>
      </c>
      <c r="M93" s="31">
        <v>1.89041397</v>
      </c>
      <c r="N93" s="13" t="s">
        <v>5</v>
      </c>
      <c r="O93" s="54">
        <f t="shared" si="2"/>
        <v>2.9893302606966737E-5</v>
      </c>
      <c r="P93" s="53">
        <f t="shared" si="3"/>
        <v>3.6396199552510257E-2</v>
      </c>
    </row>
    <row r="94" spans="1:16" ht="15.75" x14ac:dyDescent="0.3">
      <c r="A94" s="4" t="s">
        <v>15</v>
      </c>
      <c r="B94" s="14">
        <v>4374</v>
      </c>
      <c r="C94" s="30">
        <v>174</v>
      </c>
      <c r="D94" s="20">
        <v>2615</v>
      </c>
      <c r="E94" s="19">
        <v>0.79573762906309753</v>
      </c>
      <c r="F94" s="13">
        <v>47.5</v>
      </c>
      <c r="G94" s="31">
        <v>2.4460000000000002</v>
      </c>
      <c r="H94" s="13" t="s">
        <v>5</v>
      </c>
      <c r="I94" s="32">
        <v>0.14699999999999999</v>
      </c>
      <c r="J94" s="32"/>
      <c r="K94" s="6">
        <v>3.5503000000000002E-5</v>
      </c>
      <c r="L94" s="14">
        <v>6415</v>
      </c>
      <c r="M94" s="31">
        <v>2.3170000000000002</v>
      </c>
      <c r="N94" s="13" t="s">
        <v>5</v>
      </c>
      <c r="O94" s="54">
        <f t="shared" si="2"/>
        <v>3.7630117485611162E-5</v>
      </c>
      <c r="P94" s="53">
        <f t="shared" si="3"/>
        <v>5.6526995601980719E-2</v>
      </c>
    </row>
    <row r="95" spans="1:16" ht="15.75" x14ac:dyDescent="0.3">
      <c r="A95" s="4" t="s">
        <v>15</v>
      </c>
      <c r="B95" s="14">
        <v>4161</v>
      </c>
      <c r="C95" s="30">
        <v>169</v>
      </c>
      <c r="D95" s="20">
        <v>2206</v>
      </c>
      <c r="E95" s="19">
        <v>0.81640797824116051</v>
      </c>
      <c r="F95" s="13">
        <v>46.200069761207317</v>
      </c>
      <c r="G95" s="31">
        <v>2.14764883740115</v>
      </c>
      <c r="H95" s="13" t="s">
        <v>5</v>
      </c>
      <c r="I95" s="32">
        <v>0.17599999999999999</v>
      </c>
      <c r="J95" s="32"/>
      <c r="K95" s="23">
        <v>3.2677395172111213E-5</v>
      </c>
      <c r="L95" s="14">
        <v>6365</v>
      </c>
      <c r="M95" s="31">
        <v>2.0428687487688331</v>
      </c>
      <c r="N95" s="13" t="s">
        <v>5</v>
      </c>
      <c r="O95" s="54">
        <f t="shared" si="2"/>
        <v>3.2154648476231911E-5</v>
      </c>
      <c r="P95" s="53">
        <f t="shared" si="3"/>
        <v>1.6257266698645623E-2</v>
      </c>
    </row>
    <row r="96" spans="1:16" ht="15.75" x14ac:dyDescent="0.3">
      <c r="A96" s="4" t="s">
        <v>15</v>
      </c>
      <c r="B96" s="14">
        <v>5490</v>
      </c>
      <c r="C96" s="30">
        <v>173</v>
      </c>
      <c r="D96" s="20">
        <f>(5372*1.1437+205)</f>
        <v>6348.9564</v>
      </c>
      <c r="E96" s="19">
        <f>(5372*1.1437*0.708+126*0.8667+11*0.8733+25*1.0918+44*1.501)/(5372*1.1437+205)</f>
        <v>0.71855441174552726</v>
      </c>
      <c r="F96" s="13">
        <v>53.3</v>
      </c>
      <c r="G96" s="31" t="s">
        <v>5</v>
      </c>
      <c r="H96" s="34">
        <v>6.4029914776183422E-4</v>
      </c>
      <c r="I96" s="32" t="s">
        <v>5</v>
      </c>
      <c r="J96" s="32"/>
      <c r="K96" s="23">
        <v>5.2520973167628993E-5</v>
      </c>
      <c r="L96" s="14">
        <v>7215</v>
      </c>
      <c r="M96" s="31" t="s">
        <v>5</v>
      </c>
      <c r="N96" s="34">
        <v>5.9466466859338027E-4</v>
      </c>
      <c r="O96" s="54">
        <f t="shared" si="2"/>
        <v>6.0905808620055017E-5</v>
      </c>
      <c r="P96" s="53">
        <f t="shared" si="3"/>
        <v>0.13766889632370913</v>
      </c>
    </row>
    <row r="97" spans="1:16" ht="15.75" x14ac:dyDescent="0.3">
      <c r="A97" s="4" t="s">
        <v>15</v>
      </c>
      <c r="B97" s="14">
        <v>4633</v>
      </c>
      <c r="C97" s="30">
        <v>175</v>
      </c>
      <c r="D97" s="20">
        <v>2870</v>
      </c>
      <c r="E97" s="19">
        <v>0.77762717770034839</v>
      </c>
      <c r="F97" s="13">
        <v>50.2</v>
      </c>
      <c r="G97" s="31">
        <v>2.4930187474406478</v>
      </c>
      <c r="H97" s="13" t="s">
        <v>5</v>
      </c>
      <c r="I97" s="32">
        <v>0.123</v>
      </c>
      <c r="J97" s="32"/>
      <c r="K97" s="23">
        <v>3.9453414659042241E-5</v>
      </c>
      <c r="L97" s="14">
        <v>6900</v>
      </c>
      <c r="M97" s="31">
        <v>2.3387812897176889</v>
      </c>
      <c r="N97" s="13" t="s">
        <v>5</v>
      </c>
      <c r="O97" s="54">
        <f t="shared" si="2"/>
        <v>4.1313027679354938E-5</v>
      </c>
      <c r="P97" s="53">
        <f t="shared" si="3"/>
        <v>4.5012750814242275E-2</v>
      </c>
    </row>
    <row r="98" spans="1:16" ht="15.75" x14ac:dyDescent="0.3">
      <c r="A98" s="4" t="s">
        <v>15</v>
      </c>
      <c r="B98" s="14">
        <v>4618</v>
      </c>
      <c r="C98" s="30">
        <v>205</v>
      </c>
      <c r="D98" s="20">
        <v>3786</v>
      </c>
      <c r="E98" s="19">
        <v>0.7799001584786055</v>
      </c>
      <c r="F98" s="13">
        <v>47.6</v>
      </c>
      <c r="G98" s="31">
        <v>3.1960000000000002</v>
      </c>
      <c r="H98" s="13" t="s">
        <v>5</v>
      </c>
      <c r="I98" s="32">
        <v>9.7000000000000003E-2</v>
      </c>
      <c r="J98" s="32"/>
      <c r="K98" s="23">
        <v>7.0318049317459581E-5</v>
      </c>
      <c r="L98" s="14">
        <v>7362</v>
      </c>
      <c r="M98" s="31">
        <v>2.8834312</v>
      </c>
      <c r="N98" s="13" t="s">
        <v>5</v>
      </c>
      <c r="O98" s="54">
        <f t="shared" si="2"/>
        <v>5.46333686971469E-5</v>
      </c>
      <c r="P98" s="53">
        <f t="shared" si="3"/>
        <v>0.28708975840861478</v>
      </c>
    </row>
    <row r="99" spans="1:16" ht="15.75" x14ac:dyDescent="0.3">
      <c r="A99" s="4" t="s">
        <v>15</v>
      </c>
      <c r="B99" s="14">
        <v>4856</v>
      </c>
      <c r="C99" s="30">
        <v>165</v>
      </c>
      <c r="D99" s="20">
        <v>3878</v>
      </c>
      <c r="E99" s="19">
        <v>0.81859073191566978</v>
      </c>
      <c r="F99" s="13">
        <v>49.45</v>
      </c>
      <c r="G99" s="31">
        <v>3.048</v>
      </c>
      <c r="H99" s="13" t="s">
        <v>5</v>
      </c>
      <c r="I99" s="32">
        <v>0.11</v>
      </c>
      <c r="J99" s="32"/>
      <c r="K99" s="6">
        <v>5.1286399999999997E-5</v>
      </c>
      <c r="L99" s="14">
        <v>7015</v>
      </c>
      <c r="M99" s="31">
        <v>2.8382000000000001</v>
      </c>
      <c r="N99" s="13" t="s">
        <v>5</v>
      </c>
      <c r="O99" s="54">
        <f t="shared" si="2"/>
        <v>4.3641770891474236E-5</v>
      </c>
      <c r="P99" s="53">
        <f t="shared" si="3"/>
        <v>0.17516771094225234</v>
      </c>
    </row>
    <row r="100" spans="1:16" ht="15.75" x14ac:dyDescent="0.3">
      <c r="A100" s="4" t="s">
        <v>15</v>
      </c>
      <c r="B100" s="14">
        <v>5098</v>
      </c>
      <c r="C100" s="30">
        <v>173</v>
      </c>
      <c r="D100" s="20">
        <f>(8735*1.0801+65)</f>
        <v>9499.6735000000008</v>
      </c>
      <c r="E100" s="19">
        <f>(8735*1.0801*0.8086+36*0.8771+29*1.416)/(8735*1.0801+65)</f>
        <v>0.81071382001707748</v>
      </c>
      <c r="F100" s="13">
        <v>50.63</v>
      </c>
      <c r="G100" s="31" t="s">
        <v>5</v>
      </c>
      <c r="H100" s="34">
        <v>6.1843683899999902E-4</v>
      </c>
      <c r="I100" s="32" t="s">
        <v>5</v>
      </c>
      <c r="J100" s="32"/>
      <c r="K100" s="23">
        <v>6.5297767629066359E-5</v>
      </c>
      <c r="L100" s="14">
        <v>7215</v>
      </c>
      <c r="M100" s="31" t="s">
        <v>5</v>
      </c>
      <c r="N100" s="34">
        <v>5.5541978627446625E-4</v>
      </c>
      <c r="O100" s="54">
        <f t="shared" si="2"/>
        <v>6.2048140104196581E-5</v>
      </c>
      <c r="P100" s="53">
        <f t="shared" si="3"/>
        <v>5.2372682233709549E-2</v>
      </c>
    </row>
    <row r="101" spans="1:16" ht="15.75" x14ac:dyDescent="0.3">
      <c r="A101" s="4" t="s">
        <v>15</v>
      </c>
      <c r="B101" s="14">
        <v>4695</v>
      </c>
      <c r="C101" s="30">
        <v>184</v>
      </c>
      <c r="D101" s="20">
        <f>(13859*1.0736+58)</f>
        <v>14937.022400000002</v>
      </c>
      <c r="E101" s="19">
        <f>(13859*1.0736*0.7393+30*1.0133+28*1.3807)/(13859*1.0736+58)</f>
        <v>0.74105263846427649</v>
      </c>
      <c r="F101" s="13">
        <v>54.68</v>
      </c>
      <c r="G101" s="31" t="s">
        <v>5</v>
      </c>
      <c r="H101" s="34">
        <v>6.7487312385271572E-4</v>
      </c>
      <c r="I101" s="32" t="s">
        <v>5</v>
      </c>
      <c r="J101" s="32"/>
      <c r="K101" s="23">
        <v>9.5971359558316165E-5</v>
      </c>
      <c r="L101" s="14">
        <v>8057</v>
      </c>
      <c r="M101" s="31" t="s">
        <v>5</v>
      </c>
      <c r="N101" s="34">
        <v>5.521140446770685E-4</v>
      </c>
      <c r="O101" s="54">
        <f t="shared" si="2"/>
        <v>8.2524308709519358E-5</v>
      </c>
      <c r="P101" s="53">
        <f t="shared" si="3"/>
        <v>0.16294654337705056</v>
      </c>
    </row>
    <row r="102" spans="1:16" ht="15.75" x14ac:dyDescent="0.3">
      <c r="A102" s="4" t="s">
        <v>15</v>
      </c>
      <c r="B102" s="14">
        <v>3658</v>
      </c>
      <c r="C102" s="30">
        <v>165</v>
      </c>
      <c r="D102" s="20">
        <v>1925</v>
      </c>
      <c r="E102" s="19">
        <v>0.81186086770028443</v>
      </c>
      <c r="F102" s="13">
        <v>46.8</v>
      </c>
      <c r="G102" s="31">
        <v>2.0635741274033896</v>
      </c>
      <c r="H102" s="13" t="s">
        <v>5</v>
      </c>
      <c r="I102" s="32">
        <v>0.17435896980184501</v>
      </c>
      <c r="J102" s="32"/>
      <c r="K102" s="6">
        <v>2.7064067788050001E-5</v>
      </c>
      <c r="L102" s="14">
        <v>8330</v>
      </c>
      <c r="M102" s="31">
        <v>1.8912825290639923</v>
      </c>
      <c r="N102" s="13" t="s">
        <v>5</v>
      </c>
      <c r="O102" s="54">
        <f t="shared" si="2"/>
        <v>3.1838911760253881E-5</v>
      </c>
      <c r="P102" s="53">
        <f t="shared" si="3"/>
        <v>0.14996881828620029</v>
      </c>
    </row>
    <row r="103" spans="1:16" ht="15.75" x14ac:dyDescent="0.3">
      <c r="A103" s="4" t="s">
        <v>15</v>
      </c>
      <c r="B103" s="14">
        <v>3515</v>
      </c>
      <c r="C103" s="30">
        <v>185</v>
      </c>
      <c r="D103" s="20">
        <v>1573</v>
      </c>
      <c r="E103" s="19">
        <v>0.84594531668754847</v>
      </c>
      <c r="F103" s="13">
        <v>45.82</v>
      </c>
      <c r="G103" s="31">
        <v>1.8840719058200459</v>
      </c>
      <c r="H103" s="13" t="s">
        <v>5</v>
      </c>
      <c r="I103" s="32">
        <v>0.2</v>
      </c>
      <c r="J103" s="32"/>
      <c r="K103" s="6">
        <v>2.7552E-5</v>
      </c>
      <c r="L103" s="14">
        <v>9815</v>
      </c>
      <c r="M103" s="31">
        <v>1.7033262209799349</v>
      </c>
      <c r="N103" s="13" t="s">
        <v>5</v>
      </c>
      <c r="O103" s="54">
        <f t="shared" si="2"/>
        <v>2.828126975174241E-5</v>
      </c>
      <c r="P103" s="53">
        <f t="shared" si="3"/>
        <v>2.5786315753997559E-2</v>
      </c>
    </row>
    <row r="104" spans="1:16" ht="15.75" x14ac:dyDescent="0.3">
      <c r="A104" s="4" t="s">
        <v>15</v>
      </c>
      <c r="B104" s="14">
        <v>3515</v>
      </c>
      <c r="C104" s="30">
        <v>190</v>
      </c>
      <c r="D104" s="20">
        <v>1303</v>
      </c>
      <c r="E104" s="19">
        <v>0.8405067484662575</v>
      </c>
      <c r="F104" s="13">
        <v>45.31</v>
      </c>
      <c r="G104" s="31">
        <v>1.7521</v>
      </c>
      <c r="H104" s="13" t="s">
        <v>5</v>
      </c>
      <c r="I104" s="32">
        <v>0.28499999999999998</v>
      </c>
      <c r="J104" s="32"/>
      <c r="K104" s="6">
        <v>2.47308E-5</v>
      </c>
      <c r="L104" s="14">
        <v>9015</v>
      </c>
      <c r="M104" s="31">
        <v>1.6107</v>
      </c>
      <c r="N104" s="13" t="s">
        <v>5</v>
      </c>
      <c r="O104" s="54">
        <f t="shared" si="2"/>
        <v>2.4042139085203503E-5</v>
      </c>
      <c r="P104" s="53">
        <f t="shared" si="3"/>
        <v>2.8643911939613017E-2</v>
      </c>
    </row>
    <row r="105" spans="1:16" ht="15.75" x14ac:dyDescent="0.3">
      <c r="A105" s="4" t="s">
        <v>15</v>
      </c>
      <c r="B105" s="14">
        <v>4815</v>
      </c>
      <c r="C105" s="30">
        <v>171</v>
      </c>
      <c r="D105" s="20">
        <v>3198</v>
      </c>
      <c r="E105" s="19">
        <v>0.82248795518505935</v>
      </c>
      <c r="F105" s="13">
        <v>47.73</v>
      </c>
      <c r="G105" s="31">
        <v>2.7440000000000002</v>
      </c>
      <c r="H105" s="13" t="s">
        <v>5</v>
      </c>
      <c r="I105" s="32">
        <v>0.13600000000000001</v>
      </c>
      <c r="J105" s="32"/>
      <c r="K105" s="6">
        <f>41.7751123876564/10^6</f>
        <v>4.1775112387656397E-5</v>
      </c>
      <c r="L105" s="14">
        <v>8115</v>
      </c>
      <c r="M105" s="31">
        <v>2.5209999999999999</v>
      </c>
      <c r="N105" s="13" t="s">
        <v>5</v>
      </c>
      <c r="O105" s="54">
        <f t="shared" si="2"/>
        <v>3.8573665688556549E-5</v>
      </c>
      <c r="P105" s="53">
        <f t="shared" si="3"/>
        <v>8.2995656283960703E-2</v>
      </c>
    </row>
    <row r="106" spans="1:16" ht="15.75" x14ac:dyDescent="0.3">
      <c r="A106" s="4" t="s">
        <v>15</v>
      </c>
      <c r="B106" s="14">
        <v>7295</v>
      </c>
      <c r="C106" s="30">
        <v>181</v>
      </c>
      <c r="D106" s="20">
        <f>(14468*1.0403+39)</f>
        <v>15090.0604</v>
      </c>
      <c r="E106" s="19">
        <f>(14468*1.0403*0.6844+28*0.9129+11*1.3494)/(14468*1.0403+39)</f>
        <v>0.68530874387752616</v>
      </c>
      <c r="F106" s="13">
        <v>51.15</v>
      </c>
      <c r="G106" s="31" t="s">
        <v>5</v>
      </c>
      <c r="H106" s="34">
        <v>5.5811357611273895E-4</v>
      </c>
      <c r="I106" s="32" t="s">
        <v>5</v>
      </c>
      <c r="J106" s="32"/>
      <c r="K106" s="23">
        <v>4.5773174304247885E-5</v>
      </c>
      <c r="L106" s="14">
        <v>8634</v>
      </c>
      <c r="M106" s="31" t="s">
        <v>5</v>
      </c>
      <c r="N106" s="34">
        <v>5.2765993372591233E-4</v>
      </c>
      <c r="O106" s="54">
        <f t="shared" si="2"/>
        <v>5.641811701184636E-5</v>
      </c>
      <c r="P106" s="53">
        <f t="shared" si="3"/>
        <v>0.1886795106147075</v>
      </c>
    </row>
    <row r="107" spans="1:16" ht="15.75" x14ac:dyDescent="0.3">
      <c r="A107" s="4" t="s">
        <v>15</v>
      </c>
      <c r="B107" s="14">
        <v>4735</v>
      </c>
      <c r="C107" s="30">
        <v>169</v>
      </c>
      <c r="D107" s="20">
        <v>3019.0898226608274</v>
      </c>
      <c r="E107" s="19">
        <v>0.80864126002039083</v>
      </c>
      <c r="F107" s="13">
        <v>47.84</v>
      </c>
      <c r="G107" s="31">
        <v>2.6800771815122393</v>
      </c>
      <c r="H107" s="13" t="s">
        <v>5</v>
      </c>
      <c r="I107" s="32">
        <v>0.13800000000000001</v>
      </c>
      <c r="J107" s="32"/>
      <c r="K107" s="6">
        <v>4.4029273699827716E-5</v>
      </c>
      <c r="L107" s="14">
        <v>7619</v>
      </c>
      <c r="M107" s="31">
        <v>2.4782733289085912</v>
      </c>
      <c r="N107" s="13" t="s">
        <v>5</v>
      </c>
      <c r="O107" s="54">
        <f t="shared" si="2"/>
        <v>3.7975386837349799E-5</v>
      </c>
      <c r="P107" s="53">
        <f t="shared" si="3"/>
        <v>0.15941606831832872</v>
      </c>
    </row>
    <row r="108" spans="1:16" ht="15.75" x14ac:dyDescent="0.3">
      <c r="A108" s="4" t="s">
        <v>15</v>
      </c>
      <c r="B108" s="14">
        <v>2236.6959999999999</v>
      </c>
      <c r="C108" s="30">
        <v>155</v>
      </c>
      <c r="D108" s="20">
        <v>897</v>
      </c>
      <c r="E108" s="19">
        <v>0.8641896139865074</v>
      </c>
      <c r="F108" s="13">
        <v>40.33</v>
      </c>
      <c r="G108" s="31" t="s">
        <v>5</v>
      </c>
      <c r="H108" s="33" t="s">
        <v>5</v>
      </c>
      <c r="I108" s="32">
        <v>0.39649000000000001</v>
      </c>
      <c r="J108" s="32"/>
      <c r="K108" s="6">
        <v>1.8600000000000001E-5</v>
      </c>
      <c r="L108" s="14">
        <v>5014.6959999999999</v>
      </c>
      <c r="M108" s="31" t="s">
        <v>5</v>
      </c>
      <c r="N108" s="13" t="s">
        <v>5</v>
      </c>
      <c r="O108" s="54">
        <f t="shared" si="2"/>
        <v>1.8693694895850563E-5</v>
      </c>
      <c r="P108" s="53">
        <f t="shared" si="3"/>
        <v>5.0121121786019631E-3</v>
      </c>
    </row>
    <row r="109" spans="1:16" ht="15.75" x14ac:dyDescent="0.3">
      <c r="A109" s="4" t="s">
        <v>15</v>
      </c>
      <c r="B109" s="14">
        <v>3314.6959999999999</v>
      </c>
      <c r="C109" s="30">
        <v>165</v>
      </c>
      <c r="D109" s="20">
        <v>1230</v>
      </c>
      <c r="E109" s="19">
        <v>0.75937338889354078</v>
      </c>
      <c r="F109" s="13">
        <v>42.16</v>
      </c>
      <c r="G109" s="31" t="s">
        <v>5</v>
      </c>
      <c r="H109" s="13" t="s">
        <v>5</v>
      </c>
      <c r="I109" s="32">
        <v>0.2782</v>
      </c>
      <c r="J109" s="32"/>
      <c r="K109" s="6">
        <v>2.3399999999999996E-5</v>
      </c>
      <c r="L109" s="14">
        <v>5614.6959999999999</v>
      </c>
      <c r="M109" s="31" t="s">
        <v>5</v>
      </c>
      <c r="N109" s="13" t="s">
        <v>5</v>
      </c>
      <c r="O109" s="54">
        <f t="shared" si="2"/>
        <v>2.2368369548398538E-5</v>
      </c>
      <c r="P109" s="53">
        <f t="shared" si="3"/>
        <v>4.6120055794380298E-2</v>
      </c>
    </row>
    <row r="110" spans="1:16" ht="15.75" x14ac:dyDescent="0.3">
      <c r="A110" s="4" t="s">
        <v>15</v>
      </c>
      <c r="B110" s="14">
        <v>4498</v>
      </c>
      <c r="C110" s="30">
        <v>148</v>
      </c>
      <c r="D110" s="20">
        <v>2143</v>
      </c>
      <c r="E110" s="19">
        <v>0.88665790947270184</v>
      </c>
      <c r="F110" s="13">
        <v>44.8</v>
      </c>
      <c r="G110" s="31">
        <v>2.0310990912762636</v>
      </c>
      <c r="H110" s="13" t="s">
        <v>5</v>
      </c>
      <c r="I110" s="32">
        <v>0.188</v>
      </c>
      <c r="J110" s="32"/>
      <c r="K110" s="6">
        <v>2.50258E-5</v>
      </c>
      <c r="L110" s="14">
        <v>5695</v>
      </c>
      <c r="M110" s="31">
        <v>1.9804513013419314</v>
      </c>
      <c r="N110" s="13" t="s">
        <v>5</v>
      </c>
      <c r="O110" s="54">
        <f t="shared" si="2"/>
        <v>2.4544566611165055E-5</v>
      </c>
      <c r="P110" s="53">
        <f t="shared" si="3"/>
        <v>1.9606513997930494E-2</v>
      </c>
    </row>
    <row r="111" spans="1:16" ht="15.75" x14ac:dyDescent="0.3">
      <c r="A111" s="4" t="s">
        <v>15</v>
      </c>
      <c r="B111" s="14">
        <v>3365</v>
      </c>
      <c r="C111" s="30">
        <v>154</v>
      </c>
      <c r="D111" s="20">
        <v>1335</v>
      </c>
      <c r="E111" s="19">
        <v>0.83274397003745326</v>
      </c>
      <c r="F111" s="13">
        <v>44.91</v>
      </c>
      <c r="G111" s="31">
        <v>1.6715649852853085</v>
      </c>
      <c r="H111" s="13" t="s">
        <v>5</v>
      </c>
      <c r="I111" s="32">
        <v>0.39200000000000002</v>
      </c>
      <c r="J111" s="32"/>
      <c r="K111" s="6">
        <v>2.0557999999999999E-5</v>
      </c>
      <c r="L111" s="14">
        <v>5925</v>
      </c>
      <c r="M111" s="31">
        <v>1.6063696848506726</v>
      </c>
      <c r="N111" s="13" t="s">
        <v>5</v>
      </c>
      <c r="O111" s="54">
        <f t="shared" si="2"/>
        <v>2.1977290942618636E-5</v>
      </c>
      <c r="P111" s="53">
        <f t="shared" si="3"/>
        <v>6.4579885952473381E-2</v>
      </c>
    </row>
    <row r="112" spans="1:16" ht="15.75" x14ac:dyDescent="0.3">
      <c r="A112" s="4" t="s">
        <v>15</v>
      </c>
      <c r="B112" s="14">
        <v>3955</v>
      </c>
      <c r="C112" s="30">
        <v>159</v>
      </c>
      <c r="D112" s="20">
        <v>1882</v>
      </c>
      <c r="E112" s="19">
        <v>0.83111498405951112</v>
      </c>
      <c r="F112" s="13">
        <v>46.47</v>
      </c>
      <c r="G112" s="31">
        <v>1.9730000000000001</v>
      </c>
      <c r="H112" s="13" t="s">
        <v>5</v>
      </c>
      <c r="I112" s="32">
        <v>0.17299999999999999</v>
      </c>
      <c r="J112" s="32"/>
      <c r="K112" s="6">
        <v>2.7320860476648599E-5</v>
      </c>
      <c r="L112" s="14">
        <v>6115</v>
      </c>
      <c r="M112" s="31">
        <v>1.887</v>
      </c>
      <c r="N112" s="13" t="s">
        <v>5</v>
      </c>
      <c r="O112" s="54">
        <f t="shared" si="2"/>
        <v>2.7810211125642312E-5</v>
      </c>
      <c r="P112" s="53">
        <f t="shared" si="3"/>
        <v>1.7596078173693127E-2</v>
      </c>
    </row>
    <row r="113" spans="1:16" ht="15.75" x14ac:dyDescent="0.3">
      <c r="A113" s="4" t="s">
        <v>15</v>
      </c>
      <c r="B113" s="14">
        <v>4349</v>
      </c>
      <c r="C113" s="30">
        <v>148</v>
      </c>
      <c r="D113" s="20">
        <v>2038</v>
      </c>
      <c r="E113" s="19">
        <v>0.88824140253969686</v>
      </c>
      <c r="F113" s="13">
        <v>44.56</v>
      </c>
      <c r="G113" s="31">
        <v>2.0019999999999998</v>
      </c>
      <c r="H113" s="33" t="s">
        <v>5</v>
      </c>
      <c r="I113" s="32">
        <v>0.188</v>
      </c>
      <c r="J113" s="32"/>
      <c r="K113" s="6">
        <v>2.4738317170880355E-5</v>
      </c>
      <c r="L113" s="14">
        <v>6002</v>
      </c>
      <c r="M113" s="31">
        <v>1.9382999999999999</v>
      </c>
      <c r="N113" s="13" t="s">
        <v>5</v>
      </c>
      <c r="O113" s="54">
        <f t="shared" si="2"/>
        <v>2.4047767706196772E-5</v>
      </c>
      <c r="P113" s="53">
        <f t="shared" si="3"/>
        <v>2.8715740817208495E-2</v>
      </c>
    </row>
    <row r="114" spans="1:16" ht="15.75" x14ac:dyDescent="0.3">
      <c r="A114" s="4" t="s">
        <v>15</v>
      </c>
      <c r="B114" s="14">
        <v>3915</v>
      </c>
      <c r="C114" s="30">
        <v>154</v>
      </c>
      <c r="D114" s="20">
        <v>1759</v>
      </c>
      <c r="E114" s="19">
        <v>0.84009799161896836</v>
      </c>
      <c r="F114" s="13">
        <v>45.09</v>
      </c>
      <c r="G114" s="31">
        <v>1.8997852987184269</v>
      </c>
      <c r="H114" s="13" t="s">
        <v>5</v>
      </c>
      <c r="I114" s="32">
        <v>0.36199999999999999</v>
      </c>
      <c r="J114" s="32"/>
      <c r="K114" s="6">
        <v>2.5837527208457165E-5</v>
      </c>
      <c r="L114" s="14">
        <v>6002</v>
      </c>
      <c r="M114" s="31">
        <v>1.8224080208375946</v>
      </c>
      <c r="N114" s="13" t="s">
        <v>5</v>
      </c>
      <c r="O114" s="54">
        <f t="shared" si="2"/>
        <v>2.5143901873006817E-5</v>
      </c>
      <c r="P114" s="53">
        <f t="shared" si="3"/>
        <v>2.7586225039916642E-2</v>
      </c>
    </row>
    <row r="115" spans="1:16" ht="15.75" x14ac:dyDescent="0.3">
      <c r="A115" s="4" t="s">
        <v>15</v>
      </c>
      <c r="B115" s="14">
        <v>4133</v>
      </c>
      <c r="C115" s="30">
        <v>162</v>
      </c>
      <c r="D115" s="20">
        <v>2163</v>
      </c>
      <c r="E115" s="19">
        <v>0.84338973647711524</v>
      </c>
      <c r="F115" s="13">
        <v>47.21</v>
      </c>
      <c r="G115" s="31">
        <v>2.1421000000000001</v>
      </c>
      <c r="H115" s="13" t="s">
        <v>5</v>
      </c>
      <c r="I115" s="32">
        <v>0.17399999999999999</v>
      </c>
      <c r="J115" s="32"/>
      <c r="K115" s="6">
        <v>3.0348992576962501E-5</v>
      </c>
      <c r="L115" s="14">
        <v>6318</v>
      </c>
      <c r="M115" s="31">
        <v>2.0386000000000002</v>
      </c>
      <c r="N115" s="13" t="s">
        <v>5</v>
      </c>
      <c r="O115" s="54">
        <f t="shared" si="2"/>
        <v>3.0449508567318496E-5</v>
      </c>
      <c r="P115" s="53">
        <f t="shared" si="3"/>
        <v>3.301071021680761E-3</v>
      </c>
    </row>
    <row r="116" spans="1:16" ht="15.75" x14ac:dyDescent="0.3">
      <c r="A116" s="4" t="s">
        <v>15</v>
      </c>
      <c r="B116" s="14">
        <v>4397</v>
      </c>
      <c r="C116" s="30">
        <v>162</v>
      </c>
      <c r="D116" s="20">
        <v>2369</v>
      </c>
      <c r="E116" s="19">
        <v>0.80202568367570037</v>
      </c>
      <c r="F116" s="13">
        <v>47.8</v>
      </c>
      <c r="G116" s="31">
        <v>2.2797000000000001</v>
      </c>
      <c r="H116" s="13" t="s">
        <v>5</v>
      </c>
      <c r="I116" s="32">
        <v>0.155</v>
      </c>
      <c r="J116" s="32"/>
      <c r="K116" s="6">
        <v>3.2977396396851703E-5</v>
      </c>
      <c r="L116" s="14">
        <v>6724</v>
      </c>
      <c r="M116" s="31">
        <v>2.1575000000000002</v>
      </c>
      <c r="N116" s="13" t="s">
        <v>5</v>
      </c>
      <c r="O116" s="54">
        <f t="shared" si="2"/>
        <v>3.3055364179083179E-5</v>
      </c>
      <c r="P116" s="53">
        <f t="shared" si="3"/>
        <v>2.3587028661693644E-3</v>
      </c>
    </row>
    <row r="117" spans="1:16" ht="15.75" x14ac:dyDescent="0.3">
      <c r="A117" s="4" t="s">
        <v>15</v>
      </c>
      <c r="B117" s="5">
        <v>5706</v>
      </c>
      <c r="C117" s="5">
        <v>190</v>
      </c>
      <c r="D117" s="20">
        <f>(9115*1.1799+210)</f>
        <v>10964.788499999999</v>
      </c>
      <c r="E117" s="19">
        <f>(9115*1.1799*0.7354+85*0.8537+66*1.0042+31*1.183+27*1.3195)/(9115*1.1799+210)</f>
        <v>0.74057175502290817</v>
      </c>
      <c r="F117" s="17">
        <v>54.83</v>
      </c>
      <c r="G117" s="31" t="s">
        <v>5</v>
      </c>
      <c r="H117" s="5">
        <v>6.2258041928542069E-4</v>
      </c>
      <c r="I117" s="32" t="s">
        <v>5</v>
      </c>
      <c r="J117" s="32"/>
      <c r="K117" s="23">
        <v>5.9073348772862548E-5</v>
      </c>
      <c r="L117" s="5">
        <v>8703</v>
      </c>
      <c r="M117" s="31" t="s">
        <v>5</v>
      </c>
      <c r="N117" s="5">
        <v>5.4474318725192456E-4</v>
      </c>
      <c r="O117" s="54">
        <f t="shared" si="2"/>
        <v>7.318219591146166E-5</v>
      </c>
      <c r="P117" s="53">
        <f t="shared" si="3"/>
        <v>0.192790704936874</v>
      </c>
    </row>
    <row r="118" spans="1:16" ht="15.75" x14ac:dyDescent="0.3">
      <c r="A118" s="4" t="s">
        <v>15</v>
      </c>
      <c r="B118" s="5">
        <v>4809</v>
      </c>
      <c r="C118" s="5">
        <v>177</v>
      </c>
      <c r="D118" s="20">
        <f>4572*1.2006+231</f>
        <v>5720.1431999999995</v>
      </c>
      <c r="E118" s="19">
        <f>(4572*1.2006*0.7484+163*1.1376+34*1.2528+35*1.3791)/(4572*1.2006+231)</f>
        <v>0.76647858586477324</v>
      </c>
      <c r="F118" s="17">
        <v>52.46</v>
      </c>
      <c r="G118" s="31" t="s">
        <v>5</v>
      </c>
      <c r="H118" s="5">
        <v>6.7563458978845889E-4</v>
      </c>
      <c r="I118" s="32" t="s">
        <v>5</v>
      </c>
      <c r="J118" s="32"/>
      <c r="K118" s="23">
        <v>6.238986000591078E-5</v>
      </c>
      <c r="L118" s="5">
        <v>7549</v>
      </c>
      <c r="M118" s="31" t="s">
        <v>5</v>
      </c>
      <c r="N118" s="5">
        <v>6.0341290338152595E-4</v>
      </c>
      <c r="O118" s="54">
        <f t="shared" si="2"/>
        <v>6.2273759337627192E-5</v>
      </c>
      <c r="P118" s="53">
        <f t="shared" si="3"/>
        <v>1.8643593950082541E-3</v>
      </c>
    </row>
    <row r="119" spans="1:16" ht="15.75" x14ac:dyDescent="0.3">
      <c r="A119" s="4" t="s">
        <v>15</v>
      </c>
      <c r="B119" s="5">
        <v>4257</v>
      </c>
      <c r="C119" s="5">
        <v>165</v>
      </c>
      <c r="D119" s="22">
        <v>2453</v>
      </c>
      <c r="E119" s="19">
        <v>0.83708334249218064</v>
      </c>
      <c r="F119" s="17">
        <v>47.27</v>
      </c>
      <c r="G119" s="18">
        <v>2.3198206028112054</v>
      </c>
      <c r="H119" s="13" t="s">
        <v>5</v>
      </c>
      <c r="I119" s="36">
        <v>0.1697175980790222</v>
      </c>
      <c r="J119" s="36"/>
      <c r="K119" s="37">
        <v>3.4219600381535102E-5</v>
      </c>
      <c r="L119" s="5">
        <v>7334</v>
      </c>
      <c r="M119" s="18">
        <v>2.1651658959571254</v>
      </c>
      <c r="N119" s="13" t="s">
        <v>5</v>
      </c>
      <c r="O119" s="54">
        <f t="shared" si="2"/>
        <v>3.3546277659442659E-5</v>
      </c>
      <c r="P119" s="53">
        <f t="shared" si="3"/>
        <v>2.0071458566220824E-2</v>
      </c>
    </row>
    <row r="120" spans="1:16" ht="15.75" x14ac:dyDescent="0.3">
      <c r="A120" s="4" t="s">
        <v>15</v>
      </c>
      <c r="B120" s="5">
        <v>4127</v>
      </c>
      <c r="C120" s="5">
        <v>158</v>
      </c>
      <c r="D120" s="20">
        <v>2179.0347581216583</v>
      </c>
      <c r="E120" s="19">
        <v>0.82586756361566482</v>
      </c>
      <c r="F120" s="17">
        <v>47.86</v>
      </c>
      <c r="G120" s="18">
        <v>2.14110065649654</v>
      </c>
      <c r="H120" s="13" t="s">
        <v>5</v>
      </c>
      <c r="I120" s="36">
        <v>0.21029315067669996</v>
      </c>
      <c r="J120" s="36"/>
      <c r="K120" s="6">
        <v>2.9301800000000001E-5</v>
      </c>
      <c r="L120" s="5">
        <v>7426</v>
      </c>
      <c r="M120" s="18">
        <v>2.0040266297345735</v>
      </c>
      <c r="N120" s="13" t="s">
        <v>5</v>
      </c>
      <c r="O120" s="54">
        <f t="shared" si="2"/>
        <v>3.1257311764932632E-5</v>
      </c>
      <c r="P120" s="53">
        <f t="shared" si="3"/>
        <v>6.2561738502621533E-2</v>
      </c>
    </row>
    <row r="121" spans="1:16" ht="15.75" x14ac:dyDescent="0.3">
      <c r="A121" s="4" t="s">
        <v>15</v>
      </c>
      <c r="B121" s="5">
        <v>4503</v>
      </c>
      <c r="C121" s="5">
        <v>143</v>
      </c>
      <c r="D121" s="22">
        <v>2238</v>
      </c>
      <c r="E121" s="19">
        <v>0.80344012511170682</v>
      </c>
      <c r="F121" s="17">
        <v>47.09</v>
      </c>
      <c r="G121" s="5">
        <v>2.1539999999999999</v>
      </c>
      <c r="H121" s="13" t="s">
        <v>5</v>
      </c>
      <c r="I121" s="5">
        <v>0.17400000000000002</v>
      </c>
      <c r="J121" s="5"/>
      <c r="K121" s="21">
        <v>3.4412219858609198E-5</v>
      </c>
      <c r="L121" s="5">
        <v>4476</v>
      </c>
      <c r="M121" s="18">
        <v>2.4873492917847027</v>
      </c>
      <c r="N121" s="13" t="s">
        <v>5</v>
      </c>
      <c r="O121" s="54">
        <f t="shared" si="2"/>
        <v>2.895749287163302E-5</v>
      </c>
      <c r="P121" s="53">
        <f t="shared" si="3"/>
        <v>0.18837014002409269</v>
      </c>
    </row>
    <row r="122" spans="1:16" ht="15.75" x14ac:dyDescent="0.3">
      <c r="A122" s="4" t="s">
        <v>15</v>
      </c>
      <c r="B122" s="5">
        <v>4335</v>
      </c>
      <c r="C122" s="5">
        <v>135</v>
      </c>
      <c r="D122" s="22">
        <v>1973</v>
      </c>
      <c r="E122" s="19">
        <v>0.84994320263829215</v>
      </c>
      <c r="F122" s="17">
        <v>44.46</v>
      </c>
      <c r="G122" s="18">
        <v>2.0062134571101491</v>
      </c>
      <c r="H122" s="13" t="s">
        <v>5</v>
      </c>
      <c r="I122" s="5">
        <v>0.26300000000000001</v>
      </c>
      <c r="J122" s="5"/>
      <c r="K122" s="21">
        <v>2.3988000000000001E-5</v>
      </c>
      <c r="L122" s="5">
        <v>4275</v>
      </c>
      <c r="M122" s="18">
        <v>2.0122722217506217</v>
      </c>
      <c r="N122" s="13" t="s">
        <v>5</v>
      </c>
      <c r="O122" s="54">
        <f t="shared" si="2"/>
        <v>2.4108579718484978E-5</v>
      </c>
      <c r="P122" s="53">
        <f t="shared" si="3"/>
        <v>5.0015272526619933E-3</v>
      </c>
    </row>
    <row r="123" spans="1:16" ht="15.75" x14ac:dyDescent="0.3">
      <c r="A123" s="3" t="s">
        <v>14</v>
      </c>
      <c r="B123" s="24">
        <v>2900</v>
      </c>
      <c r="C123" s="5">
        <v>159</v>
      </c>
      <c r="D123" s="24">
        <v>1315</v>
      </c>
      <c r="E123" s="26">
        <v>0.89081440935686729</v>
      </c>
      <c r="F123" s="28">
        <v>43.6</v>
      </c>
      <c r="G123" s="26">
        <v>1.6970000000000001</v>
      </c>
      <c r="H123" s="13" t="s">
        <v>5</v>
      </c>
      <c r="I123" s="26">
        <v>0.316</v>
      </c>
      <c r="J123" s="7"/>
      <c r="K123" s="37">
        <v>1.35736506880662E-5</v>
      </c>
      <c r="L123" s="24">
        <v>4870</v>
      </c>
      <c r="M123" s="18">
        <v>1.6419999999999999</v>
      </c>
      <c r="N123" s="13" t="s">
        <v>5</v>
      </c>
      <c r="O123" s="54">
        <f t="shared" si="2"/>
        <v>2.2775786937316886E-5</v>
      </c>
      <c r="P123" s="53">
        <f t="shared" si="3"/>
        <v>0.40403153904524314</v>
      </c>
    </row>
    <row r="124" spans="1:16" ht="15.75" x14ac:dyDescent="0.3">
      <c r="A124" s="3" t="s">
        <v>14</v>
      </c>
      <c r="B124" s="24">
        <v>3584.9960000000001</v>
      </c>
      <c r="C124" s="5">
        <v>163</v>
      </c>
      <c r="D124" s="24">
        <v>1883.8370124237647</v>
      </c>
      <c r="E124" s="26">
        <v>0.78564357945546592</v>
      </c>
      <c r="F124" s="29">
        <v>47.771298521831739</v>
      </c>
      <c r="G124" s="26">
        <v>1.99739661192361</v>
      </c>
      <c r="H124" s="13" t="s">
        <v>5</v>
      </c>
      <c r="I124" s="26">
        <v>0.2286</v>
      </c>
      <c r="J124" s="7"/>
      <c r="K124" s="37">
        <v>1.6840000000000001E-5</v>
      </c>
      <c r="L124" s="24">
        <v>6015</v>
      </c>
      <c r="M124" s="18">
        <v>1.8919970656473581</v>
      </c>
      <c r="N124" s="13" t="s">
        <v>5</v>
      </c>
      <c r="O124" s="54">
        <f t="shared" si="2"/>
        <v>3.2990401722571299E-5</v>
      </c>
      <c r="P124" s="53">
        <f t="shared" si="3"/>
        <v>0.48954850136067157</v>
      </c>
    </row>
    <row r="125" spans="1:16" ht="15.75" x14ac:dyDescent="0.3">
      <c r="A125" s="3" t="s">
        <v>14</v>
      </c>
      <c r="B125" s="24">
        <v>3313</v>
      </c>
      <c r="C125" s="5">
        <v>157</v>
      </c>
      <c r="D125" s="24">
        <v>1077</v>
      </c>
      <c r="E125" s="26">
        <v>0.85875487465181055</v>
      </c>
      <c r="F125" s="28">
        <v>40.200000000000003</v>
      </c>
      <c r="G125" s="26">
        <v>1.5429999999999999</v>
      </c>
      <c r="H125" s="13" t="s">
        <v>5</v>
      </c>
      <c r="I125" s="26">
        <v>0.41899999999999998</v>
      </c>
      <c r="J125" s="7"/>
      <c r="K125" s="37">
        <v>1.2187330891871359E-5</v>
      </c>
      <c r="L125" s="25">
        <v>4526.6959999999999</v>
      </c>
      <c r="M125" s="18">
        <v>1.5166742807596807</v>
      </c>
      <c r="N125" s="13" t="s">
        <v>5</v>
      </c>
      <c r="O125" s="54">
        <f t="shared" si="2"/>
        <v>1.6441152679916023E-5</v>
      </c>
      <c r="P125" s="53">
        <f t="shared" si="3"/>
        <v>0.25873014324847149</v>
      </c>
    </row>
    <row r="126" spans="1:16" ht="15.75" x14ac:dyDescent="0.3">
      <c r="A126" s="3" t="s">
        <v>14</v>
      </c>
      <c r="B126" s="24">
        <v>2551</v>
      </c>
      <c r="C126" s="5">
        <v>151</v>
      </c>
      <c r="D126" s="24">
        <v>828</v>
      </c>
      <c r="E126" s="26">
        <v>0.89849999999999997</v>
      </c>
      <c r="F126" s="28">
        <v>40.700000000000003</v>
      </c>
      <c r="G126" s="26">
        <v>1.427</v>
      </c>
      <c r="H126" s="13" t="s">
        <v>5</v>
      </c>
      <c r="I126" s="26">
        <v>0.51100000000000001</v>
      </c>
      <c r="J126" s="7"/>
      <c r="K126" s="37">
        <v>1.1764543174783324E-5</v>
      </c>
      <c r="L126" s="24">
        <v>3410</v>
      </c>
      <c r="M126" s="18">
        <v>1.411303</v>
      </c>
      <c r="N126" s="13" t="s">
        <v>5</v>
      </c>
      <c r="O126" s="54">
        <f t="shared" si="2"/>
        <v>1.4157184601491588E-5</v>
      </c>
      <c r="P126" s="53">
        <f t="shared" si="3"/>
        <v>0.16900545511401871</v>
      </c>
    </row>
    <row r="127" spans="1:16" ht="15.75" x14ac:dyDescent="0.3">
      <c r="A127" s="3" t="s">
        <v>14</v>
      </c>
      <c r="B127" s="24">
        <v>2528</v>
      </c>
      <c r="C127" s="5">
        <v>153</v>
      </c>
      <c r="D127" s="24">
        <v>824</v>
      </c>
      <c r="E127" s="27">
        <v>0.87901334951456311</v>
      </c>
      <c r="F127" s="28">
        <v>39.299999999999997</v>
      </c>
      <c r="G127" s="26">
        <v>1.45</v>
      </c>
      <c r="H127" s="13" t="s">
        <v>5</v>
      </c>
      <c r="I127" s="26">
        <v>0.48899999999999999</v>
      </c>
      <c r="J127" s="7"/>
      <c r="K127" s="37">
        <v>1.11352235969781E-5</v>
      </c>
      <c r="L127" s="24">
        <v>3515</v>
      </c>
      <c r="M127" s="18">
        <v>1.4324304762790159</v>
      </c>
      <c r="N127" s="13" t="s">
        <v>5</v>
      </c>
      <c r="O127" s="54">
        <f t="shared" si="2"/>
        <v>1.4605703729166271E-5</v>
      </c>
      <c r="P127" s="53">
        <f t="shared" si="3"/>
        <v>0.23761129189947452</v>
      </c>
    </row>
    <row r="128" spans="1:16" ht="15.75" x14ac:dyDescent="0.3">
      <c r="A128" s="3" t="s">
        <v>14</v>
      </c>
      <c r="B128" s="24">
        <v>2562</v>
      </c>
      <c r="C128" s="5">
        <v>153</v>
      </c>
      <c r="D128" s="24">
        <v>878</v>
      </c>
      <c r="E128" s="27">
        <v>0.86815831435079716</v>
      </c>
      <c r="F128" s="28">
        <v>42.6</v>
      </c>
      <c r="G128" s="26">
        <v>1.4550000000000001</v>
      </c>
      <c r="H128" s="13" t="s">
        <v>5</v>
      </c>
      <c r="I128" s="26">
        <v>0.41299999999999998</v>
      </c>
      <c r="J128" s="7"/>
      <c r="K128" s="37">
        <v>1.23589010327442E-5</v>
      </c>
      <c r="L128" s="24">
        <v>3635</v>
      </c>
      <c r="M128" s="18">
        <v>1.4338039390944741</v>
      </c>
      <c r="N128" s="13" t="s">
        <v>5</v>
      </c>
      <c r="O128" s="54">
        <f t="shared" si="2"/>
        <v>1.6177145093161286E-5</v>
      </c>
      <c r="P128" s="53">
        <f t="shared" si="3"/>
        <v>0.23602706401089318</v>
      </c>
    </row>
    <row r="129" spans="1:16" ht="15.75" x14ac:dyDescent="0.3">
      <c r="A129" s="3" t="s">
        <v>14</v>
      </c>
      <c r="B129" s="24">
        <v>1714.9959999999999</v>
      </c>
      <c r="C129" s="5">
        <v>170</v>
      </c>
      <c r="D129" s="25">
        <v>461</v>
      </c>
      <c r="E129" s="27">
        <v>0.98686008676789583</v>
      </c>
      <c r="F129" s="29">
        <v>38.33</v>
      </c>
      <c r="G129" s="26">
        <v>1.2956000000000001</v>
      </c>
      <c r="H129" s="13" t="s">
        <v>5</v>
      </c>
      <c r="I129" s="26">
        <v>0.98399999999999999</v>
      </c>
      <c r="J129" s="7"/>
      <c r="K129" s="37">
        <v>8.3399999999999998E-6</v>
      </c>
      <c r="L129" s="24">
        <v>4814.9960000000001</v>
      </c>
      <c r="M129" s="18">
        <v>1.2562137600000001</v>
      </c>
      <c r="N129" s="13" t="s">
        <v>5</v>
      </c>
      <c r="O129" s="54">
        <f t="shared" si="2"/>
        <v>8.665294579685385E-6</v>
      </c>
      <c r="P129" s="53">
        <f t="shared" si="3"/>
        <v>3.7539933200654768E-2</v>
      </c>
    </row>
    <row r="130" spans="1:16" ht="15.75" x14ac:dyDescent="0.3">
      <c r="A130" s="3" t="s">
        <v>14</v>
      </c>
      <c r="B130" s="24">
        <v>1614.9959999999999</v>
      </c>
      <c r="C130" s="5">
        <v>165</v>
      </c>
      <c r="D130" s="25">
        <v>441</v>
      </c>
      <c r="E130" s="27">
        <v>0.9594061224489796</v>
      </c>
      <c r="F130" s="29">
        <v>37.9</v>
      </c>
      <c r="G130" s="26">
        <v>1.2822</v>
      </c>
      <c r="H130" s="13" t="s">
        <v>5</v>
      </c>
      <c r="I130" s="26">
        <v>0.91500000000000004</v>
      </c>
      <c r="J130" s="7"/>
      <c r="K130" s="37">
        <v>8.8419999999999994E-6</v>
      </c>
      <c r="L130" s="24">
        <v>3964.9960000000001</v>
      </c>
      <c r="M130" s="18">
        <v>1.2518759700000002</v>
      </c>
      <c r="N130" s="13" t="s">
        <v>5</v>
      </c>
      <c r="O130" s="54">
        <f t="shared" si="2"/>
        <v>8.8442230447987666E-6</v>
      </c>
      <c r="P130" s="53">
        <f t="shared" si="3"/>
        <v>2.5135557838227245E-4</v>
      </c>
    </row>
    <row r="131" spans="1:16" ht="15.75" x14ac:dyDescent="0.3">
      <c r="A131" s="3" t="s">
        <v>14</v>
      </c>
      <c r="B131" s="24">
        <v>3575</v>
      </c>
      <c r="C131" s="5">
        <v>151</v>
      </c>
      <c r="D131" s="24">
        <v>1428</v>
      </c>
      <c r="E131" s="27">
        <v>0.83362575680739615</v>
      </c>
      <c r="F131" s="28">
        <v>44.7</v>
      </c>
      <c r="G131" s="26">
        <v>1.712</v>
      </c>
      <c r="H131" s="13" t="s">
        <v>5</v>
      </c>
      <c r="I131" s="26">
        <v>0.309</v>
      </c>
      <c r="J131" s="7"/>
      <c r="K131" s="37">
        <v>1.29747949764333E-5</v>
      </c>
      <c r="L131" s="24">
        <v>5518</v>
      </c>
      <c r="M131" s="18">
        <v>1.6586662469385278</v>
      </c>
      <c r="N131" s="13" t="s">
        <v>5</v>
      </c>
      <c r="O131" s="54">
        <f t="shared" si="2"/>
        <v>2.2065610609023718E-5</v>
      </c>
      <c r="P131" s="53">
        <f t="shared" si="3"/>
        <v>0.41199021380685175</v>
      </c>
    </row>
    <row r="132" spans="1:16" ht="15.75" x14ac:dyDescent="0.3">
      <c r="A132" s="3" t="s">
        <v>14</v>
      </c>
      <c r="B132" s="24">
        <v>3131</v>
      </c>
      <c r="C132" s="5">
        <v>161</v>
      </c>
      <c r="D132" s="24">
        <v>1124</v>
      </c>
      <c r="E132" s="27">
        <v>0.85542971530249112</v>
      </c>
      <c r="F132" s="28">
        <v>43.6</v>
      </c>
      <c r="G132" s="26">
        <v>1.5860000000000001</v>
      </c>
      <c r="H132" s="13" t="s">
        <v>5</v>
      </c>
      <c r="I132" s="26">
        <v>0.376</v>
      </c>
      <c r="J132" s="7"/>
      <c r="K132" s="37">
        <v>1.23492033978367E-5</v>
      </c>
      <c r="L132" s="24">
        <v>5009</v>
      </c>
      <c r="M132" s="18">
        <v>1.5429931315257974</v>
      </c>
      <c r="N132" s="13" t="s">
        <v>5</v>
      </c>
      <c r="O132" s="54">
        <f t="shared" si="2"/>
        <v>1.9018778628077639E-5</v>
      </c>
      <c r="P132" s="53">
        <f t="shared" si="3"/>
        <v>0.35068367746783535</v>
      </c>
    </row>
    <row r="133" spans="1:16" ht="15.75" x14ac:dyDescent="0.3">
      <c r="A133" s="3" t="s">
        <v>14</v>
      </c>
      <c r="B133" s="24">
        <v>2992</v>
      </c>
      <c r="C133" s="5">
        <v>160</v>
      </c>
      <c r="D133" s="24">
        <v>1178</v>
      </c>
      <c r="E133" s="27">
        <v>0.87219552541973877</v>
      </c>
      <c r="F133" s="28">
        <v>44.4</v>
      </c>
      <c r="G133" s="26">
        <v>1.6619999999999999</v>
      </c>
      <c r="H133" s="13" t="s">
        <v>5</v>
      </c>
      <c r="I133" s="26">
        <v>0.313</v>
      </c>
      <c r="J133" s="7"/>
      <c r="K133" s="37">
        <v>1.2937006721061701E-5</v>
      </c>
      <c r="L133" s="24">
        <v>5050</v>
      </c>
      <c r="M133" s="18">
        <v>1.6067700795736513</v>
      </c>
      <c r="N133" s="13" t="s">
        <v>5</v>
      </c>
      <c r="O133" s="54">
        <f t="shared" si="2"/>
        <v>2.0500557336566353E-5</v>
      </c>
      <c r="P133" s="53">
        <f t="shared" si="3"/>
        <v>0.36894365803478568</v>
      </c>
    </row>
    <row r="134" spans="1:16" ht="15.75" x14ac:dyDescent="0.3">
      <c r="A134" s="3" t="s">
        <v>14</v>
      </c>
      <c r="B134" s="24">
        <v>1614.9959999999999</v>
      </c>
      <c r="C134" s="5">
        <v>175</v>
      </c>
      <c r="D134" s="25">
        <v>440</v>
      </c>
      <c r="E134" s="27">
        <v>0.97651249999999989</v>
      </c>
      <c r="F134" s="29">
        <v>37.82</v>
      </c>
      <c r="G134" s="26">
        <v>1.2887999999999999</v>
      </c>
      <c r="H134" s="13" t="s">
        <v>5</v>
      </c>
      <c r="I134" s="27">
        <v>1.107</v>
      </c>
      <c r="J134" s="7"/>
      <c r="K134" s="37">
        <v>7.8406999999999993E-6</v>
      </c>
      <c r="L134" s="24">
        <v>5514.9960000000001</v>
      </c>
      <c r="M134" s="18">
        <v>1.2410628480000001</v>
      </c>
      <c r="N134" s="13" t="s">
        <v>5</v>
      </c>
      <c r="O134" s="54">
        <f t="shared" si="2"/>
        <v>8.9689298165643259E-6</v>
      </c>
      <c r="P134" s="53">
        <f t="shared" si="3"/>
        <v>0.12579313693375638</v>
      </c>
    </row>
    <row r="135" spans="1:16" ht="15.75" x14ac:dyDescent="0.3">
      <c r="A135" s="3" t="s">
        <v>14</v>
      </c>
      <c r="B135" s="40">
        <v>3629</v>
      </c>
      <c r="C135" s="5">
        <v>156</v>
      </c>
      <c r="D135" s="24">
        <v>1477</v>
      </c>
      <c r="E135" s="27">
        <v>0.82269146712161434</v>
      </c>
      <c r="F135" s="28">
        <v>44</v>
      </c>
      <c r="G135" s="26">
        <v>1.7509999999999999</v>
      </c>
      <c r="H135" s="13" t="s">
        <v>5</v>
      </c>
      <c r="I135" s="26">
        <v>0.314</v>
      </c>
      <c r="J135" s="7"/>
      <c r="K135" s="37">
        <v>1.33689711230295E-5</v>
      </c>
      <c r="L135" s="24">
        <v>5723</v>
      </c>
      <c r="M135" s="18">
        <v>1.6913580368436223</v>
      </c>
      <c r="N135" s="13" t="s">
        <v>5</v>
      </c>
      <c r="O135" s="54">
        <f t="shared" si="2"/>
        <v>2.298559365960337E-5</v>
      </c>
      <c r="P135" s="53">
        <f t="shared" si="3"/>
        <v>0.41837607846843883</v>
      </c>
    </row>
    <row r="136" spans="1:16" ht="15.75" x14ac:dyDescent="0.3">
      <c r="A136" s="3" t="s">
        <v>14</v>
      </c>
      <c r="B136" s="24">
        <v>2788</v>
      </c>
      <c r="C136" s="5">
        <v>159</v>
      </c>
      <c r="D136" s="24">
        <v>933</v>
      </c>
      <c r="E136" s="27">
        <v>0.84155519828510184</v>
      </c>
      <c r="F136" s="28">
        <v>41.1</v>
      </c>
      <c r="G136" s="26">
        <v>1.488</v>
      </c>
      <c r="H136" s="13" t="s">
        <v>5</v>
      </c>
      <c r="I136" s="26">
        <v>0.47299999999999998</v>
      </c>
      <c r="J136" s="7"/>
      <c r="K136" s="37">
        <v>1.03509031269858E-5</v>
      </c>
      <c r="L136" s="24">
        <v>4765</v>
      </c>
      <c r="M136" s="18">
        <v>1.4520069311395036</v>
      </c>
      <c r="N136" s="13" t="s">
        <v>5</v>
      </c>
      <c r="O136" s="54">
        <f t="shared" si="2"/>
        <v>1.6832845814382845E-5</v>
      </c>
      <c r="P136" s="53">
        <f t="shared" si="3"/>
        <v>0.38507705463912356</v>
      </c>
    </row>
    <row r="137" spans="1:16" ht="15.75" x14ac:dyDescent="0.3">
      <c r="A137" s="3" t="s">
        <v>14</v>
      </c>
      <c r="B137" s="24">
        <v>3482</v>
      </c>
      <c r="C137" s="5">
        <v>165</v>
      </c>
      <c r="D137" s="24">
        <v>1482</v>
      </c>
      <c r="E137" s="27">
        <v>0.84429487179487173</v>
      </c>
      <c r="F137" s="28">
        <v>44.3</v>
      </c>
      <c r="G137" s="26">
        <v>1.7769999999999999</v>
      </c>
      <c r="H137" s="13" t="s">
        <v>5</v>
      </c>
      <c r="I137" s="26">
        <v>0.27500000000000002</v>
      </c>
      <c r="J137" s="7"/>
      <c r="K137" s="37">
        <v>1.36840244771081E-5</v>
      </c>
      <c r="L137" s="24">
        <v>5895</v>
      </c>
      <c r="M137" s="18">
        <v>1.7033367934411385</v>
      </c>
      <c r="N137" s="13" t="s">
        <v>5</v>
      </c>
      <c r="O137" s="54">
        <f t="shared" si="2"/>
        <v>2.4108103791328231E-5</v>
      </c>
      <c r="P137" s="53">
        <f t="shared" si="3"/>
        <v>0.43238901758709486</v>
      </c>
    </row>
    <row r="138" spans="1:16" ht="15.75" x14ac:dyDescent="0.3">
      <c r="A138" s="3" t="s">
        <v>14</v>
      </c>
      <c r="B138" s="24">
        <v>2976</v>
      </c>
      <c r="C138" s="5">
        <v>157</v>
      </c>
      <c r="D138" s="24">
        <v>1010</v>
      </c>
      <c r="E138" s="27">
        <v>0.84965544554455452</v>
      </c>
      <c r="F138" s="28">
        <v>42.2</v>
      </c>
      <c r="G138" s="26">
        <v>1.5229999999999999</v>
      </c>
      <c r="H138" s="13" t="s">
        <v>5</v>
      </c>
      <c r="I138" s="26">
        <v>0.35599999999999998</v>
      </c>
      <c r="J138" s="7"/>
      <c r="K138" s="37">
        <v>1.1999722138184901E-5</v>
      </c>
      <c r="L138" s="24">
        <v>4420</v>
      </c>
      <c r="M138" s="18">
        <v>1.4927313190414608</v>
      </c>
      <c r="N138" s="13" t="s">
        <v>5</v>
      </c>
      <c r="O138" s="54">
        <f t="shared" si="2"/>
        <v>1.725943829258205E-5</v>
      </c>
      <c r="P138" s="53">
        <f t="shared" si="3"/>
        <v>0.30474434134149819</v>
      </c>
    </row>
    <row r="139" spans="1:16" ht="15.75" x14ac:dyDescent="0.3">
      <c r="A139" s="3" t="s">
        <v>14</v>
      </c>
      <c r="B139" s="24">
        <v>2814.6959999999999</v>
      </c>
      <c r="C139" s="5">
        <v>159</v>
      </c>
      <c r="D139" s="25">
        <v>872</v>
      </c>
      <c r="E139" s="27">
        <f>(811*0.799+61*1.333)/(872)</f>
        <v>0.83635550458715602</v>
      </c>
      <c r="F139" s="29">
        <v>42.44</v>
      </c>
      <c r="G139" s="26">
        <v>1.4717</v>
      </c>
      <c r="H139" s="13" t="s">
        <v>5</v>
      </c>
      <c r="I139" s="26">
        <v>0.52</v>
      </c>
      <c r="J139" s="7"/>
      <c r="K139" s="37">
        <v>1.2483066538382099E-5</v>
      </c>
      <c r="L139" s="24">
        <v>4264.6959999999999</v>
      </c>
      <c r="M139" s="18">
        <v>1.4417672892184066</v>
      </c>
      <c r="N139" s="13" t="s">
        <v>5</v>
      </c>
      <c r="O139" s="54">
        <f t="shared" si="2"/>
        <v>1.5663429406775666E-5</v>
      </c>
      <c r="P139" s="53">
        <f t="shared" si="3"/>
        <v>0.20304384089845673</v>
      </c>
    </row>
    <row r="140" spans="1:16" ht="15.75" x14ac:dyDescent="0.3">
      <c r="A140" s="3" t="s">
        <v>14</v>
      </c>
      <c r="B140" s="24">
        <v>2364.6959999999999</v>
      </c>
      <c r="C140" s="5">
        <v>156</v>
      </c>
      <c r="D140" s="25">
        <v>779</v>
      </c>
      <c r="E140" s="27">
        <v>0.83803829145728648</v>
      </c>
      <c r="F140" s="29">
        <v>41.48</v>
      </c>
      <c r="G140" s="26">
        <v>1.4186000000000001</v>
      </c>
      <c r="H140" s="13" t="s">
        <v>5</v>
      </c>
      <c r="I140" s="26">
        <v>0.624</v>
      </c>
      <c r="J140" s="7"/>
      <c r="K140" s="37">
        <v>1.13891928347361E-5</v>
      </c>
      <c r="L140" s="24">
        <v>4087.6959999999999</v>
      </c>
      <c r="M140" s="18">
        <v>1.3859980276738082</v>
      </c>
      <c r="N140" s="13" t="s">
        <v>5</v>
      </c>
      <c r="O140" s="54">
        <f t="shared" si="2"/>
        <v>1.5660271957470679E-5</v>
      </c>
      <c r="P140" s="53">
        <f t="shared" si="3"/>
        <v>0.27273339405176011</v>
      </c>
    </row>
    <row r="141" spans="1:16" ht="15.75" x14ac:dyDescent="0.3">
      <c r="A141" s="3" t="s">
        <v>14</v>
      </c>
      <c r="B141" s="24">
        <v>2988</v>
      </c>
      <c r="C141" s="5">
        <v>165</v>
      </c>
      <c r="D141" s="24">
        <v>1147</v>
      </c>
      <c r="E141" s="27">
        <v>0.87540818768020245</v>
      </c>
      <c r="F141" s="28">
        <v>44</v>
      </c>
      <c r="G141" s="26">
        <v>1.649</v>
      </c>
      <c r="H141" s="13" t="s">
        <v>5</v>
      </c>
      <c r="I141" s="26">
        <v>0.36799999999999999</v>
      </c>
      <c r="J141" s="7"/>
      <c r="K141" s="37">
        <v>1.0355057978956E-5</v>
      </c>
      <c r="L141" s="24">
        <v>6566</v>
      </c>
      <c r="M141" s="18">
        <v>1.5684215927998539</v>
      </c>
      <c r="N141" s="13" t="s">
        <v>5</v>
      </c>
      <c r="O141" s="54">
        <f t="shared" si="2"/>
        <v>2.0123567707797131E-5</v>
      </c>
      <c r="P141" s="53">
        <f t="shared" si="3"/>
        <v>0.4854263354631792</v>
      </c>
    </row>
    <row r="142" spans="1:16" ht="15.75" x14ac:dyDescent="0.3">
      <c r="A142" s="3" t="s">
        <v>14</v>
      </c>
      <c r="B142" s="24">
        <v>2327</v>
      </c>
      <c r="C142" s="5">
        <v>158</v>
      </c>
      <c r="D142" s="24">
        <v>734</v>
      </c>
      <c r="E142" s="27">
        <v>0.8943024523160763</v>
      </c>
      <c r="F142" s="28">
        <v>41.7</v>
      </c>
      <c r="G142" s="26">
        <v>1.4</v>
      </c>
      <c r="H142" s="13" t="s">
        <v>5</v>
      </c>
      <c r="I142" s="26">
        <v>0.55100000000000005</v>
      </c>
      <c r="J142" s="7"/>
      <c r="K142" s="37">
        <v>8.9183311020334792E-6</v>
      </c>
      <c r="L142" s="24">
        <v>4740</v>
      </c>
      <c r="M142" s="18">
        <v>1.364527444861539</v>
      </c>
      <c r="N142" s="13" t="s">
        <v>5</v>
      </c>
      <c r="O142" s="54">
        <f t="shared" si="2"/>
        <v>1.3731241277716324E-5</v>
      </c>
      <c r="P142" s="53">
        <f t="shared" si="3"/>
        <v>0.3505080187829378</v>
      </c>
    </row>
    <row r="143" spans="1:16" ht="15.75" x14ac:dyDescent="0.3">
      <c r="A143" s="3" t="s">
        <v>14</v>
      </c>
      <c r="B143" s="24">
        <v>3841.6959999999999</v>
      </c>
      <c r="C143" s="5">
        <v>161</v>
      </c>
      <c r="D143" s="24">
        <v>1908</v>
      </c>
      <c r="E143" s="27">
        <v>0.83407938415369509</v>
      </c>
      <c r="F143" s="28">
        <v>45.2</v>
      </c>
      <c r="G143" s="26">
        <v>1.98</v>
      </c>
      <c r="H143" s="13" t="s">
        <v>5</v>
      </c>
      <c r="I143" s="26">
        <v>0.24199999999999999</v>
      </c>
      <c r="J143" s="7"/>
      <c r="K143" s="37">
        <v>1.32050964869255E-5</v>
      </c>
      <c r="L143" s="24">
        <v>6914.9960000000001</v>
      </c>
      <c r="M143" s="18">
        <v>1.8716608335340812</v>
      </c>
      <c r="N143" s="13" t="s">
        <v>5</v>
      </c>
      <c r="O143" s="54">
        <f t="shared" si="2"/>
        <v>2.8404642334678988E-5</v>
      </c>
      <c r="P143" s="53">
        <f t="shared" si="3"/>
        <v>0.53510780627561327</v>
      </c>
    </row>
    <row r="144" spans="1:16" ht="15.75" x14ac:dyDescent="0.3">
      <c r="A144" s="3" t="s">
        <v>14</v>
      </c>
      <c r="B144" s="25">
        <v>3452</v>
      </c>
      <c r="C144" s="5">
        <v>175</v>
      </c>
      <c r="D144" s="24">
        <v>1446</v>
      </c>
      <c r="E144" s="27">
        <v>0.84904356846473017</v>
      </c>
      <c r="F144" s="28">
        <v>45.4</v>
      </c>
      <c r="G144" s="26">
        <v>1.7769999999999999</v>
      </c>
      <c r="H144" s="13" t="s">
        <v>5</v>
      </c>
      <c r="I144" s="26">
        <v>0.28531483083514203</v>
      </c>
      <c r="J144" s="7"/>
      <c r="K144" s="37">
        <v>1.2663605579472001E-5</v>
      </c>
      <c r="L144" s="24">
        <v>6530</v>
      </c>
      <c r="M144" s="18">
        <v>1.6875706647617661</v>
      </c>
      <c r="N144" s="13" t="s">
        <v>5</v>
      </c>
      <c r="O144" s="54">
        <f t="shared" si="2"/>
        <v>2.4946133607853108E-5</v>
      </c>
      <c r="P144" s="53">
        <f t="shared" si="3"/>
        <v>0.49236199170017014</v>
      </c>
    </row>
    <row r="145" spans="1:16" ht="15.75" x14ac:dyDescent="0.3">
      <c r="A145" s="3" t="s">
        <v>14</v>
      </c>
      <c r="B145" s="24">
        <v>2774.6959999999999</v>
      </c>
      <c r="C145" s="5">
        <v>183</v>
      </c>
      <c r="D145" s="24">
        <v>1062</v>
      </c>
      <c r="E145" s="26">
        <v>0.88906403013182678</v>
      </c>
      <c r="F145" s="29">
        <v>43.58</v>
      </c>
      <c r="G145" s="26">
        <v>1.6372</v>
      </c>
      <c r="H145" s="13" t="s">
        <v>5</v>
      </c>
      <c r="I145" s="26">
        <v>0.29499999999999998</v>
      </c>
      <c r="J145" s="7"/>
      <c r="K145" s="39">
        <v>1.43895E-5</v>
      </c>
      <c r="L145" s="24">
        <v>5314.6959999999999</v>
      </c>
      <c r="M145" s="18">
        <v>1.5641317640000001</v>
      </c>
      <c r="N145" s="13" t="s">
        <v>5</v>
      </c>
      <c r="O145" s="54">
        <f t="shared" si="2"/>
        <v>2.0908709502018979E-5</v>
      </c>
      <c r="P145" s="53">
        <f t="shared" si="3"/>
        <v>0.31179396802990034</v>
      </c>
    </row>
    <row r="146" spans="1:16" ht="15.75" x14ac:dyDescent="0.3">
      <c r="A146" s="3" t="s">
        <v>14</v>
      </c>
      <c r="B146" s="24">
        <v>2737</v>
      </c>
      <c r="C146" s="5">
        <v>180</v>
      </c>
      <c r="D146" s="24">
        <v>1028</v>
      </c>
      <c r="E146" s="27">
        <f>(923*0.844+105*1.292)/1028</f>
        <v>0.88975875486381317</v>
      </c>
      <c r="F146" s="29">
        <v>44.1</v>
      </c>
      <c r="G146" s="26">
        <v>1.5669999999999999</v>
      </c>
      <c r="H146" s="13" t="s">
        <v>5</v>
      </c>
      <c r="I146" s="26">
        <v>0.40500000000000003</v>
      </c>
      <c r="J146" s="7"/>
      <c r="K146" s="39">
        <v>1.013E-5</v>
      </c>
      <c r="L146" s="24">
        <v>6500</v>
      </c>
      <c r="M146" s="18">
        <v>1.4873964</v>
      </c>
      <c r="N146" s="13" t="s">
        <v>5</v>
      </c>
      <c r="O146" s="54">
        <f t="shared" si="2"/>
        <v>2.0200057949229745E-5</v>
      </c>
      <c r="P146" s="53">
        <f t="shared" si="3"/>
        <v>0.49851629012845133</v>
      </c>
    </row>
    <row r="147" spans="1:16" ht="15.75" x14ac:dyDescent="0.3">
      <c r="A147" s="3" t="s">
        <v>14</v>
      </c>
      <c r="B147" s="24">
        <v>2665</v>
      </c>
      <c r="C147" s="5">
        <v>190</v>
      </c>
      <c r="D147" s="24">
        <v>875.9778633928637</v>
      </c>
      <c r="E147" s="26">
        <v>0.89860640942942094</v>
      </c>
      <c r="F147" s="29">
        <v>42.1</v>
      </c>
      <c r="G147" s="26">
        <v>1.5273526321529347</v>
      </c>
      <c r="H147" s="13" t="s">
        <v>5</v>
      </c>
      <c r="I147" s="26">
        <v>0.53227000000000002</v>
      </c>
      <c r="J147" s="7"/>
      <c r="K147" s="37">
        <v>1.2567876612644101E-5</v>
      </c>
      <c r="L147" s="24">
        <v>4915</v>
      </c>
      <c r="M147" s="18">
        <v>1.4758874998425713</v>
      </c>
      <c r="N147" s="13" t="s">
        <v>5</v>
      </c>
      <c r="O147" s="54">
        <f t="shared" si="2"/>
        <v>1.7477799004435686E-5</v>
      </c>
      <c r="P147" s="53">
        <f t="shared" si="3"/>
        <v>0.2809233811731956</v>
      </c>
    </row>
    <row r="148" spans="1:16" ht="15.75" x14ac:dyDescent="0.3">
      <c r="A148" s="3" t="s">
        <v>14</v>
      </c>
      <c r="B148" s="24">
        <v>2665</v>
      </c>
      <c r="C148" s="5">
        <v>180</v>
      </c>
      <c r="D148" s="24">
        <v>878.71586985293175</v>
      </c>
      <c r="E148" s="26">
        <v>0.91390951743438698</v>
      </c>
      <c r="F148" s="29">
        <v>40.200000000000003</v>
      </c>
      <c r="G148" s="26">
        <v>1.5162559439861154</v>
      </c>
      <c r="H148" s="13" t="s">
        <v>5</v>
      </c>
      <c r="I148" s="26">
        <v>0.52621000000000007</v>
      </c>
      <c r="J148" s="7"/>
      <c r="K148" s="37">
        <v>1.2270322886207972E-5</v>
      </c>
      <c r="L148" s="24">
        <v>4845</v>
      </c>
      <c r="M148" s="18">
        <v>1.4687980739335071</v>
      </c>
      <c r="N148" s="13" t="s">
        <v>5</v>
      </c>
      <c r="O148" s="54">
        <f t="shared" si="2"/>
        <v>1.6045468302141897E-5</v>
      </c>
      <c r="P148" s="53">
        <f t="shared" si="3"/>
        <v>0.23527798284516155</v>
      </c>
    </row>
    <row r="149" spans="1:16" ht="15.75" x14ac:dyDescent="0.3">
      <c r="A149" s="3" t="s">
        <v>14</v>
      </c>
      <c r="B149" s="24">
        <v>2765</v>
      </c>
      <c r="C149" s="5">
        <v>175</v>
      </c>
      <c r="D149" s="24">
        <v>893.50580230451294</v>
      </c>
      <c r="E149" s="26">
        <v>0.91801860641097199</v>
      </c>
      <c r="F149" s="29">
        <v>39.619999999999997</v>
      </c>
      <c r="G149" s="26">
        <v>1.5156247720052562</v>
      </c>
      <c r="H149" s="13" t="s">
        <v>5</v>
      </c>
      <c r="I149" s="26">
        <v>0.51300000000000001</v>
      </c>
      <c r="J149" s="7"/>
      <c r="K149" s="37">
        <v>1.5213107546419976E-5</v>
      </c>
      <c r="L149" s="24">
        <v>3360</v>
      </c>
      <c r="M149" s="18">
        <v>1.5010495080908535</v>
      </c>
      <c r="N149" s="13" t="s">
        <v>5</v>
      </c>
      <c r="O149" s="54">
        <f t="shared" ref="O149:O173" si="4">EXP(    ($B$1+$B$2*LN(C149) + $B$3*LN(C149)^2)   *   ($B$4+$B$5*LN(F149) +$B$6*LN(F149)^2)    *  ($B$7+$B$8*LN(D149) +$B$9*LN(D149)^2)    *  ($B$10+$B$11*LN(E149) +$B$12*LN(E149)^2)   *  ($B$13+$B$14*LN(B149) +$B$15*LN(B149)^2)   )</f>
        <v>1.5312323931234848E-5</v>
      </c>
      <c r="P149" s="53">
        <f t="shared" ref="P149:P173" si="5">ABS((K149-O149)/O149)</f>
        <v>6.479511879479336E-3</v>
      </c>
    </row>
    <row r="150" spans="1:16" ht="15.75" x14ac:dyDescent="0.3">
      <c r="A150" s="3" t="s">
        <v>14</v>
      </c>
      <c r="B150" s="24">
        <v>2665</v>
      </c>
      <c r="C150" s="5">
        <v>125</v>
      </c>
      <c r="D150" s="24">
        <v>819.2574068129552</v>
      </c>
      <c r="E150" s="26">
        <v>1.0250941951674821</v>
      </c>
      <c r="F150" s="29">
        <v>37.68</v>
      </c>
      <c r="G150" s="26">
        <v>1.4500573550223188</v>
      </c>
      <c r="H150" s="13" t="s">
        <v>5</v>
      </c>
      <c r="I150" s="26">
        <v>0.56599999999999995</v>
      </c>
      <c r="J150" s="7"/>
      <c r="K150" s="37">
        <v>1.0809348749147172E-5</v>
      </c>
      <c r="L150" s="24">
        <v>3615</v>
      </c>
      <c r="M150" s="18">
        <v>1.4336871668987603</v>
      </c>
      <c r="N150" s="13" t="s">
        <v>5</v>
      </c>
      <c r="O150" s="54">
        <f t="shared" si="4"/>
        <v>1.0427806045425984E-5</v>
      </c>
      <c r="P150" s="53">
        <f t="shared" si="5"/>
        <v>3.6588972029120759E-2</v>
      </c>
    </row>
    <row r="151" spans="1:16" ht="15.75" x14ac:dyDescent="0.3">
      <c r="A151" s="3" t="s">
        <v>14</v>
      </c>
      <c r="B151" s="24">
        <v>2865</v>
      </c>
      <c r="C151" s="5">
        <v>152</v>
      </c>
      <c r="D151" s="24">
        <v>1014.8050338327058</v>
      </c>
      <c r="E151" s="26">
        <v>0.88702597887453039</v>
      </c>
      <c r="F151" s="29">
        <v>41.82</v>
      </c>
      <c r="G151" s="26">
        <v>1.5479636439197559</v>
      </c>
      <c r="H151" s="13" t="s">
        <v>5</v>
      </c>
      <c r="I151" s="26">
        <v>0.55300000000000005</v>
      </c>
      <c r="J151" s="7"/>
      <c r="K151" s="37">
        <v>1.21048004780431E-5</v>
      </c>
      <c r="L151" s="24">
        <v>4757</v>
      </c>
      <c r="M151" s="18">
        <v>1.5067920862808049</v>
      </c>
      <c r="N151" s="13" t="s">
        <v>5</v>
      </c>
      <c r="O151" s="54">
        <f t="shared" si="4"/>
        <v>1.671704896148343E-5</v>
      </c>
      <c r="P151" s="53">
        <f t="shared" si="5"/>
        <v>0.27590087784435435</v>
      </c>
    </row>
    <row r="152" spans="1:16" ht="15.75" x14ac:dyDescent="0.3">
      <c r="A152" s="3" t="s">
        <v>14</v>
      </c>
      <c r="B152" s="24">
        <v>3265</v>
      </c>
      <c r="C152" s="5">
        <v>155</v>
      </c>
      <c r="D152" s="24">
        <v>1316.8520531613119</v>
      </c>
      <c r="E152" s="26">
        <v>0.91363998027137561</v>
      </c>
      <c r="F152" s="29">
        <v>41.4</v>
      </c>
      <c r="G152" s="26">
        <v>1.7046470189183824</v>
      </c>
      <c r="H152" s="13" t="s">
        <v>5</v>
      </c>
      <c r="I152" s="26">
        <v>0.45250000000000001</v>
      </c>
      <c r="J152" s="7"/>
      <c r="K152" s="37">
        <v>1.4761725370070495E-5</v>
      </c>
      <c r="L152" s="24">
        <v>4694</v>
      </c>
      <c r="M152" s="18">
        <v>1.6637045819994651</v>
      </c>
      <c r="N152" s="13" t="s">
        <v>5</v>
      </c>
      <c r="O152" s="54">
        <f t="shared" si="4"/>
        <v>1.9207420281714064E-5</v>
      </c>
      <c r="P152" s="53">
        <f t="shared" si="5"/>
        <v>0.23145715803782249</v>
      </c>
    </row>
    <row r="153" spans="1:16" ht="15.75" x14ac:dyDescent="0.3">
      <c r="A153" s="3" t="s">
        <v>14</v>
      </c>
      <c r="B153" s="24">
        <v>3165</v>
      </c>
      <c r="C153" s="5">
        <v>159</v>
      </c>
      <c r="D153" s="24">
        <v>1309.5712971320097</v>
      </c>
      <c r="E153" s="26">
        <v>0.86290875140960577</v>
      </c>
      <c r="F153" s="29">
        <v>44.21</v>
      </c>
      <c r="G153" s="26">
        <v>1.69395136437296</v>
      </c>
      <c r="H153" s="13" t="s">
        <v>5</v>
      </c>
      <c r="I153" s="26">
        <v>0.42370000000000002</v>
      </c>
      <c r="J153" s="7"/>
      <c r="K153" s="37">
        <v>1.3256093623020083E-5</v>
      </c>
      <c r="L153" s="24">
        <v>5162</v>
      </c>
      <c r="M153" s="18">
        <v>1.6414422741091423</v>
      </c>
      <c r="N153" s="13" t="s">
        <v>5</v>
      </c>
      <c r="O153" s="54">
        <f t="shared" si="4"/>
        <v>2.1998408366810008E-5</v>
      </c>
      <c r="P153" s="53">
        <f t="shared" si="5"/>
        <v>0.39740669406700579</v>
      </c>
    </row>
    <row r="154" spans="1:16" ht="15.75" x14ac:dyDescent="0.3">
      <c r="A154" s="3" t="s">
        <v>14</v>
      </c>
      <c r="B154" s="24">
        <v>3215</v>
      </c>
      <c r="C154" s="5">
        <v>155</v>
      </c>
      <c r="D154" s="24">
        <v>1255.9824334889472</v>
      </c>
      <c r="E154" s="26">
        <v>0.90748600249209299</v>
      </c>
      <c r="F154" s="29">
        <v>40.6</v>
      </c>
      <c r="G154" s="26">
        <v>1.6861166770295233</v>
      </c>
      <c r="H154" s="13" t="s">
        <v>5</v>
      </c>
      <c r="I154" s="26">
        <v>0.54239999999999999</v>
      </c>
      <c r="J154" s="7"/>
      <c r="K154" s="37">
        <v>1.3013815190895385E-5</v>
      </c>
      <c r="L154" s="24">
        <v>5265</v>
      </c>
      <c r="M154" s="18">
        <v>1.6328121426723283</v>
      </c>
      <c r="N154" s="13" t="s">
        <v>5</v>
      </c>
      <c r="O154" s="54">
        <f t="shared" si="4"/>
        <v>1.8586927009017991E-5</v>
      </c>
      <c r="P154" s="53">
        <f t="shared" si="5"/>
        <v>0.29984041016670737</v>
      </c>
    </row>
    <row r="155" spans="1:16" ht="15.75" x14ac:dyDescent="0.3">
      <c r="A155" s="3" t="s">
        <v>14</v>
      </c>
      <c r="B155" s="24">
        <v>3259</v>
      </c>
      <c r="C155" s="5">
        <v>188</v>
      </c>
      <c r="D155" s="24">
        <v>1662.9066039752083</v>
      </c>
      <c r="E155" s="27">
        <v>0.9249433431781553</v>
      </c>
      <c r="F155" s="28">
        <v>45.1</v>
      </c>
      <c r="G155" s="26">
        <v>1.9659859874729206</v>
      </c>
      <c r="H155" s="13" t="s">
        <v>5</v>
      </c>
      <c r="I155" s="26">
        <v>0.24250372633665854</v>
      </c>
      <c r="J155" s="7"/>
      <c r="K155" s="37">
        <v>1.4044040777892234E-5</v>
      </c>
      <c r="L155" s="24">
        <v>5915</v>
      </c>
      <c r="M155" s="18">
        <v>1.8588954904135278</v>
      </c>
      <c r="N155" s="13" t="s">
        <v>5</v>
      </c>
      <c r="O155" s="54">
        <f t="shared" si="4"/>
        <v>2.8651052575860614E-5</v>
      </c>
      <c r="P155" s="53">
        <f t="shared" si="5"/>
        <v>0.50982461322468942</v>
      </c>
    </row>
    <row r="156" spans="1:16" ht="15.75" x14ac:dyDescent="0.3">
      <c r="A156" s="3" t="s">
        <v>14</v>
      </c>
      <c r="B156" s="24">
        <v>2290</v>
      </c>
      <c r="C156" s="5">
        <v>147</v>
      </c>
      <c r="D156" s="24">
        <v>926.67416705051619</v>
      </c>
      <c r="E156" s="27">
        <v>0.92190427125757779</v>
      </c>
      <c r="F156" s="28">
        <v>41.9</v>
      </c>
      <c r="G156" s="26">
        <v>1.5015039137706185</v>
      </c>
      <c r="H156" s="13" t="s">
        <v>5</v>
      </c>
      <c r="I156" s="26">
        <v>0.41020653230299997</v>
      </c>
      <c r="J156" s="7"/>
      <c r="K156" s="37">
        <v>1.503354094425121E-5</v>
      </c>
      <c r="L156" s="24">
        <v>2870</v>
      </c>
      <c r="M156" s="18">
        <v>1.4871518886211128</v>
      </c>
      <c r="N156" s="13" t="s">
        <v>5</v>
      </c>
      <c r="O156" s="54">
        <f t="shared" si="4"/>
        <v>1.726804828235069E-5</v>
      </c>
      <c r="P156" s="53">
        <f t="shared" si="5"/>
        <v>0.1294012676802232</v>
      </c>
    </row>
    <row r="157" spans="1:16" ht="15.75" x14ac:dyDescent="0.3">
      <c r="A157" s="3" t="s">
        <v>14</v>
      </c>
      <c r="B157" s="24">
        <v>3478</v>
      </c>
      <c r="C157" s="5">
        <v>189</v>
      </c>
      <c r="D157" s="24">
        <v>1669.824655779699</v>
      </c>
      <c r="E157" s="27">
        <v>0.90878470942589007</v>
      </c>
      <c r="F157" s="28">
        <v>45.1</v>
      </c>
      <c r="G157" s="26">
        <v>1.9542207314204327</v>
      </c>
      <c r="H157" s="13" t="s">
        <v>5</v>
      </c>
      <c r="I157" s="26">
        <v>0.23524203840575</v>
      </c>
      <c r="J157" s="7"/>
      <c r="K157" s="37">
        <v>1.58487149214415E-5</v>
      </c>
      <c r="L157" s="24">
        <v>5685</v>
      </c>
      <c r="M157" s="18">
        <v>1.8652054877412294</v>
      </c>
      <c r="N157" s="13" t="s">
        <v>5</v>
      </c>
      <c r="O157" s="54">
        <f t="shared" si="4"/>
        <v>2.8011738217874955E-5</v>
      </c>
      <c r="P157" s="53">
        <f t="shared" si="5"/>
        <v>0.43421165804955086</v>
      </c>
    </row>
    <row r="158" spans="1:16" ht="15.75" x14ac:dyDescent="0.3">
      <c r="A158" s="3" t="s">
        <v>14</v>
      </c>
      <c r="B158" s="24">
        <v>2656.22</v>
      </c>
      <c r="C158" s="5">
        <v>161</v>
      </c>
      <c r="D158" s="24">
        <v>1078.8275574104816</v>
      </c>
      <c r="E158" s="26">
        <v>0.92547543459989179</v>
      </c>
      <c r="F158" s="28">
        <v>42.825489712948126</v>
      </c>
      <c r="G158" s="26">
        <v>1.60545129758015</v>
      </c>
      <c r="H158" s="13" t="s">
        <v>5</v>
      </c>
      <c r="I158" s="27">
        <v>0.35863015920792102</v>
      </c>
      <c r="J158" s="7"/>
      <c r="K158" s="37">
        <v>1.24280420547592E-5</v>
      </c>
      <c r="L158" s="25">
        <v>5064</v>
      </c>
      <c r="M158" s="18">
        <v>1.5489326936445311</v>
      </c>
      <c r="N158" s="13" t="s">
        <v>5</v>
      </c>
      <c r="O158" s="54">
        <f t="shared" si="4"/>
        <v>1.884966436370942E-5</v>
      </c>
      <c r="P158" s="53">
        <f t="shared" si="5"/>
        <v>0.34067568446011903</v>
      </c>
    </row>
    <row r="159" spans="1:16" ht="15.75" x14ac:dyDescent="0.3">
      <c r="A159" s="3" t="s">
        <v>14</v>
      </c>
      <c r="B159" s="24">
        <v>2265</v>
      </c>
      <c r="C159" s="5">
        <v>165</v>
      </c>
      <c r="D159" s="24">
        <v>656</v>
      </c>
      <c r="E159" s="27">
        <v>0.92645137195121963</v>
      </c>
      <c r="F159" s="29">
        <v>37.130000000000003</v>
      </c>
      <c r="G159" s="26">
        <v>1.3793</v>
      </c>
      <c r="H159" s="13" t="s">
        <v>5</v>
      </c>
      <c r="I159" s="38">
        <v>0.74</v>
      </c>
      <c r="J159" s="7"/>
      <c r="K159" s="37">
        <v>1.0779500000000001E-5</v>
      </c>
      <c r="L159" s="24">
        <v>4015</v>
      </c>
      <c r="M159" s="18">
        <v>1.3487071260000001</v>
      </c>
      <c r="N159" s="13" t="s">
        <v>5</v>
      </c>
      <c r="O159" s="54">
        <f t="shared" si="4"/>
        <v>1.1739227487392344E-5</v>
      </c>
      <c r="P159" s="53">
        <f t="shared" si="5"/>
        <v>8.1753887845096157E-2</v>
      </c>
    </row>
    <row r="160" spans="1:16" ht="15.75" x14ac:dyDescent="0.3">
      <c r="A160" s="3" t="s">
        <v>13</v>
      </c>
      <c r="B160" s="5">
        <v>3280</v>
      </c>
      <c r="C160" s="5">
        <v>280</v>
      </c>
      <c r="D160" s="30">
        <v>1454</v>
      </c>
      <c r="E160" s="18">
        <v>0.87214580467675373</v>
      </c>
      <c r="F160" s="17">
        <v>43.3</v>
      </c>
      <c r="G160" s="18">
        <v>2.008</v>
      </c>
      <c r="H160" s="13" t="s">
        <v>5</v>
      </c>
      <c r="I160" s="18">
        <v>0.13900000000000001</v>
      </c>
      <c r="J160" s="7"/>
      <c r="K160" s="21">
        <v>5.2865999999999998E-5</v>
      </c>
      <c r="L160" s="5">
        <v>8192</v>
      </c>
      <c r="M160" s="18">
        <v>1.78</v>
      </c>
      <c r="N160" s="13" t="s">
        <v>5</v>
      </c>
      <c r="O160" s="54">
        <f t="shared" si="4"/>
        <v>4.8084734337129755E-5</v>
      </c>
      <c r="P160" s="53">
        <f t="shared" si="5"/>
        <v>9.9434170299206093E-2</v>
      </c>
    </row>
    <row r="161" spans="1:16" ht="15.75" x14ac:dyDescent="0.3">
      <c r="A161" s="3" t="s">
        <v>13</v>
      </c>
      <c r="B161" s="5">
        <v>3722</v>
      </c>
      <c r="C161" s="5">
        <v>270</v>
      </c>
      <c r="D161" s="30">
        <v>2205.9741313164527</v>
      </c>
      <c r="E161" s="18">
        <v>0.9681445936820593</v>
      </c>
      <c r="F161" s="17">
        <v>44.4</v>
      </c>
      <c r="G161" s="18">
        <v>2.4543779368789083</v>
      </c>
      <c r="H161" s="13" t="s">
        <v>5</v>
      </c>
      <c r="I161" s="18">
        <v>0.127</v>
      </c>
      <c r="J161" s="7"/>
      <c r="K161" s="21">
        <v>5.24157793085684E-5</v>
      </c>
      <c r="L161" s="5">
        <v>8200</v>
      </c>
      <c r="M161" s="18">
        <v>2.1447051970846669</v>
      </c>
      <c r="N161" s="13" t="s">
        <v>5</v>
      </c>
      <c r="O161" s="54">
        <f t="shared" si="4"/>
        <v>5.1361583441196355E-5</v>
      </c>
      <c r="P161" s="53">
        <f t="shared" si="5"/>
        <v>2.0524987680315371E-2</v>
      </c>
    </row>
    <row r="162" spans="1:16" ht="15.75" x14ac:dyDescent="0.3">
      <c r="A162" s="3" t="s">
        <v>13</v>
      </c>
      <c r="B162" s="5">
        <v>3697</v>
      </c>
      <c r="C162" s="5">
        <v>270</v>
      </c>
      <c r="D162" s="30">
        <v>2185.1652241112824</v>
      </c>
      <c r="E162" s="18">
        <v>0.98172449597075817</v>
      </c>
      <c r="F162" s="17">
        <v>44.2</v>
      </c>
      <c r="G162" s="18">
        <v>2.6244769978515015</v>
      </c>
      <c r="H162" s="13" t="s">
        <v>5</v>
      </c>
      <c r="I162" s="18">
        <v>8.9899999999999994E-2</v>
      </c>
      <c r="J162" s="7"/>
      <c r="K162" s="21">
        <v>5.6315497084457199E-5</v>
      </c>
      <c r="L162" s="5">
        <v>8260</v>
      </c>
      <c r="M162" s="18">
        <v>2.2977123139010298</v>
      </c>
      <c r="N162" s="13" t="s">
        <v>5</v>
      </c>
      <c r="O162" s="54">
        <f t="shared" si="4"/>
        <v>5.0120282145827177E-5</v>
      </c>
      <c r="P162" s="53">
        <f t="shared" si="5"/>
        <v>0.12360694460188335</v>
      </c>
    </row>
    <row r="163" spans="1:16" ht="15.75" x14ac:dyDescent="0.3">
      <c r="A163" s="3" t="s">
        <v>13</v>
      </c>
      <c r="B163" s="5">
        <v>3066</v>
      </c>
      <c r="C163" s="5">
        <v>270</v>
      </c>
      <c r="D163" s="30">
        <v>1317.9111629386198</v>
      </c>
      <c r="E163" s="18">
        <v>0.97099999999999997</v>
      </c>
      <c r="F163" s="17">
        <v>41.8</v>
      </c>
      <c r="G163" s="18">
        <v>1.9114061086963996</v>
      </c>
      <c r="H163" s="13" t="s">
        <v>5</v>
      </c>
      <c r="I163" s="18">
        <v>0.15531206651272</v>
      </c>
      <c r="J163" s="7"/>
      <c r="K163" s="21">
        <v>3.0711608145691098E-5</v>
      </c>
      <c r="L163" s="5">
        <v>8100</v>
      </c>
      <c r="M163" s="18">
        <v>1.7229050776838599</v>
      </c>
      <c r="N163" s="13" t="s">
        <v>5</v>
      </c>
      <c r="O163" s="54">
        <f t="shared" si="4"/>
        <v>3.6913694369118482E-5</v>
      </c>
      <c r="P163" s="53">
        <f t="shared" si="5"/>
        <v>0.16801586320268092</v>
      </c>
    </row>
    <row r="164" spans="1:16" ht="15.75" x14ac:dyDescent="0.3">
      <c r="A164" s="3" t="s">
        <v>13</v>
      </c>
      <c r="B164" s="5">
        <v>2944</v>
      </c>
      <c r="C164" s="5">
        <v>270</v>
      </c>
      <c r="D164" s="30">
        <v>1300.3197900526727</v>
      </c>
      <c r="E164" s="18">
        <v>0.99283819657972716</v>
      </c>
      <c r="F164" s="17">
        <v>42.5</v>
      </c>
      <c r="G164" s="18">
        <v>1.9198054319023261</v>
      </c>
      <c r="H164" s="13" t="s">
        <v>5</v>
      </c>
      <c r="I164" s="18">
        <v>0.1363</v>
      </c>
      <c r="J164" s="7"/>
      <c r="K164" s="21">
        <v>3.66317661139909E-5</v>
      </c>
      <c r="L164" s="5">
        <v>8150</v>
      </c>
      <c r="M164" s="18">
        <v>1.7065076919342763</v>
      </c>
      <c r="N164" s="13" t="s">
        <v>5</v>
      </c>
      <c r="O164" s="54">
        <f t="shared" si="4"/>
        <v>3.6651300310615749E-5</v>
      </c>
      <c r="P164" s="53">
        <f t="shared" si="5"/>
        <v>5.3297417715878067E-4</v>
      </c>
    </row>
    <row r="165" spans="1:16" ht="15.75" x14ac:dyDescent="0.3">
      <c r="A165" s="3" t="s">
        <v>13</v>
      </c>
      <c r="B165" s="5">
        <v>2923</v>
      </c>
      <c r="C165" s="5">
        <v>270</v>
      </c>
      <c r="D165" s="30">
        <v>1220.3824306769673</v>
      </c>
      <c r="E165" s="18">
        <v>0.95694427106172286</v>
      </c>
      <c r="F165" s="17">
        <v>42.6</v>
      </c>
      <c r="G165" s="18">
        <v>1.8679349568299397</v>
      </c>
      <c r="H165" s="13" t="s">
        <v>5</v>
      </c>
      <c r="I165" s="18">
        <v>0.183</v>
      </c>
      <c r="J165" s="7"/>
      <c r="K165" s="21">
        <v>3.5836299846315902E-5</v>
      </c>
      <c r="L165" s="5">
        <v>8200</v>
      </c>
      <c r="M165" s="18">
        <v>1.6671422130787923</v>
      </c>
      <c r="N165" s="13" t="s">
        <v>5</v>
      </c>
      <c r="O165" s="54">
        <f t="shared" si="4"/>
        <v>3.656080742012987E-5</v>
      </c>
      <c r="P165" s="53">
        <f t="shared" si="5"/>
        <v>1.9816509123785495E-2</v>
      </c>
    </row>
    <row r="166" spans="1:16" ht="15.75" x14ac:dyDescent="0.3">
      <c r="A166" s="3" t="s">
        <v>13</v>
      </c>
      <c r="B166" s="5">
        <v>3789</v>
      </c>
      <c r="C166" s="5">
        <v>270</v>
      </c>
      <c r="D166" s="30">
        <v>2716.0284119008852</v>
      </c>
      <c r="E166" s="18">
        <v>0.91100000000000003</v>
      </c>
      <c r="F166" s="17">
        <v>46.088188442211049</v>
      </c>
      <c r="G166" s="18">
        <v>2.8817680081356842</v>
      </c>
      <c r="H166" s="13" t="s">
        <v>5</v>
      </c>
      <c r="I166" s="18">
        <v>0.16739999999999999</v>
      </c>
      <c r="J166" s="7"/>
      <c r="K166" s="21">
        <v>6.0317517366866591E-5</v>
      </c>
      <c r="L166" s="5">
        <v>6691</v>
      </c>
      <c r="M166" s="18">
        <v>2.5504739334005579</v>
      </c>
      <c r="N166" s="13" t="s">
        <v>5</v>
      </c>
      <c r="O166" s="54">
        <f t="shared" si="4"/>
        <v>6.5338262011343547E-5</v>
      </c>
      <c r="P166" s="53">
        <f t="shared" si="5"/>
        <v>7.684233540839043E-2</v>
      </c>
    </row>
    <row r="167" spans="1:16" ht="15.75" x14ac:dyDescent="0.3">
      <c r="A167" s="3" t="s">
        <v>13</v>
      </c>
      <c r="B167" s="5">
        <v>2356</v>
      </c>
      <c r="C167" s="5">
        <v>234</v>
      </c>
      <c r="D167" s="30">
        <v>997</v>
      </c>
      <c r="E167" s="18">
        <v>1.05</v>
      </c>
      <c r="F167" s="17">
        <v>42.5</v>
      </c>
      <c r="G167" s="18">
        <v>1.6846951018052452</v>
      </c>
      <c r="H167" s="13" t="s">
        <v>5</v>
      </c>
      <c r="I167" s="18">
        <v>0.23200000000000001</v>
      </c>
      <c r="J167" s="7"/>
      <c r="K167" s="21">
        <v>2.6910915673748293E-5</v>
      </c>
      <c r="L167" s="5">
        <v>7500</v>
      </c>
      <c r="M167" s="18">
        <v>1.547083293592789</v>
      </c>
      <c r="N167" s="13" t="s">
        <v>5</v>
      </c>
      <c r="O167" s="54">
        <f t="shared" si="4"/>
        <v>2.3613652997342389E-5</v>
      </c>
      <c r="P167" s="53">
        <f t="shared" si="5"/>
        <v>0.1396337397173151</v>
      </c>
    </row>
    <row r="168" spans="1:16" ht="15.75" x14ac:dyDescent="0.3">
      <c r="A168" s="3" t="s">
        <v>13</v>
      </c>
      <c r="B168" s="5">
        <v>2212</v>
      </c>
      <c r="C168" s="5">
        <v>234</v>
      </c>
      <c r="D168" s="30">
        <v>847.10507033279407</v>
      </c>
      <c r="E168" s="18">
        <v>1.042</v>
      </c>
      <c r="F168" s="17">
        <v>41.8</v>
      </c>
      <c r="G168" s="18">
        <v>1.5865404013686017</v>
      </c>
      <c r="H168" s="13" t="s">
        <v>5</v>
      </c>
      <c r="I168" s="18">
        <v>0.245</v>
      </c>
      <c r="J168" s="7"/>
      <c r="K168" s="21">
        <v>2.0657461797034198E-5</v>
      </c>
      <c r="L168" s="5">
        <v>7500</v>
      </c>
      <c r="M168" s="18">
        <v>1.4710532679434376</v>
      </c>
      <c r="N168" s="13" t="s">
        <v>5</v>
      </c>
      <c r="O168" s="54">
        <f t="shared" si="4"/>
        <v>2.0835637386325248E-5</v>
      </c>
      <c r="P168" s="53">
        <f t="shared" si="5"/>
        <v>8.5514825386618087E-3</v>
      </c>
    </row>
    <row r="169" spans="1:16" ht="15.75" x14ac:dyDescent="0.3">
      <c r="A169" s="3" t="s">
        <v>13</v>
      </c>
      <c r="B169" s="5">
        <v>3310</v>
      </c>
      <c r="C169" s="5">
        <v>240</v>
      </c>
      <c r="D169" s="30">
        <v>1471.8214907124384</v>
      </c>
      <c r="E169" s="18">
        <v>0.84899999999999998</v>
      </c>
      <c r="F169" s="17">
        <v>44.7</v>
      </c>
      <c r="G169" s="18">
        <v>1.93272514077489</v>
      </c>
      <c r="H169" s="13" t="s">
        <v>5</v>
      </c>
      <c r="I169" s="18">
        <v>0.128</v>
      </c>
      <c r="J169" s="7"/>
      <c r="K169" s="21">
        <v>3.481969076520409E-5</v>
      </c>
      <c r="L169" s="5">
        <v>5500</v>
      </c>
      <c r="M169" s="18">
        <v>1.8178851069538626</v>
      </c>
      <c r="N169" s="13" t="s">
        <v>5</v>
      </c>
      <c r="O169" s="54">
        <f t="shared" si="4"/>
        <v>3.8164048944609226E-5</v>
      </c>
      <c r="P169" s="53">
        <f t="shared" si="5"/>
        <v>8.7631115457877412E-2</v>
      </c>
    </row>
    <row r="170" spans="1:16" ht="15.75" x14ac:dyDescent="0.3">
      <c r="A170" s="3" t="s">
        <v>13</v>
      </c>
      <c r="B170" s="5">
        <v>3067</v>
      </c>
      <c r="C170" s="5">
        <v>242</v>
      </c>
      <c r="D170" s="30">
        <v>1195.9951434878585</v>
      </c>
      <c r="E170" s="18">
        <v>0.91600000000000004</v>
      </c>
      <c r="F170" s="17">
        <v>40.9</v>
      </c>
      <c r="G170" s="18">
        <v>1.7486462426644702</v>
      </c>
      <c r="H170" s="13" t="s">
        <v>5</v>
      </c>
      <c r="I170" s="18">
        <v>0.17599999999999999</v>
      </c>
      <c r="J170" s="7"/>
      <c r="K170" s="21">
        <v>2.6646440917223094E-5</v>
      </c>
      <c r="L170" s="5">
        <v>7528</v>
      </c>
      <c r="M170" s="18">
        <v>1.6073638122571077</v>
      </c>
      <c r="N170" s="13" t="s">
        <v>5</v>
      </c>
      <c r="O170" s="54">
        <f t="shared" si="4"/>
        <v>2.9520248855242879E-5</v>
      </c>
      <c r="P170" s="53">
        <f t="shared" si="5"/>
        <v>9.7350396743331957E-2</v>
      </c>
    </row>
    <row r="171" spans="1:16" ht="15.75" x14ac:dyDescent="0.3">
      <c r="A171" s="3" t="s">
        <v>13</v>
      </c>
      <c r="B171" s="5">
        <v>3149</v>
      </c>
      <c r="C171" s="5">
        <v>241</v>
      </c>
      <c r="D171" s="30">
        <v>1302.9698972755696</v>
      </c>
      <c r="E171" s="18">
        <v>0.88902905853998426</v>
      </c>
      <c r="F171" s="17">
        <v>42.8</v>
      </c>
      <c r="G171" s="18">
        <v>1.8582176927835234</v>
      </c>
      <c r="H171" s="13" t="s">
        <v>5</v>
      </c>
      <c r="I171" s="18">
        <v>0.156</v>
      </c>
      <c r="J171" s="7"/>
      <c r="K171" s="21">
        <v>3.3405927508536401E-5</v>
      </c>
      <c r="L171" s="5">
        <v>6840</v>
      </c>
      <c r="M171" s="18">
        <v>1.7148134475218746</v>
      </c>
      <c r="N171" s="13" t="s">
        <v>5</v>
      </c>
      <c r="O171" s="54">
        <f t="shared" si="4"/>
        <v>3.301331581974309E-5</v>
      </c>
      <c r="P171" s="53">
        <f t="shared" si="5"/>
        <v>1.1892525153699245E-2</v>
      </c>
    </row>
    <row r="172" spans="1:16" ht="15.75" x14ac:dyDescent="0.3">
      <c r="A172" s="3" t="s">
        <v>13</v>
      </c>
      <c r="B172" s="5">
        <v>3005</v>
      </c>
      <c r="C172" s="5">
        <v>242</v>
      </c>
      <c r="D172" s="30">
        <v>1290.7743124026983</v>
      </c>
      <c r="E172" s="18">
        <v>0.90783856762258497</v>
      </c>
      <c r="F172" s="17">
        <v>44.9</v>
      </c>
      <c r="G172" s="18">
        <v>1.8594969644768309</v>
      </c>
      <c r="H172" s="13" t="s">
        <v>5</v>
      </c>
      <c r="I172" s="18">
        <v>0.14699999999999999</v>
      </c>
      <c r="J172" s="7"/>
      <c r="K172" s="21">
        <v>2.9842397655878901E-5</v>
      </c>
      <c r="L172" s="5">
        <v>6577</v>
      </c>
      <c r="M172" s="18">
        <v>2.1945895929954657</v>
      </c>
      <c r="N172" s="13" t="s">
        <v>5</v>
      </c>
      <c r="O172" s="54">
        <f t="shared" si="4"/>
        <v>3.4172855704085698E-5</v>
      </c>
      <c r="P172" s="53">
        <f t="shared" si="5"/>
        <v>0.12672215882997009</v>
      </c>
    </row>
    <row r="173" spans="1:16" ht="15.75" x14ac:dyDescent="0.3">
      <c r="A173" s="3" t="s">
        <v>13</v>
      </c>
      <c r="B173" s="5">
        <v>3609</v>
      </c>
      <c r="C173" s="5">
        <v>240</v>
      </c>
      <c r="D173" s="30">
        <v>1830</v>
      </c>
      <c r="E173" s="18">
        <v>0.99679574727810316</v>
      </c>
      <c r="F173" s="17">
        <v>41.4</v>
      </c>
      <c r="G173" s="18">
        <v>2.2355892603576124</v>
      </c>
      <c r="H173" s="13" t="s">
        <v>5</v>
      </c>
      <c r="I173" s="18">
        <v>0.13567425546815229</v>
      </c>
      <c r="J173" s="7"/>
      <c r="K173" s="21">
        <v>4.0392901023486177E-5</v>
      </c>
      <c r="L173" s="5">
        <v>6815</v>
      </c>
      <c r="M173" s="18">
        <v>2.0624873723608794</v>
      </c>
      <c r="N173" s="13" t="s">
        <v>5</v>
      </c>
      <c r="O173" s="54">
        <f t="shared" si="4"/>
        <v>3.4039069050030963E-5</v>
      </c>
      <c r="P173" s="53">
        <f t="shared" si="5"/>
        <v>0.18666291854563619</v>
      </c>
    </row>
  </sheetData>
  <phoneticPr fontId="9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BF5A-456D-4A9A-B14A-14B6043AE876}">
  <dimension ref="A1"/>
  <sheetViews>
    <sheetView zoomScale="115" zoomScaleNormal="115" workbookViewId="0">
      <selection activeCell="AA31" sqref="AA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Data</vt:lpstr>
      <vt:lpstr>Bob_Check</vt:lpstr>
      <vt:lpstr>Muob_Check</vt:lpstr>
      <vt:lpstr>Psat_Check</vt:lpstr>
      <vt:lpstr>Cob_Check</vt:lpstr>
      <vt:lpstr>Plots</vt:lpstr>
      <vt:lpstr>DEL-BAK</vt:lpstr>
      <vt:lpstr>DEL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Raghavendra Prabhu /CS</dc:creator>
  <cp:lastModifiedBy>Cronin, Michael B</cp:lastModifiedBy>
  <dcterms:created xsi:type="dcterms:W3CDTF">2023-02-07T11:21:47Z</dcterms:created>
  <dcterms:modified xsi:type="dcterms:W3CDTF">2023-05-18T22:09:14Z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1754704582</vt:i4>
  </property>
  <property fmtid="{D5CDD505-2E9C-101B-9397-08002B2CF9AE}" pid="3" name="_NewReviewCycle">
    <vt:lpwstr/>
  </property>
  <property fmtid="{D5CDD505-2E9C-101B-9397-08002B2CF9AE}" pid="4" name="_EmailSubject">
    <vt:lpwstr>URTEC 2023 PVT Paper</vt:lpwstr>
  </property>
  <property fmtid="{D5CDD505-2E9C-101B-9397-08002B2CF9AE}" pid="5" name="_AuthorEmail">
    <vt:lpwstr>michael.b.cronin@exxonmobil.com</vt:lpwstr>
  </property>
  <property fmtid="{D5CDD505-2E9C-101B-9397-08002B2CF9AE}" pid="6" name="_AuthorEmailDisplayName">
    <vt:lpwstr>Cronin, Michael B</vt:lpwstr>
  </property>
  <property fmtid="{D5CDD505-2E9C-101B-9397-08002B2CF9AE}" pid="8" name="_PreviousAdHocReviewCycleID">
    <vt:i4>414231135</vt:i4>
  </property>
</Properties>
</file>