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correlations\"/>
    </mc:Choice>
  </mc:AlternateContent>
  <xr:revisionPtr revIDLastSave="0" documentId="13_ncr:1_{13191847-14A6-4054-9375-5411ED3EFB2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eq24" sheetId="3" r:id="rId1"/>
    <sheet name="eq25" sheetId="4" r:id="rId2"/>
    <sheet name="eq25 (2)" sheetId="6" r:id="rId3"/>
    <sheet name="Bob" sheetId="5" r:id="rId4"/>
  </sheets>
  <definedNames>
    <definedName name="_C1_exp16" localSheetId="2">'eq25 (2)'!$B$2</definedName>
    <definedName name="_C1_exp16">'eq25'!$B$2</definedName>
    <definedName name="_C1_exp8">'eq24'!$B$2</definedName>
    <definedName name="_C2_exp16" localSheetId="2">'eq25 (2)'!$B$3</definedName>
    <definedName name="_C2_exp16">'eq25'!$B$3</definedName>
    <definedName name="_C2_exp8">'eq24'!$B$3</definedName>
    <definedName name="_C3_exp16" localSheetId="2">'eq25 (2)'!$B$4</definedName>
    <definedName name="_C3_exp16">'eq25'!$B$4</definedName>
    <definedName name="_C3_exp8">'eq24'!$B$4</definedName>
    <definedName name="_C4_exp16" localSheetId="2">'eq25 (2)'!$B$5</definedName>
    <definedName name="_C4_exp16">'eq25'!$B$5</definedName>
    <definedName name="_C4_exp8">'eq24'!$B$5</definedName>
    <definedName name="_C5_exp16" localSheetId="2">'eq25 (2)'!$B$6</definedName>
    <definedName name="_C5_exp16">'eq25'!$B$6</definedName>
    <definedName name="_C5_exp8">'eq24'!$B$6</definedName>
    <definedName name="_C6_exp16" localSheetId="2">'eq25 (2)'!$B$7</definedName>
    <definedName name="_C6_exp16">'eq25'!$B$7</definedName>
    <definedName name="_C6_exp8">'eq24'!$B$7</definedName>
    <definedName name="_C7_exp16" localSheetId="2">'eq25 (2)'!$B$8</definedName>
    <definedName name="_C7_exp16">'eq25'!$B$8</definedName>
    <definedName name="_C7_exp8">'eq24'!$B$8</definedName>
    <definedName name="_C8_exp16" localSheetId="2">'eq25 (2)'!$B$9</definedName>
    <definedName name="_C8_exp16">'eq25'!$B$9</definedName>
    <definedName name="_C8_exp8">'eq24'!$B$9</definedName>
    <definedName name="_xlnm._FilterDatabase" localSheetId="3" hidden="1">Bob!$A$22:$U$150</definedName>
    <definedName name="_xlnm._FilterDatabase" localSheetId="1" hidden="1">'eq25'!$A$22:$T$177</definedName>
    <definedName name="_xlnm._FilterDatabase" localSheetId="2" hidden="1">'eq25 (2)'!$A$22:$T$177</definedName>
    <definedName name="d1_exp16" localSheetId="2">'eq25 (2)'!$B$10</definedName>
    <definedName name="d1_exp16">'eq25'!$B$10</definedName>
    <definedName name="d2_exp16" localSheetId="2">'eq25 (2)'!$B$11</definedName>
    <definedName name="d2_exp16">'eq25'!$B$11</definedName>
    <definedName name="d3_exp16" localSheetId="2">'eq25 (2)'!$B$12</definedName>
    <definedName name="d3_exp16">'eq25'!$B$12</definedName>
    <definedName name="d4_exp16" localSheetId="2">'eq25 (2)'!$B$13</definedName>
    <definedName name="d4_exp16">'eq25'!$B$13</definedName>
    <definedName name="d5_exp16" localSheetId="2">'eq25 (2)'!$B$14</definedName>
    <definedName name="d5_exp16">'eq25'!$B$14</definedName>
    <definedName name="d6_exp16" localSheetId="2">'eq25 (2)'!$B$15</definedName>
    <definedName name="d6_exp16">'eq25'!$B$15</definedName>
    <definedName name="d7_exp16" localSheetId="2">'eq25 (2)'!$B$16</definedName>
    <definedName name="d7_exp16">'eq25'!$B$16</definedName>
    <definedName name="d8_exp16" localSheetId="2">'eq25 (2)'!$B$17</definedName>
    <definedName name="d8_exp16">'eq25'!$B$17</definedName>
    <definedName name="solver_adj" localSheetId="3" hidden="1">Bob!$B$2:$B$17</definedName>
    <definedName name="solver_adj" localSheetId="0" hidden="1">'eq24'!#REF!</definedName>
    <definedName name="solver_adj" localSheetId="1" hidden="1">'eq25'!$B$2:$B$17</definedName>
    <definedName name="solver_adj" localSheetId="2" hidden="1">'eq25 (2)'!$E$109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Bob!$U$22</definedName>
    <definedName name="solver_opt" localSheetId="0" hidden="1">'eq24'!$Q$22</definedName>
    <definedName name="solver_opt" localSheetId="1" hidden="1">'eq25'!$T$22</definedName>
    <definedName name="solver_opt" localSheetId="2" hidden="1">'eq25 (2)'!$L$109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200</definedName>
    <definedName name="solver_ssz" localSheetId="0" hidden="1">100</definedName>
    <definedName name="solver_ssz" localSheetId="1" hidden="1">200</definedName>
    <definedName name="solver_ssz" localSheetId="2" hidden="1">200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3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6" l="1"/>
  <c r="N176" i="6" l="1"/>
  <c r="J176" i="6"/>
  <c r="I176" i="6"/>
  <c r="H176" i="6"/>
  <c r="G176" i="6"/>
  <c r="N175" i="6"/>
  <c r="J175" i="6"/>
  <c r="I175" i="6"/>
  <c r="H175" i="6"/>
  <c r="G175" i="6"/>
  <c r="N174" i="6"/>
  <c r="J174" i="6"/>
  <c r="I174" i="6"/>
  <c r="H174" i="6"/>
  <c r="G174" i="6"/>
  <c r="N173" i="6"/>
  <c r="J173" i="6"/>
  <c r="I173" i="6"/>
  <c r="H173" i="6"/>
  <c r="G173" i="6"/>
  <c r="N172" i="6"/>
  <c r="J172" i="6"/>
  <c r="I172" i="6"/>
  <c r="H172" i="6"/>
  <c r="G172" i="6"/>
  <c r="N171" i="6"/>
  <c r="J171" i="6"/>
  <c r="I171" i="6"/>
  <c r="H171" i="6"/>
  <c r="G171" i="6"/>
  <c r="N170" i="6"/>
  <c r="J170" i="6"/>
  <c r="I170" i="6"/>
  <c r="H170" i="6"/>
  <c r="G170" i="6"/>
  <c r="N169" i="6"/>
  <c r="J169" i="6"/>
  <c r="I169" i="6"/>
  <c r="H169" i="6"/>
  <c r="G169" i="6"/>
  <c r="N168" i="6"/>
  <c r="J168" i="6"/>
  <c r="I168" i="6"/>
  <c r="H168" i="6"/>
  <c r="G168" i="6"/>
  <c r="N167" i="6"/>
  <c r="J167" i="6"/>
  <c r="I167" i="6"/>
  <c r="H167" i="6"/>
  <c r="G167" i="6"/>
  <c r="N166" i="6"/>
  <c r="J166" i="6"/>
  <c r="I166" i="6"/>
  <c r="H166" i="6"/>
  <c r="G166" i="6"/>
  <c r="N165" i="6"/>
  <c r="J165" i="6"/>
  <c r="I165" i="6"/>
  <c r="H165" i="6"/>
  <c r="G165" i="6"/>
  <c r="N164" i="6"/>
  <c r="J164" i="6"/>
  <c r="I164" i="6"/>
  <c r="H164" i="6"/>
  <c r="G164" i="6"/>
  <c r="N163" i="6"/>
  <c r="J163" i="6"/>
  <c r="I163" i="6"/>
  <c r="H163" i="6"/>
  <c r="G163" i="6"/>
  <c r="N162" i="6"/>
  <c r="J162" i="6"/>
  <c r="I162" i="6"/>
  <c r="H162" i="6"/>
  <c r="G162" i="6"/>
  <c r="N161" i="6"/>
  <c r="J161" i="6"/>
  <c r="I161" i="6"/>
  <c r="H161" i="6"/>
  <c r="G161" i="6"/>
  <c r="N160" i="6"/>
  <c r="J160" i="6"/>
  <c r="I160" i="6"/>
  <c r="H160" i="6"/>
  <c r="G160" i="6"/>
  <c r="N159" i="6"/>
  <c r="J159" i="6"/>
  <c r="I159" i="6"/>
  <c r="H159" i="6"/>
  <c r="G159" i="6"/>
  <c r="N158" i="6"/>
  <c r="J158" i="6"/>
  <c r="I158" i="6"/>
  <c r="H158" i="6"/>
  <c r="G158" i="6"/>
  <c r="N157" i="6"/>
  <c r="J157" i="6"/>
  <c r="I157" i="6"/>
  <c r="H157" i="6"/>
  <c r="G157" i="6"/>
  <c r="N156" i="6"/>
  <c r="J156" i="6"/>
  <c r="I156" i="6"/>
  <c r="H156" i="6"/>
  <c r="G156" i="6"/>
  <c r="N155" i="6"/>
  <c r="J155" i="6"/>
  <c r="I155" i="6"/>
  <c r="H155" i="6"/>
  <c r="G155" i="6"/>
  <c r="N154" i="6"/>
  <c r="J154" i="6"/>
  <c r="I154" i="6"/>
  <c r="H154" i="6"/>
  <c r="G154" i="6"/>
  <c r="N153" i="6"/>
  <c r="J153" i="6"/>
  <c r="I153" i="6"/>
  <c r="H153" i="6"/>
  <c r="G153" i="6"/>
  <c r="N152" i="6"/>
  <c r="J152" i="6"/>
  <c r="I152" i="6"/>
  <c r="H152" i="6"/>
  <c r="G152" i="6"/>
  <c r="N151" i="6"/>
  <c r="J151" i="6"/>
  <c r="I151" i="6"/>
  <c r="H151" i="6"/>
  <c r="G151" i="6"/>
  <c r="N150" i="6"/>
  <c r="J150" i="6"/>
  <c r="I150" i="6"/>
  <c r="H150" i="6"/>
  <c r="G150" i="6"/>
  <c r="N149" i="6"/>
  <c r="J149" i="6"/>
  <c r="I149" i="6"/>
  <c r="H149" i="6"/>
  <c r="G149" i="6"/>
  <c r="D149" i="6"/>
  <c r="N148" i="6"/>
  <c r="J148" i="6"/>
  <c r="I148" i="6"/>
  <c r="H148" i="6"/>
  <c r="G148" i="6"/>
  <c r="N147" i="6"/>
  <c r="J147" i="6"/>
  <c r="I147" i="6"/>
  <c r="H147" i="6"/>
  <c r="G147" i="6"/>
  <c r="N146" i="6"/>
  <c r="J146" i="6"/>
  <c r="I146" i="6"/>
  <c r="H146" i="6"/>
  <c r="G146" i="6"/>
  <c r="N145" i="6"/>
  <c r="J145" i="6"/>
  <c r="I145" i="6"/>
  <c r="H145" i="6"/>
  <c r="G145" i="6"/>
  <c r="N144" i="6"/>
  <c r="J144" i="6"/>
  <c r="I144" i="6"/>
  <c r="H144" i="6"/>
  <c r="G144" i="6"/>
  <c r="N143" i="6"/>
  <c r="J143" i="6"/>
  <c r="I143" i="6"/>
  <c r="H143" i="6"/>
  <c r="G143" i="6"/>
  <c r="N142" i="6"/>
  <c r="J142" i="6"/>
  <c r="I142" i="6"/>
  <c r="H142" i="6"/>
  <c r="G142" i="6"/>
  <c r="D142" i="6"/>
  <c r="N141" i="6"/>
  <c r="J141" i="6"/>
  <c r="I141" i="6"/>
  <c r="H141" i="6"/>
  <c r="G141" i="6"/>
  <c r="N140" i="6"/>
  <c r="J140" i="6"/>
  <c r="I140" i="6"/>
  <c r="H140" i="6"/>
  <c r="G140" i="6"/>
  <c r="N139" i="6"/>
  <c r="J139" i="6"/>
  <c r="I139" i="6"/>
  <c r="H139" i="6"/>
  <c r="G139" i="6"/>
  <c r="N138" i="6"/>
  <c r="J138" i="6"/>
  <c r="I138" i="6"/>
  <c r="H138" i="6"/>
  <c r="G138" i="6"/>
  <c r="N137" i="6"/>
  <c r="J137" i="6"/>
  <c r="I137" i="6"/>
  <c r="H137" i="6"/>
  <c r="G137" i="6"/>
  <c r="N136" i="6"/>
  <c r="J136" i="6"/>
  <c r="I136" i="6"/>
  <c r="H136" i="6"/>
  <c r="G136" i="6"/>
  <c r="N135" i="6"/>
  <c r="J135" i="6"/>
  <c r="I135" i="6"/>
  <c r="H135" i="6"/>
  <c r="G135" i="6"/>
  <c r="N134" i="6"/>
  <c r="J134" i="6"/>
  <c r="I134" i="6"/>
  <c r="H134" i="6"/>
  <c r="G134" i="6"/>
  <c r="N133" i="6"/>
  <c r="J133" i="6"/>
  <c r="I133" i="6"/>
  <c r="H133" i="6"/>
  <c r="G133" i="6"/>
  <c r="N132" i="6"/>
  <c r="J132" i="6"/>
  <c r="I132" i="6"/>
  <c r="H132" i="6"/>
  <c r="G132" i="6"/>
  <c r="N131" i="6"/>
  <c r="J131" i="6"/>
  <c r="I131" i="6"/>
  <c r="H131" i="6"/>
  <c r="G131" i="6"/>
  <c r="N130" i="6"/>
  <c r="J130" i="6"/>
  <c r="I130" i="6"/>
  <c r="H130" i="6"/>
  <c r="G130" i="6"/>
  <c r="N129" i="6"/>
  <c r="J129" i="6"/>
  <c r="I129" i="6"/>
  <c r="H129" i="6"/>
  <c r="G129" i="6"/>
  <c r="N128" i="6"/>
  <c r="J128" i="6"/>
  <c r="I128" i="6"/>
  <c r="H128" i="6"/>
  <c r="G128" i="6"/>
  <c r="N127" i="6"/>
  <c r="J127" i="6"/>
  <c r="I127" i="6"/>
  <c r="H127" i="6"/>
  <c r="G127" i="6"/>
  <c r="N126" i="6"/>
  <c r="J126" i="6"/>
  <c r="I126" i="6"/>
  <c r="H126" i="6"/>
  <c r="G126" i="6"/>
  <c r="N125" i="6"/>
  <c r="J125" i="6"/>
  <c r="I125" i="6"/>
  <c r="H125" i="6"/>
  <c r="G125" i="6"/>
  <c r="N124" i="6"/>
  <c r="J124" i="6"/>
  <c r="I124" i="6"/>
  <c r="H124" i="6"/>
  <c r="G124" i="6"/>
  <c r="N123" i="6"/>
  <c r="J123" i="6"/>
  <c r="I123" i="6"/>
  <c r="H123" i="6"/>
  <c r="G123" i="6"/>
  <c r="N122" i="6"/>
  <c r="J122" i="6"/>
  <c r="I122" i="6"/>
  <c r="H122" i="6"/>
  <c r="G122" i="6"/>
  <c r="N121" i="6"/>
  <c r="I121" i="6"/>
  <c r="H121" i="6"/>
  <c r="G121" i="6"/>
  <c r="E121" i="6"/>
  <c r="J121" i="6" s="1"/>
  <c r="D121" i="6"/>
  <c r="N120" i="6"/>
  <c r="J120" i="6"/>
  <c r="H120" i="6"/>
  <c r="G120" i="6"/>
  <c r="E120" i="6"/>
  <c r="D120" i="6"/>
  <c r="I120" i="6" s="1"/>
  <c r="N119" i="6"/>
  <c r="J119" i="6"/>
  <c r="I119" i="6"/>
  <c r="H119" i="6"/>
  <c r="G119" i="6"/>
  <c r="N118" i="6"/>
  <c r="J118" i="6"/>
  <c r="I118" i="6"/>
  <c r="H118" i="6"/>
  <c r="G118" i="6"/>
  <c r="N117" i="6"/>
  <c r="J117" i="6"/>
  <c r="I117" i="6"/>
  <c r="H117" i="6"/>
  <c r="G117" i="6"/>
  <c r="N116" i="6"/>
  <c r="J116" i="6"/>
  <c r="I116" i="6"/>
  <c r="H116" i="6"/>
  <c r="G116" i="6"/>
  <c r="N115" i="6"/>
  <c r="J115" i="6"/>
  <c r="I115" i="6"/>
  <c r="H115" i="6"/>
  <c r="G115" i="6"/>
  <c r="N114" i="6"/>
  <c r="J114" i="6"/>
  <c r="I114" i="6"/>
  <c r="H114" i="6"/>
  <c r="G114" i="6"/>
  <c r="N113" i="6"/>
  <c r="J113" i="6"/>
  <c r="I113" i="6"/>
  <c r="H113" i="6"/>
  <c r="G113" i="6"/>
  <c r="N112" i="6"/>
  <c r="J112" i="6"/>
  <c r="I112" i="6"/>
  <c r="H112" i="6"/>
  <c r="G112" i="6"/>
  <c r="N111" i="6"/>
  <c r="J111" i="6"/>
  <c r="I111" i="6"/>
  <c r="H111" i="6"/>
  <c r="G111" i="6"/>
  <c r="N110" i="6"/>
  <c r="J110" i="6"/>
  <c r="I110" i="6"/>
  <c r="H110" i="6"/>
  <c r="G110" i="6"/>
  <c r="N109" i="6"/>
  <c r="J109" i="6"/>
  <c r="I109" i="6"/>
  <c r="H109" i="6"/>
  <c r="G109" i="6"/>
  <c r="D109" i="6"/>
  <c r="N108" i="6"/>
  <c r="J108" i="6"/>
  <c r="I108" i="6"/>
  <c r="H108" i="6"/>
  <c r="G108" i="6"/>
  <c r="N107" i="6"/>
  <c r="J107" i="6"/>
  <c r="I107" i="6"/>
  <c r="H107" i="6"/>
  <c r="G107" i="6"/>
  <c r="N106" i="6"/>
  <c r="J106" i="6"/>
  <c r="I106" i="6"/>
  <c r="H106" i="6"/>
  <c r="G106" i="6"/>
  <c r="N105" i="6"/>
  <c r="J105" i="6"/>
  <c r="I105" i="6"/>
  <c r="H105" i="6"/>
  <c r="G105" i="6"/>
  <c r="N104" i="6"/>
  <c r="I104" i="6"/>
  <c r="H104" i="6"/>
  <c r="G104" i="6"/>
  <c r="E104" i="6"/>
  <c r="J104" i="6" s="1"/>
  <c r="D104" i="6"/>
  <c r="N103" i="6"/>
  <c r="J103" i="6"/>
  <c r="I103" i="6"/>
  <c r="H103" i="6"/>
  <c r="G103" i="6"/>
  <c r="E103" i="6"/>
  <c r="D103" i="6"/>
  <c r="N102" i="6"/>
  <c r="J102" i="6"/>
  <c r="I102" i="6"/>
  <c r="H102" i="6"/>
  <c r="G102" i="6"/>
  <c r="N101" i="6"/>
  <c r="J101" i="6"/>
  <c r="I101" i="6"/>
  <c r="H101" i="6"/>
  <c r="G101" i="6"/>
  <c r="N100" i="6"/>
  <c r="J100" i="6"/>
  <c r="I100" i="6"/>
  <c r="H100" i="6"/>
  <c r="G100" i="6"/>
  <c r="N99" i="6"/>
  <c r="I99" i="6"/>
  <c r="H99" i="6"/>
  <c r="G99" i="6"/>
  <c r="E99" i="6"/>
  <c r="J99" i="6" s="1"/>
  <c r="D99" i="6"/>
  <c r="N98" i="6"/>
  <c r="J98" i="6"/>
  <c r="I98" i="6"/>
  <c r="H98" i="6"/>
  <c r="G98" i="6"/>
  <c r="N97" i="6"/>
  <c r="J97" i="6"/>
  <c r="I97" i="6"/>
  <c r="H97" i="6"/>
  <c r="G97" i="6"/>
  <c r="N96" i="6"/>
  <c r="J96" i="6"/>
  <c r="I96" i="6"/>
  <c r="H96" i="6"/>
  <c r="G96" i="6"/>
  <c r="N95" i="6"/>
  <c r="H95" i="6"/>
  <c r="G95" i="6"/>
  <c r="E95" i="6"/>
  <c r="J95" i="6" s="1"/>
  <c r="D95" i="6"/>
  <c r="I95" i="6" s="1"/>
  <c r="N94" i="6"/>
  <c r="J94" i="6"/>
  <c r="I94" i="6"/>
  <c r="H94" i="6"/>
  <c r="G94" i="6"/>
  <c r="E94" i="6"/>
  <c r="D94" i="6"/>
  <c r="N93" i="6"/>
  <c r="H93" i="6"/>
  <c r="G93" i="6"/>
  <c r="E93" i="6"/>
  <c r="J93" i="6" s="1"/>
  <c r="D93" i="6"/>
  <c r="I93" i="6" s="1"/>
  <c r="N92" i="6"/>
  <c r="J92" i="6"/>
  <c r="I92" i="6"/>
  <c r="H92" i="6"/>
  <c r="G92" i="6"/>
  <c r="N91" i="6"/>
  <c r="J91" i="6"/>
  <c r="I91" i="6"/>
  <c r="H91" i="6"/>
  <c r="G91" i="6"/>
  <c r="N90" i="6"/>
  <c r="J90" i="6"/>
  <c r="I90" i="6"/>
  <c r="H90" i="6"/>
  <c r="G90" i="6"/>
  <c r="N89" i="6"/>
  <c r="J89" i="6"/>
  <c r="I89" i="6"/>
  <c r="H89" i="6"/>
  <c r="G89" i="6"/>
  <c r="N88" i="6"/>
  <c r="J88" i="6"/>
  <c r="I88" i="6"/>
  <c r="H88" i="6"/>
  <c r="G88" i="6"/>
  <c r="N87" i="6"/>
  <c r="J87" i="6"/>
  <c r="I87" i="6"/>
  <c r="H87" i="6"/>
  <c r="G87" i="6"/>
  <c r="N86" i="6"/>
  <c r="J86" i="6"/>
  <c r="I86" i="6"/>
  <c r="H86" i="6"/>
  <c r="G86" i="6"/>
  <c r="N85" i="6"/>
  <c r="H85" i="6"/>
  <c r="G85" i="6"/>
  <c r="E85" i="6"/>
  <c r="J85" i="6" s="1"/>
  <c r="D85" i="6"/>
  <c r="I85" i="6" s="1"/>
  <c r="N84" i="6"/>
  <c r="J84" i="6"/>
  <c r="I84" i="6"/>
  <c r="H84" i="6"/>
  <c r="G84" i="6"/>
  <c r="E84" i="6"/>
  <c r="D84" i="6"/>
  <c r="N83" i="6"/>
  <c r="H83" i="6"/>
  <c r="G83" i="6"/>
  <c r="E83" i="6"/>
  <c r="J83" i="6" s="1"/>
  <c r="D83" i="6"/>
  <c r="I83" i="6" s="1"/>
  <c r="N82" i="6"/>
  <c r="I82" i="6"/>
  <c r="H82" i="6"/>
  <c r="G82" i="6"/>
  <c r="E82" i="6"/>
  <c r="J82" i="6" s="1"/>
  <c r="N81" i="6"/>
  <c r="J81" i="6"/>
  <c r="I81" i="6"/>
  <c r="H81" i="6"/>
  <c r="G81" i="6"/>
  <c r="E81" i="6"/>
  <c r="N80" i="6"/>
  <c r="J80" i="6"/>
  <c r="H80" i="6"/>
  <c r="G80" i="6"/>
  <c r="E80" i="6"/>
  <c r="D80" i="6"/>
  <c r="I80" i="6" s="1"/>
  <c r="N79" i="6"/>
  <c r="H79" i="6"/>
  <c r="G79" i="6"/>
  <c r="E79" i="6"/>
  <c r="J79" i="6" s="1"/>
  <c r="D79" i="6"/>
  <c r="I79" i="6" s="1"/>
  <c r="N78" i="6"/>
  <c r="J78" i="6"/>
  <c r="I78" i="6"/>
  <c r="H78" i="6"/>
  <c r="G78" i="6"/>
  <c r="E78" i="6"/>
  <c r="N77" i="6"/>
  <c r="J77" i="6"/>
  <c r="H77" i="6"/>
  <c r="G77" i="6"/>
  <c r="E77" i="6"/>
  <c r="D77" i="6"/>
  <c r="I77" i="6" s="1"/>
  <c r="N76" i="6"/>
  <c r="J76" i="6"/>
  <c r="I76" i="6"/>
  <c r="H76" i="6"/>
  <c r="G76" i="6"/>
  <c r="N75" i="6"/>
  <c r="J75" i="6"/>
  <c r="I75" i="6"/>
  <c r="H75" i="6"/>
  <c r="G75" i="6"/>
  <c r="N74" i="6"/>
  <c r="I74" i="6"/>
  <c r="H74" i="6"/>
  <c r="G74" i="6"/>
  <c r="E74" i="6"/>
  <c r="J74" i="6" s="1"/>
  <c r="D74" i="6"/>
  <c r="N73" i="6"/>
  <c r="J73" i="6"/>
  <c r="I73" i="6"/>
  <c r="H73" i="6"/>
  <c r="G73" i="6"/>
  <c r="N72" i="6"/>
  <c r="J72" i="6"/>
  <c r="I72" i="6"/>
  <c r="H72" i="6"/>
  <c r="G72" i="6"/>
  <c r="N71" i="6"/>
  <c r="H71" i="6"/>
  <c r="G71" i="6"/>
  <c r="E71" i="6"/>
  <c r="J71" i="6" s="1"/>
  <c r="D71" i="6"/>
  <c r="I71" i="6" s="1"/>
  <c r="N70" i="6"/>
  <c r="J70" i="6"/>
  <c r="I70" i="6"/>
  <c r="H70" i="6"/>
  <c r="G70" i="6"/>
  <c r="N69" i="6"/>
  <c r="J69" i="6"/>
  <c r="I69" i="6"/>
  <c r="H69" i="6"/>
  <c r="G69" i="6"/>
  <c r="N68" i="6"/>
  <c r="J68" i="6"/>
  <c r="I68" i="6"/>
  <c r="H68" i="6"/>
  <c r="G68" i="6"/>
  <c r="N67" i="6"/>
  <c r="J67" i="6"/>
  <c r="H67" i="6"/>
  <c r="G67" i="6"/>
  <c r="E67" i="6"/>
  <c r="D67" i="6"/>
  <c r="I67" i="6" s="1"/>
  <c r="N66" i="6"/>
  <c r="J66" i="6"/>
  <c r="I66" i="6"/>
  <c r="H66" i="6"/>
  <c r="G66" i="6"/>
  <c r="N65" i="6"/>
  <c r="J65" i="6"/>
  <c r="I65" i="6"/>
  <c r="H65" i="6"/>
  <c r="G65" i="6"/>
  <c r="N64" i="6"/>
  <c r="J64" i="6"/>
  <c r="I64" i="6"/>
  <c r="H64" i="6"/>
  <c r="G64" i="6"/>
  <c r="N63" i="6"/>
  <c r="J63" i="6"/>
  <c r="I63" i="6"/>
  <c r="H63" i="6"/>
  <c r="G63" i="6"/>
  <c r="N62" i="6"/>
  <c r="J62" i="6"/>
  <c r="I62" i="6"/>
  <c r="H62" i="6"/>
  <c r="G62" i="6"/>
  <c r="N61" i="6"/>
  <c r="J61" i="6"/>
  <c r="I61" i="6"/>
  <c r="H61" i="6"/>
  <c r="G61" i="6"/>
  <c r="N60" i="6"/>
  <c r="J60" i="6"/>
  <c r="I60" i="6"/>
  <c r="H60" i="6"/>
  <c r="G60" i="6"/>
  <c r="N59" i="6"/>
  <c r="J59" i="6"/>
  <c r="I59" i="6"/>
  <c r="H59" i="6"/>
  <c r="G59" i="6"/>
  <c r="N58" i="6"/>
  <c r="J58" i="6"/>
  <c r="I58" i="6"/>
  <c r="H58" i="6"/>
  <c r="G58" i="6"/>
  <c r="N57" i="6"/>
  <c r="J57" i="6"/>
  <c r="I57" i="6"/>
  <c r="H57" i="6"/>
  <c r="G57" i="6"/>
  <c r="N56" i="6"/>
  <c r="J56" i="6"/>
  <c r="I56" i="6"/>
  <c r="H56" i="6"/>
  <c r="G56" i="6"/>
  <c r="N55" i="6"/>
  <c r="J55" i="6"/>
  <c r="I55" i="6"/>
  <c r="H55" i="6"/>
  <c r="G55" i="6"/>
  <c r="N54" i="6"/>
  <c r="J54" i="6"/>
  <c r="I54" i="6"/>
  <c r="H54" i="6"/>
  <c r="G54" i="6"/>
  <c r="N53" i="6"/>
  <c r="J53" i="6"/>
  <c r="I53" i="6"/>
  <c r="H53" i="6"/>
  <c r="G53" i="6"/>
  <c r="N52" i="6"/>
  <c r="J52" i="6"/>
  <c r="I52" i="6"/>
  <c r="H52" i="6"/>
  <c r="G52" i="6"/>
  <c r="N51" i="6"/>
  <c r="J51" i="6"/>
  <c r="I51" i="6"/>
  <c r="H51" i="6"/>
  <c r="G51" i="6"/>
  <c r="N50" i="6"/>
  <c r="J50" i="6"/>
  <c r="I50" i="6"/>
  <c r="H50" i="6"/>
  <c r="G50" i="6"/>
  <c r="N49" i="6"/>
  <c r="J49" i="6"/>
  <c r="I49" i="6"/>
  <c r="H49" i="6"/>
  <c r="G49" i="6"/>
  <c r="N48" i="6"/>
  <c r="J48" i="6"/>
  <c r="I48" i="6"/>
  <c r="H48" i="6"/>
  <c r="G48" i="6"/>
  <c r="N47" i="6"/>
  <c r="J47" i="6"/>
  <c r="I47" i="6"/>
  <c r="H47" i="6"/>
  <c r="G47" i="6"/>
  <c r="E47" i="6"/>
  <c r="D47" i="6"/>
  <c r="N46" i="6"/>
  <c r="J46" i="6"/>
  <c r="I46" i="6"/>
  <c r="H46" i="6"/>
  <c r="G46" i="6"/>
  <c r="N45" i="6"/>
  <c r="H45" i="6"/>
  <c r="G45" i="6"/>
  <c r="E45" i="6"/>
  <c r="J45" i="6" s="1"/>
  <c r="D45" i="6"/>
  <c r="I45" i="6" s="1"/>
  <c r="N44" i="6"/>
  <c r="J44" i="6"/>
  <c r="I44" i="6"/>
  <c r="H44" i="6"/>
  <c r="G44" i="6"/>
  <c r="N43" i="6"/>
  <c r="J43" i="6"/>
  <c r="I43" i="6"/>
  <c r="H43" i="6"/>
  <c r="G43" i="6"/>
  <c r="N42" i="6"/>
  <c r="J42" i="6"/>
  <c r="I42" i="6"/>
  <c r="H42" i="6"/>
  <c r="G42" i="6"/>
  <c r="N41" i="6"/>
  <c r="J41" i="6"/>
  <c r="I41" i="6"/>
  <c r="H41" i="6"/>
  <c r="G41" i="6"/>
  <c r="N40" i="6"/>
  <c r="J40" i="6"/>
  <c r="I40" i="6"/>
  <c r="H40" i="6"/>
  <c r="G40" i="6"/>
  <c r="N39" i="6"/>
  <c r="J39" i="6"/>
  <c r="I39" i="6"/>
  <c r="H39" i="6"/>
  <c r="G39" i="6"/>
  <c r="N38" i="6"/>
  <c r="J38" i="6"/>
  <c r="I38" i="6"/>
  <c r="H38" i="6"/>
  <c r="G38" i="6"/>
  <c r="N37" i="6"/>
  <c r="J37" i="6"/>
  <c r="I37" i="6"/>
  <c r="H37" i="6"/>
  <c r="G37" i="6"/>
  <c r="N36" i="6"/>
  <c r="J36" i="6"/>
  <c r="I36" i="6"/>
  <c r="H36" i="6"/>
  <c r="G36" i="6"/>
  <c r="N35" i="6"/>
  <c r="J35" i="6"/>
  <c r="I35" i="6"/>
  <c r="H35" i="6"/>
  <c r="G35" i="6"/>
  <c r="N34" i="6"/>
  <c r="J34" i="6"/>
  <c r="I34" i="6"/>
  <c r="H34" i="6"/>
  <c r="G34" i="6"/>
  <c r="N33" i="6"/>
  <c r="J33" i="6"/>
  <c r="I33" i="6"/>
  <c r="H33" i="6"/>
  <c r="G33" i="6"/>
  <c r="N32" i="6"/>
  <c r="J32" i="6"/>
  <c r="I32" i="6"/>
  <c r="H32" i="6"/>
  <c r="G32" i="6"/>
  <c r="N31" i="6"/>
  <c r="J31" i="6"/>
  <c r="I31" i="6"/>
  <c r="H31" i="6"/>
  <c r="G31" i="6"/>
  <c r="N30" i="6"/>
  <c r="J30" i="6"/>
  <c r="I30" i="6"/>
  <c r="H30" i="6"/>
  <c r="G30" i="6"/>
  <c r="N29" i="6"/>
  <c r="J29" i="6"/>
  <c r="H29" i="6"/>
  <c r="G29" i="6"/>
  <c r="E29" i="6"/>
  <c r="D29" i="6"/>
  <c r="I29" i="6" s="1"/>
  <c r="N28" i="6"/>
  <c r="J28" i="6"/>
  <c r="I28" i="6"/>
  <c r="H28" i="6"/>
  <c r="G28" i="6"/>
  <c r="N27" i="6"/>
  <c r="J27" i="6"/>
  <c r="I27" i="6"/>
  <c r="H27" i="6"/>
  <c r="G27" i="6"/>
  <c r="N26" i="6"/>
  <c r="H26" i="6"/>
  <c r="G26" i="6"/>
  <c r="E26" i="6"/>
  <c r="J26" i="6" s="1"/>
  <c r="D26" i="6"/>
  <c r="I26" i="6" s="1"/>
  <c r="N25" i="6"/>
  <c r="J25" i="6"/>
  <c r="I25" i="6"/>
  <c r="H25" i="6"/>
  <c r="G25" i="6"/>
  <c r="N24" i="6"/>
  <c r="H24" i="6"/>
  <c r="G24" i="6"/>
  <c r="E24" i="6"/>
  <c r="J24" i="6" s="1"/>
  <c r="D24" i="6"/>
  <c r="I24" i="6" s="1"/>
  <c r="N23" i="6"/>
  <c r="J23" i="6"/>
  <c r="I23" i="6"/>
  <c r="H23" i="6"/>
  <c r="G23" i="6"/>
  <c r="M23" i="5"/>
  <c r="M24" i="5"/>
  <c r="M25" i="5"/>
  <c r="M26" i="5"/>
  <c r="M27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6" i="5"/>
  <c r="M117" i="5"/>
  <c r="M118" i="5"/>
  <c r="M119" i="5"/>
  <c r="M120" i="5"/>
  <c r="M121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L24" i="6" l="1"/>
  <c r="L39" i="6"/>
  <c r="S39" i="6" s="1"/>
  <c r="L67" i="6"/>
  <c r="L72" i="6"/>
  <c r="S72" i="6" s="1"/>
  <c r="L81" i="6"/>
  <c r="L120" i="6"/>
  <c r="S120" i="6" s="1"/>
  <c r="L150" i="6"/>
  <c r="L158" i="6"/>
  <c r="L85" i="6"/>
  <c r="L87" i="6"/>
  <c r="S87" i="6" s="1"/>
  <c r="L133" i="6"/>
  <c r="S133" i="6" s="1"/>
  <c r="L168" i="6"/>
  <c r="L49" i="6"/>
  <c r="S49" i="6" s="1"/>
  <c r="L107" i="6"/>
  <c r="S107" i="6" s="1"/>
  <c r="L165" i="6"/>
  <c r="S165" i="6" s="1"/>
  <c r="L173" i="6"/>
  <c r="S173" i="6" s="1"/>
  <c r="L54" i="6"/>
  <c r="L140" i="6"/>
  <c r="S140" i="6" s="1"/>
  <c r="L51" i="6"/>
  <c r="S51" i="6" s="1"/>
  <c r="L148" i="6"/>
  <c r="S148" i="6" s="1"/>
  <c r="L167" i="6"/>
  <c r="S167" i="6" s="1"/>
  <c r="L42" i="6"/>
  <c r="L103" i="6"/>
  <c r="L159" i="6"/>
  <c r="S159" i="6" s="1"/>
  <c r="L23" i="6"/>
  <c r="S23" i="6" s="1"/>
  <c r="L29" i="6"/>
  <c r="S29" i="6" s="1"/>
  <c r="L34" i="6"/>
  <c r="S34" i="6" s="1"/>
  <c r="L60" i="6"/>
  <c r="S60" i="6" s="1"/>
  <c r="L66" i="6"/>
  <c r="O66" i="6" s="1"/>
  <c r="P66" i="6" s="1"/>
  <c r="L69" i="6"/>
  <c r="L75" i="6"/>
  <c r="S75" i="6" s="1"/>
  <c r="L79" i="6"/>
  <c r="L82" i="6"/>
  <c r="S82" i="6" s="1"/>
  <c r="L88" i="6"/>
  <c r="S88" i="6" s="1"/>
  <c r="L91" i="6"/>
  <c r="L95" i="6"/>
  <c r="L97" i="6"/>
  <c r="S97" i="6" s="1"/>
  <c r="L113" i="6"/>
  <c r="S113" i="6" s="1"/>
  <c r="L119" i="6"/>
  <c r="O119" i="6" s="1"/>
  <c r="P119" i="6" s="1"/>
  <c r="L125" i="6"/>
  <c r="O125" i="6" s="1"/>
  <c r="P125" i="6" s="1"/>
  <c r="L131" i="6"/>
  <c r="O131" i="6" s="1"/>
  <c r="P131" i="6" s="1"/>
  <c r="L134" i="6"/>
  <c r="L137" i="6"/>
  <c r="S137" i="6" s="1"/>
  <c r="L146" i="6"/>
  <c r="S146" i="6" s="1"/>
  <c r="L155" i="6"/>
  <c r="S155" i="6" s="1"/>
  <c r="L174" i="6"/>
  <c r="S174" i="6" s="1"/>
  <c r="L57" i="6"/>
  <c r="L63" i="6"/>
  <c r="S63" i="6" s="1"/>
  <c r="S67" i="6"/>
  <c r="L78" i="6"/>
  <c r="S78" i="6" s="1"/>
  <c r="L94" i="6"/>
  <c r="S94" i="6" s="1"/>
  <c r="L100" i="6"/>
  <c r="S100" i="6" s="1"/>
  <c r="L104" i="6"/>
  <c r="S104" i="6" s="1"/>
  <c r="L110" i="6"/>
  <c r="L116" i="6"/>
  <c r="L122" i="6"/>
  <c r="S122" i="6" s="1"/>
  <c r="L128" i="6"/>
  <c r="S128" i="6" s="1"/>
  <c r="L143" i="6"/>
  <c r="S143" i="6" s="1"/>
  <c r="L149" i="6"/>
  <c r="S149" i="6" s="1"/>
  <c r="L152" i="6"/>
  <c r="S152" i="6" s="1"/>
  <c r="L161" i="6"/>
  <c r="O161" i="6" s="1"/>
  <c r="P161" i="6" s="1"/>
  <c r="L164" i="6"/>
  <c r="S164" i="6" s="1"/>
  <c r="L170" i="6"/>
  <c r="S170" i="6" s="1"/>
  <c r="L28" i="6"/>
  <c r="S28" i="6" s="1"/>
  <c r="L36" i="6"/>
  <c r="S36" i="6" s="1"/>
  <c r="L106" i="6"/>
  <c r="S106" i="6" s="1"/>
  <c r="L139" i="6"/>
  <c r="S139" i="6" s="1"/>
  <c r="L176" i="6"/>
  <c r="O176" i="6" s="1"/>
  <c r="P176" i="6" s="1"/>
  <c r="L37" i="6"/>
  <c r="O37" i="6" s="1"/>
  <c r="P37" i="6" s="1"/>
  <c r="L26" i="6"/>
  <c r="S26" i="6" s="1"/>
  <c r="L25" i="6"/>
  <c r="O25" i="6" s="1"/>
  <c r="P25" i="6" s="1"/>
  <c r="L44" i="6"/>
  <c r="L59" i="6"/>
  <c r="S59" i="6" s="1"/>
  <c r="L65" i="6"/>
  <c r="S65" i="6" s="1"/>
  <c r="L68" i="6"/>
  <c r="S68" i="6" s="1"/>
  <c r="L84" i="6"/>
  <c r="S84" i="6" s="1"/>
  <c r="L90" i="6"/>
  <c r="S90" i="6" s="1"/>
  <c r="L96" i="6"/>
  <c r="S96" i="6" s="1"/>
  <c r="L102" i="6"/>
  <c r="S102" i="6" s="1"/>
  <c r="L112" i="6"/>
  <c r="O112" i="6" s="1"/>
  <c r="P112" i="6" s="1"/>
  <c r="L115" i="6"/>
  <c r="S115" i="6" s="1"/>
  <c r="L118" i="6"/>
  <c r="S118" i="6" s="1"/>
  <c r="L124" i="6"/>
  <c r="S124" i="6" s="1"/>
  <c r="L127" i="6"/>
  <c r="S127" i="6" s="1"/>
  <c r="L130" i="6"/>
  <c r="S130" i="6" s="1"/>
  <c r="S134" i="6"/>
  <c r="L136" i="6"/>
  <c r="S136" i="6" s="1"/>
  <c r="L142" i="6"/>
  <c r="S142" i="6" s="1"/>
  <c r="L145" i="6"/>
  <c r="L154" i="6"/>
  <c r="O154" i="6" s="1"/>
  <c r="P154" i="6" s="1"/>
  <c r="L163" i="6"/>
  <c r="O163" i="6" s="1"/>
  <c r="P163" i="6" s="1"/>
  <c r="L55" i="6"/>
  <c r="S55" i="6" s="1"/>
  <c r="L45" i="6"/>
  <c r="S45" i="6" s="1"/>
  <c r="L48" i="6"/>
  <c r="O48" i="6" s="1"/>
  <c r="P48" i="6" s="1"/>
  <c r="L33" i="6"/>
  <c r="S33" i="6" s="1"/>
  <c r="L27" i="6"/>
  <c r="S27" i="6" s="1"/>
  <c r="L30" i="6"/>
  <c r="S30" i="6" s="1"/>
  <c r="L38" i="6"/>
  <c r="S38" i="6" s="1"/>
  <c r="L41" i="6"/>
  <c r="S41" i="6" s="1"/>
  <c r="S42" i="6"/>
  <c r="O50" i="6"/>
  <c r="P50" i="6" s="1"/>
  <c r="L50" i="6"/>
  <c r="L53" i="6"/>
  <c r="S53" i="6" s="1"/>
  <c r="L56" i="6"/>
  <c r="S56" i="6" s="1"/>
  <c r="L62" i="6"/>
  <c r="S62" i="6" s="1"/>
  <c r="L71" i="6"/>
  <c r="S71" i="6" s="1"/>
  <c r="L74" i="6"/>
  <c r="S74" i="6" s="1"/>
  <c r="L77" i="6"/>
  <c r="S77" i="6" s="1"/>
  <c r="L93" i="6"/>
  <c r="S93" i="6" s="1"/>
  <c r="S103" i="6"/>
  <c r="L109" i="6"/>
  <c r="L141" i="6"/>
  <c r="S141" i="6" s="1"/>
  <c r="L151" i="6"/>
  <c r="L157" i="6"/>
  <c r="S157" i="6" s="1"/>
  <c r="L160" i="6"/>
  <c r="O160" i="6" s="1"/>
  <c r="P160" i="6" s="1"/>
  <c r="L169" i="6"/>
  <c r="O169" i="6" s="1"/>
  <c r="P169" i="6" s="1"/>
  <c r="L172" i="6"/>
  <c r="S172" i="6" s="1"/>
  <c r="L31" i="6"/>
  <c r="O31" i="6" s="1"/>
  <c r="P31" i="6" s="1"/>
  <c r="L35" i="6"/>
  <c r="S35" i="6" s="1"/>
  <c r="L46" i="6"/>
  <c r="S46" i="6" s="1"/>
  <c r="L47" i="6"/>
  <c r="S47" i="6" s="1"/>
  <c r="S54" i="6"/>
  <c r="L70" i="6"/>
  <c r="O70" i="6" s="1"/>
  <c r="P70" i="6" s="1"/>
  <c r="L73" i="6"/>
  <c r="S73" i="6" s="1"/>
  <c r="L76" i="6"/>
  <c r="S76" i="6" s="1"/>
  <c r="L80" i="6"/>
  <c r="S80" i="6" s="1"/>
  <c r="L86" i="6"/>
  <c r="O86" i="6" s="1"/>
  <c r="P86" i="6" s="1"/>
  <c r="L89" i="6"/>
  <c r="S89" i="6" s="1"/>
  <c r="L92" i="6"/>
  <c r="O92" i="6" s="1"/>
  <c r="P92" i="6" s="1"/>
  <c r="L99" i="6"/>
  <c r="O99" i="6" s="1"/>
  <c r="P99" i="6" s="1"/>
  <c r="L105" i="6"/>
  <c r="O105" i="6" s="1"/>
  <c r="P105" i="6" s="1"/>
  <c r="L108" i="6"/>
  <c r="S108" i="6" s="1"/>
  <c r="L121" i="6"/>
  <c r="S121" i="6" s="1"/>
  <c r="L132" i="6"/>
  <c r="S132" i="6" s="1"/>
  <c r="L135" i="6"/>
  <c r="S135" i="6" s="1"/>
  <c r="L138" i="6"/>
  <c r="O138" i="6" s="1"/>
  <c r="P138" i="6" s="1"/>
  <c r="L147" i="6"/>
  <c r="O147" i="6" s="1"/>
  <c r="P147" i="6" s="1"/>
  <c r="L166" i="6"/>
  <c r="S166" i="6" s="1"/>
  <c r="L175" i="6"/>
  <c r="O175" i="6" s="1"/>
  <c r="P175" i="6" s="1"/>
  <c r="L32" i="6"/>
  <c r="S32" i="6" s="1"/>
  <c r="L40" i="6"/>
  <c r="S40" i="6" s="1"/>
  <c r="L43" i="6"/>
  <c r="O43" i="6" s="1"/>
  <c r="P43" i="6" s="1"/>
  <c r="L52" i="6"/>
  <c r="S52" i="6" s="1"/>
  <c r="O58" i="6"/>
  <c r="P58" i="6" s="1"/>
  <c r="L58" i="6"/>
  <c r="L61" i="6"/>
  <c r="S61" i="6" s="1"/>
  <c r="L64" i="6"/>
  <c r="S64" i="6" s="1"/>
  <c r="L83" i="6"/>
  <c r="S83" i="6" s="1"/>
  <c r="L98" i="6"/>
  <c r="S98" i="6" s="1"/>
  <c r="L101" i="6"/>
  <c r="O101" i="6" s="1"/>
  <c r="P101" i="6" s="1"/>
  <c r="L111" i="6"/>
  <c r="O111" i="6" s="1"/>
  <c r="P111" i="6" s="1"/>
  <c r="L114" i="6"/>
  <c r="S114" i="6" s="1"/>
  <c r="L117" i="6"/>
  <c r="S117" i="6" s="1"/>
  <c r="L123" i="6"/>
  <c r="O123" i="6" s="1"/>
  <c r="P123" i="6" s="1"/>
  <c r="L126" i="6"/>
  <c r="S126" i="6" s="1"/>
  <c r="L129" i="6"/>
  <c r="L144" i="6"/>
  <c r="S144" i="6" s="1"/>
  <c r="L153" i="6"/>
  <c r="O153" i="6" s="1"/>
  <c r="P153" i="6" s="1"/>
  <c r="L156" i="6"/>
  <c r="S156" i="6" s="1"/>
  <c r="L162" i="6"/>
  <c r="S162" i="6" s="1"/>
  <c r="L171" i="6"/>
  <c r="O171" i="6" s="1"/>
  <c r="P171" i="6" s="1"/>
  <c r="S119" i="6"/>
  <c r="S37" i="6"/>
  <c r="S66" i="6"/>
  <c r="S58" i="6"/>
  <c r="S50" i="6"/>
  <c r="S161" i="6"/>
  <c r="S105" i="6"/>
  <c r="O76" i="6"/>
  <c r="P76" i="6" s="1"/>
  <c r="O46" i="6"/>
  <c r="P46" i="6" s="1"/>
  <c r="O133" i="6"/>
  <c r="P133" i="6" s="1"/>
  <c r="O38" i="6"/>
  <c r="P38" i="6" s="1"/>
  <c r="O97" i="6"/>
  <c r="P97" i="6" s="1"/>
  <c r="O155" i="6"/>
  <c r="P155" i="6" s="1"/>
  <c r="O107" i="6"/>
  <c r="P107" i="6" s="1"/>
  <c r="O148" i="6"/>
  <c r="P148" i="6" s="1"/>
  <c r="O67" i="6"/>
  <c r="P67" i="6" s="1"/>
  <c r="O23" i="6"/>
  <c r="P23" i="6" s="1"/>
  <c r="O54" i="6"/>
  <c r="P54" i="6" s="1"/>
  <c r="O36" i="6"/>
  <c r="P36" i="6" s="1"/>
  <c r="O27" i="6"/>
  <c r="P27" i="6" s="1"/>
  <c r="O93" i="6"/>
  <c r="P93" i="6" s="1"/>
  <c r="O33" i="6"/>
  <c r="P33" i="6" s="1"/>
  <c r="S24" i="6"/>
  <c r="O62" i="6"/>
  <c r="P62" i="6" s="1"/>
  <c r="O68" i="6"/>
  <c r="P68" i="6" s="1"/>
  <c r="O42" i="6"/>
  <c r="P42" i="6" s="1"/>
  <c r="O103" i="6"/>
  <c r="P103" i="6" s="1"/>
  <c r="O47" i="6"/>
  <c r="P47" i="6" s="1"/>
  <c r="S44" i="6"/>
  <c r="S81" i="6"/>
  <c r="O106" i="6"/>
  <c r="P106" i="6" s="1"/>
  <c r="S145" i="6"/>
  <c r="O61" i="6"/>
  <c r="P61" i="6" s="1"/>
  <c r="O59" i="6"/>
  <c r="P59" i="6" s="1"/>
  <c r="O60" i="6"/>
  <c r="P60" i="6" s="1"/>
  <c r="S95" i="6"/>
  <c r="S110" i="6"/>
  <c r="O165" i="6"/>
  <c r="P165" i="6" s="1"/>
  <c r="O135" i="6"/>
  <c r="P135" i="6" s="1"/>
  <c r="O140" i="6"/>
  <c r="P140" i="6" s="1"/>
  <c r="O157" i="6"/>
  <c r="P157" i="6" s="1"/>
  <c r="O166" i="6"/>
  <c r="P166" i="6" s="1"/>
  <c r="O170" i="6"/>
  <c r="P170" i="6" s="1"/>
  <c r="O130" i="6"/>
  <c r="P130" i="6" s="1"/>
  <c r="S79" i="6"/>
  <c r="O84" i="6"/>
  <c r="P84" i="6" s="1"/>
  <c r="O102" i="6"/>
  <c r="P102" i="6" s="1"/>
  <c r="O114" i="6"/>
  <c r="P114" i="6" s="1"/>
  <c r="O142" i="6"/>
  <c r="P142" i="6" s="1"/>
  <c r="S151" i="6"/>
  <c r="O94" i="6"/>
  <c r="P94" i="6" s="1"/>
  <c r="S85" i="6"/>
  <c r="O72" i="6"/>
  <c r="P72" i="6" s="1"/>
  <c r="O87" i="6"/>
  <c r="P87" i="6" s="1"/>
  <c r="O52" i="6"/>
  <c r="P52" i="6" s="1"/>
  <c r="S57" i="6"/>
  <c r="S69" i="6"/>
  <c r="S91" i="6"/>
  <c r="S116" i="6"/>
  <c r="O120" i="6"/>
  <c r="P120" i="6" s="1"/>
  <c r="S129" i="6"/>
  <c r="O134" i="6"/>
  <c r="P134" i="6" s="1"/>
  <c r="S158" i="6"/>
  <c r="O162" i="6"/>
  <c r="P162" i="6" s="1"/>
  <c r="S168" i="6"/>
  <c r="O127" i="6"/>
  <c r="P127" i="6" s="1"/>
  <c r="O143" i="6"/>
  <c r="P143" i="6" s="1"/>
  <c r="O71" i="6"/>
  <c r="P71" i="6" s="1"/>
  <c r="O39" i="6"/>
  <c r="P39" i="6" s="1"/>
  <c r="O63" i="6"/>
  <c r="P63" i="6" s="1"/>
  <c r="S150" i="6"/>
  <c r="O172" i="6"/>
  <c r="P172" i="6" s="1"/>
  <c r="O149" i="5"/>
  <c r="J149" i="5"/>
  <c r="I149" i="5"/>
  <c r="H149" i="5"/>
  <c r="G149" i="5"/>
  <c r="O148" i="5"/>
  <c r="J148" i="5"/>
  <c r="I148" i="5"/>
  <c r="H148" i="5"/>
  <c r="G148" i="5"/>
  <c r="O147" i="5"/>
  <c r="J147" i="5"/>
  <c r="I147" i="5"/>
  <c r="H147" i="5"/>
  <c r="G147" i="5"/>
  <c r="O146" i="5"/>
  <c r="J146" i="5"/>
  <c r="I146" i="5"/>
  <c r="H146" i="5"/>
  <c r="G146" i="5"/>
  <c r="O145" i="5"/>
  <c r="J145" i="5"/>
  <c r="I145" i="5"/>
  <c r="H145" i="5"/>
  <c r="G145" i="5"/>
  <c r="O144" i="5"/>
  <c r="J144" i="5"/>
  <c r="I144" i="5"/>
  <c r="H144" i="5"/>
  <c r="G144" i="5"/>
  <c r="O143" i="5"/>
  <c r="J143" i="5"/>
  <c r="I143" i="5"/>
  <c r="H143" i="5"/>
  <c r="G143" i="5"/>
  <c r="O142" i="5"/>
  <c r="J142" i="5"/>
  <c r="I142" i="5"/>
  <c r="H142" i="5"/>
  <c r="G142" i="5"/>
  <c r="O141" i="5"/>
  <c r="J141" i="5"/>
  <c r="I141" i="5"/>
  <c r="H141" i="5"/>
  <c r="G141" i="5"/>
  <c r="O140" i="5"/>
  <c r="J140" i="5"/>
  <c r="I140" i="5"/>
  <c r="H140" i="5"/>
  <c r="G140" i="5"/>
  <c r="O139" i="5"/>
  <c r="J139" i="5"/>
  <c r="I139" i="5"/>
  <c r="H139" i="5"/>
  <c r="G139" i="5"/>
  <c r="O138" i="5"/>
  <c r="J138" i="5"/>
  <c r="I138" i="5"/>
  <c r="H138" i="5"/>
  <c r="G138" i="5"/>
  <c r="O137" i="5"/>
  <c r="J137" i="5"/>
  <c r="I137" i="5"/>
  <c r="H137" i="5"/>
  <c r="G137" i="5"/>
  <c r="O136" i="5"/>
  <c r="J136" i="5"/>
  <c r="I136" i="5"/>
  <c r="H136" i="5"/>
  <c r="G136" i="5"/>
  <c r="O135" i="5"/>
  <c r="J135" i="5"/>
  <c r="I135" i="5"/>
  <c r="H135" i="5"/>
  <c r="G135" i="5"/>
  <c r="O134" i="5"/>
  <c r="J134" i="5"/>
  <c r="I134" i="5"/>
  <c r="H134" i="5"/>
  <c r="G134" i="5"/>
  <c r="O133" i="5"/>
  <c r="J133" i="5"/>
  <c r="I133" i="5"/>
  <c r="H133" i="5"/>
  <c r="G133" i="5"/>
  <c r="O132" i="5"/>
  <c r="J132" i="5"/>
  <c r="I132" i="5"/>
  <c r="H132" i="5"/>
  <c r="G132" i="5"/>
  <c r="O131" i="5"/>
  <c r="J131" i="5"/>
  <c r="I131" i="5"/>
  <c r="H131" i="5"/>
  <c r="G131" i="5"/>
  <c r="O130" i="5"/>
  <c r="J130" i="5"/>
  <c r="I130" i="5"/>
  <c r="H130" i="5"/>
  <c r="G130" i="5"/>
  <c r="O129" i="5"/>
  <c r="J129" i="5"/>
  <c r="I129" i="5"/>
  <c r="H129" i="5"/>
  <c r="G129" i="5"/>
  <c r="O128" i="5"/>
  <c r="J128" i="5"/>
  <c r="I128" i="5"/>
  <c r="H128" i="5"/>
  <c r="G128" i="5"/>
  <c r="O127" i="5"/>
  <c r="J127" i="5"/>
  <c r="I127" i="5"/>
  <c r="H127" i="5"/>
  <c r="G127" i="5"/>
  <c r="O126" i="5"/>
  <c r="J126" i="5"/>
  <c r="I126" i="5"/>
  <c r="H126" i="5"/>
  <c r="G126" i="5"/>
  <c r="O125" i="5"/>
  <c r="J125" i="5"/>
  <c r="I125" i="5"/>
  <c r="H125" i="5"/>
  <c r="G125" i="5"/>
  <c r="O124" i="5"/>
  <c r="J124" i="5"/>
  <c r="I124" i="5"/>
  <c r="H124" i="5"/>
  <c r="G124" i="5"/>
  <c r="O123" i="5"/>
  <c r="J123" i="5"/>
  <c r="I123" i="5"/>
  <c r="H123" i="5"/>
  <c r="G123" i="5"/>
  <c r="O122" i="5"/>
  <c r="J122" i="5"/>
  <c r="H122" i="5"/>
  <c r="G122" i="5"/>
  <c r="D122" i="5"/>
  <c r="M122" i="5" s="1"/>
  <c r="O121" i="5"/>
  <c r="J121" i="5"/>
  <c r="I121" i="5"/>
  <c r="H121" i="5"/>
  <c r="G121" i="5"/>
  <c r="O120" i="5"/>
  <c r="J120" i="5"/>
  <c r="I120" i="5"/>
  <c r="H120" i="5"/>
  <c r="G120" i="5"/>
  <c r="O119" i="5"/>
  <c r="J119" i="5"/>
  <c r="I119" i="5"/>
  <c r="H119" i="5"/>
  <c r="G119" i="5"/>
  <c r="O118" i="5"/>
  <c r="J118" i="5"/>
  <c r="I118" i="5"/>
  <c r="H118" i="5"/>
  <c r="G118" i="5"/>
  <c r="O117" i="5"/>
  <c r="J117" i="5"/>
  <c r="I117" i="5"/>
  <c r="H117" i="5"/>
  <c r="G117" i="5"/>
  <c r="O116" i="5"/>
  <c r="J116" i="5"/>
  <c r="I116" i="5"/>
  <c r="H116" i="5"/>
  <c r="G116" i="5"/>
  <c r="O115" i="5"/>
  <c r="J115" i="5"/>
  <c r="H115" i="5"/>
  <c r="G115" i="5"/>
  <c r="D115" i="5"/>
  <c r="O114" i="5"/>
  <c r="J114" i="5"/>
  <c r="I114" i="5"/>
  <c r="H114" i="5"/>
  <c r="G114" i="5"/>
  <c r="O113" i="5"/>
  <c r="J113" i="5"/>
  <c r="I113" i="5"/>
  <c r="H113" i="5"/>
  <c r="G113" i="5"/>
  <c r="O112" i="5"/>
  <c r="J112" i="5"/>
  <c r="I112" i="5"/>
  <c r="H112" i="5"/>
  <c r="G112" i="5"/>
  <c r="O111" i="5"/>
  <c r="J111" i="5"/>
  <c r="I111" i="5"/>
  <c r="H111" i="5"/>
  <c r="G111" i="5"/>
  <c r="O110" i="5"/>
  <c r="J110" i="5"/>
  <c r="I110" i="5"/>
  <c r="H110" i="5"/>
  <c r="G110" i="5"/>
  <c r="O109" i="5"/>
  <c r="J109" i="5"/>
  <c r="I109" i="5"/>
  <c r="H109" i="5"/>
  <c r="G109" i="5"/>
  <c r="O108" i="5"/>
  <c r="J108" i="5"/>
  <c r="I108" i="5"/>
  <c r="H108" i="5"/>
  <c r="G108" i="5"/>
  <c r="O107" i="5"/>
  <c r="J107" i="5"/>
  <c r="I107" i="5"/>
  <c r="H107" i="5"/>
  <c r="G107" i="5"/>
  <c r="O106" i="5"/>
  <c r="J106" i="5"/>
  <c r="I106" i="5"/>
  <c r="H106" i="5"/>
  <c r="G106" i="5"/>
  <c r="O105" i="5"/>
  <c r="J105" i="5"/>
  <c r="I105" i="5"/>
  <c r="H105" i="5"/>
  <c r="G105" i="5"/>
  <c r="O104" i="5"/>
  <c r="J104" i="5"/>
  <c r="I104" i="5"/>
  <c r="H104" i="5"/>
  <c r="G104" i="5"/>
  <c r="O103" i="5"/>
  <c r="J103" i="5"/>
  <c r="I103" i="5"/>
  <c r="H103" i="5"/>
  <c r="G103" i="5"/>
  <c r="O102" i="5"/>
  <c r="J102" i="5"/>
  <c r="I102" i="5"/>
  <c r="H102" i="5"/>
  <c r="G102" i="5"/>
  <c r="O101" i="5"/>
  <c r="J101" i="5"/>
  <c r="I101" i="5"/>
  <c r="H101" i="5"/>
  <c r="G101" i="5"/>
  <c r="O100" i="5"/>
  <c r="J100" i="5"/>
  <c r="I100" i="5"/>
  <c r="H100" i="5"/>
  <c r="G100" i="5"/>
  <c r="O99" i="5"/>
  <c r="J99" i="5"/>
  <c r="I99" i="5"/>
  <c r="H99" i="5"/>
  <c r="G99" i="5"/>
  <c r="O98" i="5"/>
  <c r="J98" i="5"/>
  <c r="I98" i="5"/>
  <c r="H98" i="5"/>
  <c r="G98" i="5"/>
  <c r="O97" i="5"/>
  <c r="J97" i="5"/>
  <c r="I97" i="5"/>
  <c r="H97" i="5"/>
  <c r="G97" i="5"/>
  <c r="O96" i="5"/>
  <c r="J96" i="5"/>
  <c r="I96" i="5"/>
  <c r="H96" i="5"/>
  <c r="G96" i="5"/>
  <c r="O95" i="5"/>
  <c r="J95" i="5"/>
  <c r="I95" i="5"/>
  <c r="H95" i="5"/>
  <c r="G95" i="5"/>
  <c r="O94" i="5"/>
  <c r="J94" i="5"/>
  <c r="I94" i="5"/>
  <c r="H94" i="5"/>
  <c r="G94" i="5"/>
  <c r="O93" i="5"/>
  <c r="J93" i="5"/>
  <c r="I93" i="5"/>
  <c r="H93" i="5"/>
  <c r="G93" i="5"/>
  <c r="O92" i="5"/>
  <c r="J92" i="5"/>
  <c r="I92" i="5"/>
  <c r="H92" i="5"/>
  <c r="G92" i="5"/>
  <c r="O91" i="5"/>
  <c r="J91" i="5"/>
  <c r="I91" i="5"/>
  <c r="H91" i="5"/>
  <c r="G91" i="5"/>
  <c r="O90" i="5"/>
  <c r="J90" i="5"/>
  <c r="I90" i="5"/>
  <c r="H90" i="5"/>
  <c r="G90" i="5"/>
  <c r="O89" i="5"/>
  <c r="J89" i="5"/>
  <c r="I89" i="5"/>
  <c r="H89" i="5"/>
  <c r="G89" i="5"/>
  <c r="O88" i="5"/>
  <c r="J88" i="5"/>
  <c r="I88" i="5"/>
  <c r="H88" i="5"/>
  <c r="G88" i="5"/>
  <c r="O87" i="5"/>
  <c r="J87" i="5"/>
  <c r="I87" i="5"/>
  <c r="H87" i="5"/>
  <c r="G87" i="5"/>
  <c r="O86" i="5"/>
  <c r="J86" i="5"/>
  <c r="I86" i="5"/>
  <c r="H86" i="5"/>
  <c r="G86" i="5"/>
  <c r="O85" i="5"/>
  <c r="J85" i="5"/>
  <c r="I85" i="5"/>
  <c r="H85" i="5"/>
  <c r="G85" i="5"/>
  <c r="O84" i="5"/>
  <c r="J84" i="5"/>
  <c r="I84" i="5"/>
  <c r="H84" i="5"/>
  <c r="G84" i="5"/>
  <c r="O83" i="5"/>
  <c r="J83" i="5"/>
  <c r="I83" i="5"/>
  <c r="H83" i="5"/>
  <c r="G83" i="5"/>
  <c r="O82" i="5"/>
  <c r="J82" i="5"/>
  <c r="I82" i="5"/>
  <c r="H82" i="5"/>
  <c r="G82" i="5"/>
  <c r="O81" i="5"/>
  <c r="J81" i="5"/>
  <c r="I81" i="5"/>
  <c r="H81" i="5"/>
  <c r="G81" i="5"/>
  <c r="O80" i="5"/>
  <c r="J80" i="5"/>
  <c r="I80" i="5"/>
  <c r="H80" i="5"/>
  <c r="G80" i="5"/>
  <c r="O79" i="5"/>
  <c r="J79" i="5"/>
  <c r="I79" i="5"/>
  <c r="H79" i="5"/>
  <c r="G79" i="5"/>
  <c r="O78" i="5"/>
  <c r="J78" i="5"/>
  <c r="I78" i="5"/>
  <c r="H78" i="5"/>
  <c r="G78" i="5"/>
  <c r="O77" i="5"/>
  <c r="J77" i="5"/>
  <c r="I77" i="5"/>
  <c r="H77" i="5"/>
  <c r="G77" i="5"/>
  <c r="O76" i="5"/>
  <c r="J76" i="5"/>
  <c r="I76" i="5"/>
  <c r="H76" i="5"/>
  <c r="G76" i="5"/>
  <c r="O75" i="5"/>
  <c r="J75" i="5"/>
  <c r="I75" i="5"/>
  <c r="H75" i="5"/>
  <c r="G75" i="5"/>
  <c r="O74" i="5"/>
  <c r="J74" i="5"/>
  <c r="I74" i="5"/>
  <c r="H74" i="5"/>
  <c r="G74" i="5"/>
  <c r="O73" i="5"/>
  <c r="J73" i="5"/>
  <c r="I73" i="5"/>
  <c r="H73" i="5"/>
  <c r="G73" i="5"/>
  <c r="O72" i="5"/>
  <c r="J72" i="5"/>
  <c r="I72" i="5"/>
  <c r="H72" i="5"/>
  <c r="G72" i="5"/>
  <c r="O71" i="5"/>
  <c r="J71" i="5"/>
  <c r="I71" i="5"/>
  <c r="H71" i="5"/>
  <c r="G71" i="5"/>
  <c r="O70" i="5"/>
  <c r="J70" i="5"/>
  <c r="I70" i="5"/>
  <c r="H70" i="5"/>
  <c r="G70" i="5"/>
  <c r="O69" i="5"/>
  <c r="J69" i="5"/>
  <c r="I69" i="5"/>
  <c r="H69" i="5"/>
  <c r="G69" i="5"/>
  <c r="O68" i="5"/>
  <c r="J68" i="5"/>
  <c r="I68" i="5"/>
  <c r="H68" i="5"/>
  <c r="G68" i="5"/>
  <c r="O67" i="5"/>
  <c r="J67" i="5"/>
  <c r="I67" i="5"/>
  <c r="H67" i="5"/>
  <c r="G67" i="5"/>
  <c r="O66" i="5"/>
  <c r="J66" i="5"/>
  <c r="I66" i="5"/>
  <c r="H66" i="5"/>
  <c r="G66" i="5"/>
  <c r="O65" i="5"/>
  <c r="J65" i="5"/>
  <c r="I65" i="5"/>
  <c r="H65" i="5"/>
  <c r="G65" i="5"/>
  <c r="O64" i="5"/>
  <c r="J64" i="5"/>
  <c r="I64" i="5"/>
  <c r="H64" i="5"/>
  <c r="G64" i="5"/>
  <c r="O63" i="5"/>
  <c r="J63" i="5"/>
  <c r="I63" i="5"/>
  <c r="H63" i="5"/>
  <c r="G63" i="5"/>
  <c r="O62" i="5"/>
  <c r="J62" i="5"/>
  <c r="I62" i="5"/>
  <c r="H62" i="5"/>
  <c r="G62" i="5"/>
  <c r="O61" i="5"/>
  <c r="J61" i="5"/>
  <c r="I61" i="5"/>
  <c r="H61" i="5"/>
  <c r="G61" i="5"/>
  <c r="O60" i="5"/>
  <c r="J60" i="5"/>
  <c r="I60" i="5"/>
  <c r="H60" i="5"/>
  <c r="G60" i="5"/>
  <c r="O59" i="5"/>
  <c r="J59" i="5"/>
  <c r="I59" i="5"/>
  <c r="H59" i="5"/>
  <c r="G59" i="5"/>
  <c r="O58" i="5"/>
  <c r="J58" i="5"/>
  <c r="I58" i="5"/>
  <c r="H58" i="5"/>
  <c r="G58" i="5"/>
  <c r="O57" i="5"/>
  <c r="J57" i="5"/>
  <c r="I57" i="5"/>
  <c r="H57" i="5"/>
  <c r="G57" i="5"/>
  <c r="O56" i="5"/>
  <c r="J56" i="5"/>
  <c r="I56" i="5"/>
  <c r="H56" i="5"/>
  <c r="G56" i="5"/>
  <c r="O55" i="5"/>
  <c r="J55" i="5"/>
  <c r="I55" i="5"/>
  <c r="H55" i="5"/>
  <c r="G55" i="5"/>
  <c r="O54" i="5"/>
  <c r="J54" i="5"/>
  <c r="I54" i="5"/>
  <c r="H54" i="5"/>
  <c r="G54" i="5"/>
  <c r="O53" i="5"/>
  <c r="J53" i="5"/>
  <c r="I53" i="5"/>
  <c r="H53" i="5"/>
  <c r="G53" i="5"/>
  <c r="O52" i="5"/>
  <c r="J52" i="5"/>
  <c r="I52" i="5"/>
  <c r="H52" i="5"/>
  <c r="G52" i="5"/>
  <c r="O51" i="5"/>
  <c r="J51" i="5"/>
  <c r="I51" i="5"/>
  <c r="H51" i="5"/>
  <c r="G51" i="5"/>
  <c r="O50" i="5"/>
  <c r="J50" i="5"/>
  <c r="I50" i="5"/>
  <c r="H50" i="5"/>
  <c r="G50" i="5"/>
  <c r="O49" i="5"/>
  <c r="J49" i="5"/>
  <c r="I49" i="5"/>
  <c r="H49" i="5"/>
  <c r="G49" i="5"/>
  <c r="O48" i="5"/>
  <c r="J48" i="5"/>
  <c r="I48" i="5"/>
  <c r="H48" i="5"/>
  <c r="G48" i="5"/>
  <c r="O47" i="5"/>
  <c r="J47" i="5"/>
  <c r="I47" i="5"/>
  <c r="H47" i="5"/>
  <c r="G47" i="5"/>
  <c r="O46" i="5"/>
  <c r="J46" i="5"/>
  <c r="I46" i="5"/>
  <c r="H46" i="5"/>
  <c r="G46" i="5"/>
  <c r="O45" i="5"/>
  <c r="J45" i="5"/>
  <c r="I45" i="5"/>
  <c r="H45" i="5"/>
  <c r="G45" i="5"/>
  <c r="O44" i="5"/>
  <c r="J44" i="5"/>
  <c r="I44" i="5"/>
  <c r="H44" i="5"/>
  <c r="G44" i="5"/>
  <c r="O43" i="5"/>
  <c r="J43" i="5"/>
  <c r="I43" i="5"/>
  <c r="H43" i="5"/>
  <c r="G43" i="5"/>
  <c r="O42" i="5"/>
  <c r="J42" i="5"/>
  <c r="I42" i="5"/>
  <c r="H42" i="5"/>
  <c r="G42" i="5"/>
  <c r="O41" i="5"/>
  <c r="J41" i="5"/>
  <c r="I41" i="5"/>
  <c r="H41" i="5"/>
  <c r="G41" i="5"/>
  <c r="O40" i="5"/>
  <c r="J40" i="5"/>
  <c r="I40" i="5"/>
  <c r="H40" i="5"/>
  <c r="G40" i="5"/>
  <c r="O39" i="5"/>
  <c r="J39" i="5"/>
  <c r="I39" i="5"/>
  <c r="H39" i="5"/>
  <c r="G39" i="5"/>
  <c r="O38" i="5"/>
  <c r="J38" i="5"/>
  <c r="I38" i="5"/>
  <c r="H38" i="5"/>
  <c r="G38" i="5"/>
  <c r="O37" i="5"/>
  <c r="J37" i="5"/>
  <c r="I37" i="5"/>
  <c r="H37" i="5"/>
  <c r="G37" i="5"/>
  <c r="O36" i="5"/>
  <c r="J36" i="5"/>
  <c r="I36" i="5"/>
  <c r="H36" i="5"/>
  <c r="G36" i="5"/>
  <c r="O35" i="5"/>
  <c r="J35" i="5"/>
  <c r="I35" i="5"/>
  <c r="H35" i="5"/>
  <c r="G35" i="5"/>
  <c r="O34" i="5"/>
  <c r="J34" i="5"/>
  <c r="I34" i="5"/>
  <c r="H34" i="5"/>
  <c r="G34" i="5"/>
  <c r="O33" i="5"/>
  <c r="J33" i="5"/>
  <c r="I33" i="5"/>
  <c r="H33" i="5"/>
  <c r="G33" i="5"/>
  <c r="O32" i="5"/>
  <c r="J32" i="5"/>
  <c r="I32" i="5"/>
  <c r="H32" i="5"/>
  <c r="G32" i="5"/>
  <c r="O31" i="5"/>
  <c r="J31" i="5"/>
  <c r="I31" i="5"/>
  <c r="H31" i="5"/>
  <c r="G31" i="5"/>
  <c r="O30" i="5"/>
  <c r="J30" i="5"/>
  <c r="I30" i="5"/>
  <c r="H30" i="5"/>
  <c r="G30" i="5"/>
  <c r="O23" i="5"/>
  <c r="J23" i="5"/>
  <c r="I23" i="5"/>
  <c r="H23" i="5"/>
  <c r="G23" i="5"/>
  <c r="O29" i="5"/>
  <c r="J29" i="5"/>
  <c r="I29" i="5"/>
  <c r="H29" i="5"/>
  <c r="G29" i="5"/>
  <c r="O28" i="5"/>
  <c r="H28" i="5"/>
  <c r="G28" i="5"/>
  <c r="E28" i="5"/>
  <c r="M28" i="5" s="1"/>
  <c r="D28" i="5"/>
  <c r="I28" i="5" s="1"/>
  <c r="O27" i="5"/>
  <c r="J27" i="5"/>
  <c r="I27" i="5"/>
  <c r="H27" i="5"/>
  <c r="G27" i="5"/>
  <c r="O26" i="5"/>
  <c r="J26" i="5"/>
  <c r="I26" i="5"/>
  <c r="H26" i="5"/>
  <c r="G26" i="5"/>
  <c r="O25" i="5"/>
  <c r="J25" i="5"/>
  <c r="I25" i="5"/>
  <c r="H25" i="5"/>
  <c r="G25" i="5"/>
  <c r="O24" i="5"/>
  <c r="J24" i="5"/>
  <c r="I24" i="5"/>
  <c r="H24" i="5"/>
  <c r="G24" i="5"/>
  <c r="G161" i="3"/>
  <c r="L161" i="3" s="1"/>
  <c r="H161" i="3"/>
  <c r="I161" i="3"/>
  <c r="J161" i="3"/>
  <c r="N161" i="3"/>
  <c r="G162" i="3"/>
  <c r="L162" i="3" s="1"/>
  <c r="H162" i="3"/>
  <c r="I162" i="3"/>
  <c r="J162" i="3"/>
  <c r="N162" i="3"/>
  <c r="G163" i="3"/>
  <c r="L163" i="3" s="1"/>
  <c r="H163" i="3"/>
  <c r="I163" i="3"/>
  <c r="J163" i="3"/>
  <c r="N163" i="3"/>
  <c r="G164" i="3"/>
  <c r="H164" i="3"/>
  <c r="I164" i="3"/>
  <c r="J164" i="3"/>
  <c r="L164" i="3"/>
  <c r="O164" i="3" s="1"/>
  <c r="P164" i="3" s="1"/>
  <c r="N164" i="3"/>
  <c r="G165" i="3"/>
  <c r="H165" i="3"/>
  <c r="I165" i="3"/>
  <c r="J165" i="3"/>
  <c r="L165" i="3" s="1"/>
  <c r="N165" i="3"/>
  <c r="G166" i="3"/>
  <c r="H166" i="3"/>
  <c r="I166" i="3"/>
  <c r="L166" i="3" s="1"/>
  <c r="J166" i="3"/>
  <c r="N166" i="3"/>
  <c r="G167" i="3"/>
  <c r="H167" i="3"/>
  <c r="L167" i="3" s="1"/>
  <c r="I167" i="3"/>
  <c r="J167" i="3"/>
  <c r="N167" i="3"/>
  <c r="G168" i="3"/>
  <c r="L168" i="3" s="1"/>
  <c r="H168" i="3"/>
  <c r="I168" i="3"/>
  <c r="J168" i="3"/>
  <c r="N168" i="3"/>
  <c r="G169" i="3"/>
  <c r="L169" i="3" s="1"/>
  <c r="H169" i="3"/>
  <c r="I169" i="3"/>
  <c r="J169" i="3"/>
  <c r="N169" i="3"/>
  <c r="G170" i="3"/>
  <c r="L170" i="3" s="1"/>
  <c r="H170" i="3"/>
  <c r="I170" i="3"/>
  <c r="J170" i="3"/>
  <c r="N170" i="3"/>
  <c r="G171" i="3"/>
  <c r="L171" i="3" s="1"/>
  <c r="H171" i="3"/>
  <c r="I171" i="3"/>
  <c r="J171" i="3"/>
  <c r="N171" i="3"/>
  <c r="G172" i="3"/>
  <c r="H172" i="3"/>
  <c r="I172" i="3"/>
  <c r="J172" i="3"/>
  <c r="L172" i="3"/>
  <c r="O172" i="3" s="1"/>
  <c r="P172" i="3" s="1"/>
  <c r="N172" i="3"/>
  <c r="G173" i="3"/>
  <c r="H173" i="3"/>
  <c r="I173" i="3"/>
  <c r="J173" i="3"/>
  <c r="L173" i="3" s="1"/>
  <c r="N173" i="3"/>
  <c r="G174" i="3"/>
  <c r="H174" i="3"/>
  <c r="I174" i="3"/>
  <c r="L174" i="3" s="1"/>
  <c r="J174" i="3"/>
  <c r="N174" i="3"/>
  <c r="G175" i="3"/>
  <c r="H175" i="3"/>
  <c r="L175" i="3" s="1"/>
  <c r="I175" i="3"/>
  <c r="J175" i="3"/>
  <c r="N175" i="3"/>
  <c r="G176" i="3"/>
  <c r="L176" i="3" s="1"/>
  <c r="H176" i="3"/>
  <c r="I176" i="3"/>
  <c r="J176" i="3"/>
  <c r="N176" i="3"/>
  <c r="D149" i="3"/>
  <c r="D142" i="3"/>
  <c r="E121" i="3"/>
  <c r="D121" i="3"/>
  <c r="E120" i="3"/>
  <c r="D120" i="3"/>
  <c r="I120" i="3" s="1"/>
  <c r="E109" i="3"/>
  <c r="J109" i="3" s="1"/>
  <c r="D109" i="3"/>
  <c r="I109" i="3" s="1"/>
  <c r="E104" i="3"/>
  <c r="D104" i="3"/>
  <c r="E103" i="3"/>
  <c r="D103" i="3"/>
  <c r="E99" i="3"/>
  <c r="D99" i="3"/>
  <c r="I99" i="3" s="1"/>
  <c r="E95" i="3"/>
  <c r="J95" i="3" s="1"/>
  <c r="D95" i="3"/>
  <c r="I95" i="3" s="1"/>
  <c r="E94" i="3"/>
  <c r="D94" i="3"/>
  <c r="E93" i="3"/>
  <c r="D93" i="3"/>
  <c r="E85" i="3"/>
  <c r="D85" i="3"/>
  <c r="I85" i="3" s="1"/>
  <c r="E84" i="3"/>
  <c r="J84" i="3" s="1"/>
  <c r="D84" i="3"/>
  <c r="I84" i="3" s="1"/>
  <c r="E83" i="3"/>
  <c r="D83" i="3"/>
  <c r="E82" i="3"/>
  <c r="E81" i="3"/>
  <c r="E80" i="3"/>
  <c r="D80" i="3"/>
  <c r="E79" i="3"/>
  <c r="J79" i="3" s="1"/>
  <c r="D79" i="3"/>
  <c r="I79" i="3" s="1"/>
  <c r="E78" i="3"/>
  <c r="E77" i="3"/>
  <c r="D77" i="3"/>
  <c r="E74" i="3"/>
  <c r="D74" i="3"/>
  <c r="E71" i="3"/>
  <c r="J71" i="3" s="1"/>
  <c r="D71" i="3"/>
  <c r="I71" i="3" s="1"/>
  <c r="E67" i="3"/>
  <c r="D67" i="3"/>
  <c r="E47" i="3"/>
  <c r="D47" i="3"/>
  <c r="E45" i="3"/>
  <c r="D45" i="3"/>
  <c r="E29" i="3"/>
  <c r="J29" i="3" s="1"/>
  <c r="D29" i="3"/>
  <c r="I29" i="3" s="1"/>
  <c r="E26" i="3"/>
  <c r="J26" i="3" s="1"/>
  <c r="D26" i="3"/>
  <c r="E24" i="3"/>
  <c r="D24" i="3"/>
  <c r="G161" i="4"/>
  <c r="H161" i="4"/>
  <c r="I161" i="4"/>
  <c r="J161" i="4"/>
  <c r="N161" i="4"/>
  <c r="G162" i="4"/>
  <c r="H162" i="4"/>
  <c r="I162" i="4"/>
  <c r="J162" i="4"/>
  <c r="N162" i="4"/>
  <c r="G163" i="4"/>
  <c r="H163" i="4"/>
  <c r="I163" i="4"/>
  <c r="J163" i="4"/>
  <c r="N163" i="4"/>
  <c r="G164" i="4"/>
  <c r="H164" i="4"/>
  <c r="I164" i="4"/>
  <c r="J164" i="4"/>
  <c r="N164" i="4"/>
  <c r="G165" i="4"/>
  <c r="H165" i="4"/>
  <c r="I165" i="4"/>
  <c r="J165" i="4"/>
  <c r="N165" i="4"/>
  <c r="G166" i="4"/>
  <c r="H166" i="4"/>
  <c r="I166" i="4"/>
  <c r="J166" i="4"/>
  <c r="N166" i="4"/>
  <c r="G167" i="4"/>
  <c r="L167" i="4" s="1"/>
  <c r="H167" i="4"/>
  <c r="I167" i="4"/>
  <c r="J167" i="4"/>
  <c r="N167" i="4"/>
  <c r="G168" i="4"/>
  <c r="H168" i="4"/>
  <c r="I168" i="4"/>
  <c r="J168" i="4"/>
  <c r="N168" i="4"/>
  <c r="G169" i="4"/>
  <c r="H169" i="4"/>
  <c r="I169" i="4"/>
  <c r="J169" i="4"/>
  <c r="N169" i="4"/>
  <c r="G170" i="4"/>
  <c r="H170" i="4"/>
  <c r="I170" i="4"/>
  <c r="J170" i="4"/>
  <c r="N170" i="4"/>
  <c r="G171" i="4"/>
  <c r="H171" i="4"/>
  <c r="I171" i="4"/>
  <c r="J171" i="4"/>
  <c r="N171" i="4"/>
  <c r="G172" i="4"/>
  <c r="H172" i="4"/>
  <c r="I172" i="4"/>
  <c r="J172" i="4"/>
  <c r="N172" i="4"/>
  <c r="G173" i="4"/>
  <c r="H173" i="4"/>
  <c r="I173" i="4"/>
  <c r="J173" i="4"/>
  <c r="N173" i="4"/>
  <c r="G174" i="4"/>
  <c r="H174" i="4"/>
  <c r="I174" i="4"/>
  <c r="J174" i="4"/>
  <c r="N174" i="4"/>
  <c r="G175" i="4"/>
  <c r="L175" i="4" s="1"/>
  <c r="H175" i="4"/>
  <c r="I175" i="4"/>
  <c r="J175" i="4"/>
  <c r="N175" i="4"/>
  <c r="G176" i="4"/>
  <c r="H176" i="4"/>
  <c r="I176" i="4"/>
  <c r="J176" i="4"/>
  <c r="N176" i="4"/>
  <c r="E121" i="4"/>
  <c r="J121" i="4" s="1"/>
  <c r="E120" i="4"/>
  <c r="E109" i="4"/>
  <c r="J109" i="4" s="1"/>
  <c r="E104" i="4"/>
  <c r="J104" i="4" s="1"/>
  <c r="E103" i="4"/>
  <c r="J103" i="4" s="1"/>
  <c r="E99" i="4"/>
  <c r="J99" i="4" s="1"/>
  <c r="E95" i="4"/>
  <c r="J95" i="4" s="1"/>
  <c r="E94" i="4"/>
  <c r="J94" i="4" s="1"/>
  <c r="E93" i="4"/>
  <c r="E85" i="4"/>
  <c r="E84" i="4"/>
  <c r="J84" i="4" s="1"/>
  <c r="E83" i="4"/>
  <c r="J83" i="4" s="1"/>
  <c r="E82" i="4"/>
  <c r="J82" i="4" s="1"/>
  <c r="E81" i="4"/>
  <c r="J81" i="4" s="1"/>
  <c r="E80" i="4"/>
  <c r="J80" i="4" s="1"/>
  <c r="E79" i="4"/>
  <c r="E78" i="4"/>
  <c r="E77" i="4"/>
  <c r="E74" i="4"/>
  <c r="J74" i="4" s="1"/>
  <c r="E71" i="4"/>
  <c r="J71" i="4" s="1"/>
  <c r="E67" i="4"/>
  <c r="J67" i="4" s="1"/>
  <c r="E47" i="4"/>
  <c r="J47" i="4" s="1"/>
  <c r="E45" i="4"/>
  <c r="J45" i="4" s="1"/>
  <c r="E29" i="4"/>
  <c r="J29" i="4" s="1"/>
  <c r="E26" i="4"/>
  <c r="E24" i="4"/>
  <c r="D149" i="4"/>
  <c r="I149" i="4" s="1"/>
  <c r="D142" i="4"/>
  <c r="I142" i="4" s="1"/>
  <c r="D121" i="4"/>
  <c r="I121" i="4" s="1"/>
  <c r="D120" i="4"/>
  <c r="I120" i="4" s="1"/>
  <c r="D109" i="4"/>
  <c r="I109" i="4" s="1"/>
  <c r="D104" i="4"/>
  <c r="D103" i="4"/>
  <c r="D99" i="4"/>
  <c r="I99" i="4" s="1"/>
  <c r="D95" i="4"/>
  <c r="I95" i="4" s="1"/>
  <c r="D94" i="4"/>
  <c r="I94" i="4" s="1"/>
  <c r="D93" i="4"/>
  <c r="I93" i="4" s="1"/>
  <c r="D85" i="4"/>
  <c r="I85" i="4" s="1"/>
  <c r="D84" i="4"/>
  <c r="I84" i="4" s="1"/>
  <c r="D83" i="4"/>
  <c r="D80" i="4"/>
  <c r="D79" i="4"/>
  <c r="I79" i="4" s="1"/>
  <c r="D77" i="4"/>
  <c r="I77" i="4" s="1"/>
  <c r="D74" i="4"/>
  <c r="I74" i="4" s="1"/>
  <c r="D71" i="4"/>
  <c r="D67" i="4"/>
  <c r="I67" i="4" s="1"/>
  <c r="D47" i="4"/>
  <c r="I47" i="4" s="1"/>
  <c r="D45" i="4"/>
  <c r="D29" i="4"/>
  <c r="D26" i="4"/>
  <c r="D24" i="4"/>
  <c r="I24" i="4" s="1"/>
  <c r="N160" i="4"/>
  <c r="J160" i="4"/>
  <c r="I160" i="4"/>
  <c r="H160" i="4"/>
  <c r="G160" i="4"/>
  <c r="N159" i="4"/>
  <c r="J159" i="4"/>
  <c r="I159" i="4"/>
  <c r="H159" i="4"/>
  <c r="G159" i="4"/>
  <c r="L159" i="4" s="1"/>
  <c r="N158" i="4"/>
  <c r="J158" i="4"/>
  <c r="I158" i="4"/>
  <c r="H158" i="4"/>
  <c r="G158" i="4"/>
  <c r="N157" i="4"/>
  <c r="J157" i="4"/>
  <c r="I157" i="4"/>
  <c r="H157" i="4"/>
  <c r="G157" i="4"/>
  <c r="L157" i="4" s="1"/>
  <c r="N156" i="4"/>
  <c r="J156" i="4"/>
  <c r="I156" i="4"/>
  <c r="H156" i="4"/>
  <c r="G156" i="4"/>
  <c r="L156" i="4" s="1"/>
  <c r="N155" i="4"/>
  <c r="J155" i="4"/>
  <c r="I155" i="4"/>
  <c r="H155" i="4"/>
  <c r="G155" i="4"/>
  <c r="N154" i="4"/>
  <c r="J154" i="4"/>
  <c r="I154" i="4"/>
  <c r="H154" i="4"/>
  <c r="G154" i="4"/>
  <c r="L154" i="4" s="1"/>
  <c r="N153" i="4"/>
  <c r="J153" i="4"/>
  <c r="I153" i="4"/>
  <c r="H153" i="4"/>
  <c r="G153" i="4"/>
  <c r="N152" i="4"/>
  <c r="J152" i="4"/>
  <c r="I152" i="4"/>
  <c r="H152" i="4"/>
  <c r="G152" i="4"/>
  <c r="N151" i="4"/>
  <c r="J151" i="4"/>
  <c r="I151" i="4"/>
  <c r="H151" i="4"/>
  <c r="G151" i="4"/>
  <c r="L151" i="4" s="1"/>
  <c r="N150" i="4"/>
  <c r="J150" i="4"/>
  <c r="I150" i="4"/>
  <c r="H150" i="4"/>
  <c r="G150" i="4"/>
  <c r="N149" i="4"/>
  <c r="J149" i="4"/>
  <c r="H149" i="4"/>
  <c r="G149" i="4"/>
  <c r="L149" i="4" s="1"/>
  <c r="N148" i="4"/>
  <c r="J148" i="4"/>
  <c r="I148" i="4"/>
  <c r="H148" i="4"/>
  <c r="G148" i="4"/>
  <c r="N147" i="4"/>
  <c r="J147" i="4"/>
  <c r="I147" i="4"/>
  <c r="H147" i="4"/>
  <c r="G147" i="4"/>
  <c r="N146" i="4"/>
  <c r="J146" i="4"/>
  <c r="I146" i="4"/>
  <c r="H146" i="4"/>
  <c r="G146" i="4"/>
  <c r="L146" i="4" s="1"/>
  <c r="N145" i="4"/>
  <c r="J145" i="4"/>
  <c r="I145" i="4"/>
  <c r="H145" i="4"/>
  <c r="G145" i="4"/>
  <c r="N144" i="4"/>
  <c r="J144" i="4"/>
  <c r="I144" i="4"/>
  <c r="H144" i="4"/>
  <c r="G144" i="4"/>
  <c r="L144" i="4" s="1"/>
  <c r="N143" i="4"/>
  <c r="J143" i="4"/>
  <c r="I143" i="4"/>
  <c r="H143" i="4"/>
  <c r="G143" i="4"/>
  <c r="L143" i="4" s="1"/>
  <c r="N142" i="4"/>
  <c r="J142" i="4"/>
  <c r="H142" i="4"/>
  <c r="G142" i="4"/>
  <c r="N141" i="4"/>
  <c r="J141" i="4"/>
  <c r="I141" i="4"/>
  <c r="H141" i="4"/>
  <c r="G141" i="4"/>
  <c r="L141" i="4" s="1"/>
  <c r="N140" i="4"/>
  <c r="J140" i="4"/>
  <c r="I140" i="4"/>
  <c r="H140" i="4"/>
  <c r="G140" i="4"/>
  <c r="N139" i="4"/>
  <c r="J139" i="4"/>
  <c r="I139" i="4"/>
  <c r="H139" i="4"/>
  <c r="G139" i="4"/>
  <c r="L139" i="4" s="1"/>
  <c r="N138" i="4"/>
  <c r="J138" i="4"/>
  <c r="I138" i="4"/>
  <c r="H138" i="4"/>
  <c r="G138" i="4"/>
  <c r="L138" i="4" s="1"/>
  <c r="N137" i="4"/>
  <c r="J137" i="4"/>
  <c r="I137" i="4"/>
  <c r="H137" i="4"/>
  <c r="G137" i="4"/>
  <c r="N136" i="4"/>
  <c r="J136" i="4"/>
  <c r="I136" i="4"/>
  <c r="H136" i="4"/>
  <c r="G136" i="4"/>
  <c r="L136" i="4" s="1"/>
  <c r="N135" i="4"/>
  <c r="J135" i="4"/>
  <c r="I135" i="4"/>
  <c r="H135" i="4"/>
  <c r="G135" i="4"/>
  <c r="N134" i="4"/>
  <c r="J134" i="4"/>
  <c r="I134" i="4"/>
  <c r="H134" i="4"/>
  <c r="G134" i="4"/>
  <c r="N133" i="4"/>
  <c r="J133" i="4"/>
  <c r="I133" i="4"/>
  <c r="H133" i="4"/>
  <c r="G133" i="4"/>
  <c r="L133" i="4" s="1"/>
  <c r="N132" i="4"/>
  <c r="J132" i="4"/>
  <c r="I132" i="4"/>
  <c r="H132" i="4"/>
  <c r="G132" i="4"/>
  <c r="N131" i="4"/>
  <c r="J131" i="4"/>
  <c r="I131" i="4"/>
  <c r="H131" i="4"/>
  <c r="G131" i="4"/>
  <c r="L131" i="4" s="1"/>
  <c r="N130" i="4"/>
  <c r="J130" i="4"/>
  <c r="I130" i="4"/>
  <c r="H130" i="4"/>
  <c r="G130" i="4"/>
  <c r="L130" i="4" s="1"/>
  <c r="N129" i="4"/>
  <c r="J129" i="4"/>
  <c r="I129" i="4"/>
  <c r="H129" i="4"/>
  <c r="G129" i="4"/>
  <c r="N128" i="4"/>
  <c r="J128" i="4"/>
  <c r="I128" i="4"/>
  <c r="H128" i="4"/>
  <c r="G128" i="4"/>
  <c r="L128" i="4" s="1"/>
  <c r="N127" i="4"/>
  <c r="J127" i="4"/>
  <c r="I127" i="4"/>
  <c r="H127" i="4"/>
  <c r="G127" i="4"/>
  <c r="N126" i="4"/>
  <c r="J126" i="4"/>
  <c r="I126" i="4"/>
  <c r="H126" i="4"/>
  <c r="G126" i="4"/>
  <c r="N125" i="4"/>
  <c r="J125" i="4"/>
  <c r="I125" i="4"/>
  <c r="H125" i="4"/>
  <c r="G125" i="4"/>
  <c r="L125" i="4" s="1"/>
  <c r="N124" i="4"/>
  <c r="J124" i="4"/>
  <c r="I124" i="4"/>
  <c r="H124" i="4"/>
  <c r="G124" i="4"/>
  <c r="N123" i="4"/>
  <c r="J123" i="4"/>
  <c r="I123" i="4"/>
  <c r="H123" i="4"/>
  <c r="G123" i="4"/>
  <c r="L123" i="4" s="1"/>
  <c r="N122" i="4"/>
  <c r="J122" i="4"/>
  <c r="I122" i="4"/>
  <c r="H122" i="4"/>
  <c r="G122" i="4"/>
  <c r="L122" i="4" s="1"/>
  <c r="N121" i="4"/>
  <c r="H121" i="4"/>
  <c r="G121" i="4"/>
  <c r="L121" i="4" s="1"/>
  <c r="N120" i="4"/>
  <c r="J120" i="4"/>
  <c r="H120" i="4"/>
  <c r="G120" i="4"/>
  <c r="N119" i="4"/>
  <c r="J119" i="4"/>
  <c r="I119" i="4"/>
  <c r="H119" i="4"/>
  <c r="G119" i="4"/>
  <c r="N118" i="4"/>
  <c r="J118" i="4"/>
  <c r="I118" i="4"/>
  <c r="H118" i="4"/>
  <c r="G118" i="4"/>
  <c r="L118" i="4" s="1"/>
  <c r="N117" i="4"/>
  <c r="J117" i="4"/>
  <c r="I117" i="4"/>
  <c r="H117" i="4"/>
  <c r="G117" i="4"/>
  <c r="N116" i="4"/>
  <c r="J116" i="4"/>
  <c r="I116" i="4"/>
  <c r="H116" i="4"/>
  <c r="G116" i="4"/>
  <c r="L116" i="4" s="1"/>
  <c r="N115" i="4"/>
  <c r="J115" i="4"/>
  <c r="I115" i="4"/>
  <c r="H115" i="4"/>
  <c r="G115" i="4"/>
  <c r="L115" i="4" s="1"/>
  <c r="N114" i="4"/>
  <c r="J114" i="4"/>
  <c r="I114" i="4"/>
  <c r="H114" i="4"/>
  <c r="G114" i="4"/>
  <c r="N113" i="4"/>
  <c r="J113" i="4"/>
  <c r="I113" i="4"/>
  <c r="H113" i="4"/>
  <c r="G113" i="4"/>
  <c r="L113" i="4" s="1"/>
  <c r="N112" i="4"/>
  <c r="J112" i="4"/>
  <c r="I112" i="4"/>
  <c r="H112" i="4"/>
  <c r="G112" i="4"/>
  <c r="N111" i="4"/>
  <c r="J111" i="4"/>
  <c r="I111" i="4"/>
  <c r="H111" i="4"/>
  <c r="G111" i="4"/>
  <c r="N110" i="4"/>
  <c r="J110" i="4"/>
  <c r="I110" i="4"/>
  <c r="H110" i="4"/>
  <c r="G110" i="4"/>
  <c r="L110" i="4" s="1"/>
  <c r="N109" i="4"/>
  <c r="H109" i="4"/>
  <c r="G109" i="4"/>
  <c r="N108" i="4"/>
  <c r="J108" i="4"/>
  <c r="I108" i="4"/>
  <c r="H108" i="4"/>
  <c r="G108" i="4"/>
  <c r="L108" i="4" s="1"/>
  <c r="N107" i="4"/>
  <c r="J107" i="4"/>
  <c r="I107" i="4"/>
  <c r="H107" i="4"/>
  <c r="G107" i="4"/>
  <c r="N106" i="4"/>
  <c r="J106" i="4"/>
  <c r="I106" i="4"/>
  <c r="H106" i="4"/>
  <c r="G106" i="4"/>
  <c r="L106" i="4" s="1"/>
  <c r="N105" i="4"/>
  <c r="J105" i="4"/>
  <c r="I105" i="4"/>
  <c r="H105" i="4"/>
  <c r="G105" i="4"/>
  <c r="L105" i="4" s="1"/>
  <c r="N104" i="4"/>
  <c r="I104" i="4"/>
  <c r="H104" i="4"/>
  <c r="G104" i="4"/>
  <c r="N103" i="4"/>
  <c r="I103" i="4"/>
  <c r="H103" i="4"/>
  <c r="G103" i="4"/>
  <c r="N102" i="4"/>
  <c r="J102" i="4"/>
  <c r="I102" i="4"/>
  <c r="H102" i="4"/>
  <c r="G102" i="4"/>
  <c r="N101" i="4"/>
  <c r="J101" i="4"/>
  <c r="I101" i="4"/>
  <c r="H101" i="4"/>
  <c r="G101" i="4"/>
  <c r="L101" i="4" s="1"/>
  <c r="N100" i="4"/>
  <c r="J100" i="4"/>
  <c r="I100" i="4"/>
  <c r="H100" i="4"/>
  <c r="G100" i="4"/>
  <c r="N99" i="4"/>
  <c r="H99" i="4"/>
  <c r="G99" i="4"/>
  <c r="L99" i="4" s="1"/>
  <c r="N98" i="4"/>
  <c r="J98" i="4"/>
  <c r="I98" i="4"/>
  <c r="H98" i="4"/>
  <c r="G98" i="4"/>
  <c r="N97" i="4"/>
  <c r="J97" i="4"/>
  <c r="I97" i="4"/>
  <c r="H97" i="4"/>
  <c r="G97" i="4"/>
  <c r="N96" i="4"/>
  <c r="J96" i="4"/>
  <c r="I96" i="4"/>
  <c r="H96" i="4"/>
  <c r="G96" i="4"/>
  <c r="L96" i="4" s="1"/>
  <c r="N95" i="4"/>
  <c r="H95" i="4"/>
  <c r="G95" i="4"/>
  <c r="N94" i="4"/>
  <c r="H94" i="4"/>
  <c r="G94" i="4"/>
  <c r="N93" i="4"/>
  <c r="J93" i="4"/>
  <c r="H93" i="4"/>
  <c r="G93" i="4"/>
  <c r="L93" i="4" s="1"/>
  <c r="N92" i="4"/>
  <c r="J92" i="4"/>
  <c r="I92" i="4"/>
  <c r="H92" i="4"/>
  <c r="G92" i="4"/>
  <c r="L92" i="4" s="1"/>
  <c r="N91" i="4"/>
  <c r="J91" i="4"/>
  <c r="I91" i="4"/>
  <c r="H91" i="4"/>
  <c r="G91" i="4"/>
  <c r="N90" i="4"/>
  <c r="J90" i="4"/>
  <c r="I90" i="4"/>
  <c r="H90" i="4"/>
  <c r="G90" i="4"/>
  <c r="L90" i="4" s="1"/>
  <c r="N89" i="4"/>
  <c r="J89" i="4"/>
  <c r="I89" i="4"/>
  <c r="H89" i="4"/>
  <c r="G89" i="4"/>
  <c r="N88" i="4"/>
  <c r="J88" i="4"/>
  <c r="I88" i="4"/>
  <c r="H88" i="4"/>
  <c r="G88" i="4"/>
  <c r="N87" i="4"/>
  <c r="J87" i="4"/>
  <c r="I87" i="4"/>
  <c r="H87" i="4"/>
  <c r="G87" i="4"/>
  <c r="L87" i="4" s="1"/>
  <c r="N86" i="4"/>
  <c r="J86" i="4"/>
  <c r="I86" i="4"/>
  <c r="H86" i="4"/>
  <c r="G86" i="4"/>
  <c r="N85" i="4"/>
  <c r="J85" i="4"/>
  <c r="H85" i="4"/>
  <c r="G85" i="4"/>
  <c r="L85" i="4" s="1"/>
  <c r="N84" i="4"/>
  <c r="H84" i="4"/>
  <c r="G84" i="4"/>
  <c r="N83" i="4"/>
  <c r="I83" i="4"/>
  <c r="H83" i="4"/>
  <c r="G83" i="4"/>
  <c r="L83" i="4" s="1"/>
  <c r="N82" i="4"/>
  <c r="I82" i="4"/>
  <c r="H82" i="4"/>
  <c r="G82" i="4"/>
  <c r="N81" i="4"/>
  <c r="I81" i="4"/>
  <c r="H81" i="4"/>
  <c r="G81" i="4"/>
  <c r="N80" i="4"/>
  <c r="I80" i="4"/>
  <c r="H80" i="4"/>
  <c r="G80" i="4"/>
  <c r="N79" i="4"/>
  <c r="J79" i="4"/>
  <c r="H79" i="4"/>
  <c r="G79" i="4"/>
  <c r="L79" i="4" s="1"/>
  <c r="N78" i="4"/>
  <c r="J78" i="4"/>
  <c r="I78" i="4"/>
  <c r="H78" i="4"/>
  <c r="G78" i="4"/>
  <c r="N77" i="4"/>
  <c r="J77" i="4"/>
  <c r="H77" i="4"/>
  <c r="G77" i="4"/>
  <c r="L77" i="4" s="1"/>
  <c r="N76" i="4"/>
  <c r="J76" i="4"/>
  <c r="I76" i="4"/>
  <c r="H76" i="4"/>
  <c r="G76" i="4"/>
  <c r="N75" i="4"/>
  <c r="J75" i="4"/>
  <c r="I75" i="4"/>
  <c r="H75" i="4"/>
  <c r="G75" i="4"/>
  <c r="N74" i="4"/>
  <c r="H74" i="4"/>
  <c r="G74" i="4"/>
  <c r="N73" i="4"/>
  <c r="J73" i="4"/>
  <c r="I73" i="4"/>
  <c r="H73" i="4"/>
  <c r="G73" i="4"/>
  <c r="N72" i="4"/>
  <c r="J72" i="4"/>
  <c r="I72" i="4"/>
  <c r="H72" i="4"/>
  <c r="G72" i="4"/>
  <c r="L72" i="4" s="1"/>
  <c r="N71" i="4"/>
  <c r="I71" i="4"/>
  <c r="H71" i="4"/>
  <c r="G71" i="4"/>
  <c r="N70" i="4"/>
  <c r="J70" i="4"/>
  <c r="I70" i="4"/>
  <c r="H70" i="4"/>
  <c r="G70" i="4"/>
  <c r="L70" i="4" s="1"/>
  <c r="N69" i="4"/>
  <c r="J69" i="4"/>
  <c r="I69" i="4"/>
  <c r="H69" i="4"/>
  <c r="G69" i="4"/>
  <c r="N68" i="4"/>
  <c r="J68" i="4"/>
  <c r="I68" i="4"/>
  <c r="H68" i="4"/>
  <c r="G68" i="4"/>
  <c r="N67" i="4"/>
  <c r="H67" i="4"/>
  <c r="G67" i="4"/>
  <c r="N66" i="4"/>
  <c r="J66" i="4"/>
  <c r="I66" i="4"/>
  <c r="H66" i="4"/>
  <c r="G66" i="4"/>
  <c r="N65" i="4"/>
  <c r="J65" i="4"/>
  <c r="I65" i="4"/>
  <c r="H65" i="4"/>
  <c r="G65" i="4"/>
  <c r="L65" i="4" s="1"/>
  <c r="N64" i="4"/>
  <c r="J64" i="4"/>
  <c r="I64" i="4"/>
  <c r="H64" i="4"/>
  <c r="G64" i="4"/>
  <c r="N63" i="4"/>
  <c r="J63" i="4"/>
  <c r="I63" i="4"/>
  <c r="H63" i="4"/>
  <c r="G63" i="4"/>
  <c r="L63" i="4" s="1"/>
  <c r="N62" i="4"/>
  <c r="J62" i="4"/>
  <c r="I62" i="4"/>
  <c r="H62" i="4"/>
  <c r="G62" i="4"/>
  <c r="L62" i="4" s="1"/>
  <c r="N61" i="4"/>
  <c r="J61" i="4"/>
  <c r="I61" i="4"/>
  <c r="H61" i="4"/>
  <c r="G61" i="4"/>
  <c r="N60" i="4"/>
  <c r="J60" i="4"/>
  <c r="I60" i="4"/>
  <c r="H60" i="4"/>
  <c r="G60" i="4"/>
  <c r="L60" i="4" s="1"/>
  <c r="N59" i="4"/>
  <c r="J59" i="4"/>
  <c r="I59" i="4"/>
  <c r="H59" i="4"/>
  <c r="G59" i="4"/>
  <c r="N58" i="4"/>
  <c r="J58" i="4"/>
  <c r="I58" i="4"/>
  <c r="H58" i="4"/>
  <c r="G58" i="4"/>
  <c r="N57" i="4"/>
  <c r="J57" i="4"/>
  <c r="I57" i="4"/>
  <c r="H57" i="4"/>
  <c r="G57" i="4"/>
  <c r="L57" i="4" s="1"/>
  <c r="N56" i="4"/>
  <c r="J56" i="4"/>
  <c r="I56" i="4"/>
  <c r="H56" i="4"/>
  <c r="G56" i="4"/>
  <c r="N55" i="4"/>
  <c r="J55" i="4"/>
  <c r="I55" i="4"/>
  <c r="H55" i="4"/>
  <c r="G55" i="4"/>
  <c r="L55" i="4" s="1"/>
  <c r="N54" i="4"/>
  <c r="J54" i="4"/>
  <c r="I54" i="4"/>
  <c r="H54" i="4"/>
  <c r="G54" i="4"/>
  <c r="L54" i="4" s="1"/>
  <c r="N53" i="4"/>
  <c r="J53" i="4"/>
  <c r="I53" i="4"/>
  <c r="H53" i="4"/>
  <c r="G53" i="4"/>
  <c r="N52" i="4"/>
  <c r="J52" i="4"/>
  <c r="I52" i="4"/>
  <c r="H52" i="4"/>
  <c r="G52" i="4"/>
  <c r="L52" i="4" s="1"/>
  <c r="N51" i="4"/>
  <c r="J51" i="4"/>
  <c r="I51" i="4"/>
  <c r="H51" i="4"/>
  <c r="G51" i="4"/>
  <c r="N50" i="4"/>
  <c r="J50" i="4"/>
  <c r="I50" i="4"/>
  <c r="H50" i="4"/>
  <c r="G50" i="4"/>
  <c r="N49" i="4"/>
  <c r="J49" i="4"/>
  <c r="I49" i="4"/>
  <c r="H49" i="4"/>
  <c r="G49" i="4"/>
  <c r="L49" i="4" s="1"/>
  <c r="N48" i="4"/>
  <c r="J48" i="4"/>
  <c r="I48" i="4"/>
  <c r="H48" i="4"/>
  <c r="G48" i="4"/>
  <c r="N47" i="4"/>
  <c r="H47" i="4"/>
  <c r="G47" i="4"/>
  <c r="N46" i="4"/>
  <c r="J46" i="4"/>
  <c r="I46" i="4"/>
  <c r="H46" i="4"/>
  <c r="G46" i="4"/>
  <c r="N45" i="4"/>
  <c r="I45" i="4"/>
  <c r="H45" i="4"/>
  <c r="G45" i="4"/>
  <c r="N44" i="4"/>
  <c r="J44" i="4"/>
  <c r="I44" i="4"/>
  <c r="H44" i="4"/>
  <c r="G44" i="4"/>
  <c r="N43" i="4"/>
  <c r="J43" i="4"/>
  <c r="I43" i="4"/>
  <c r="H43" i="4"/>
  <c r="G43" i="4"/>
  <c r="N42" i="4"/>
  <c r="J42" i="4"/>
  <c r="I42" i="4"/>
  <c r="H42" i="4"/>
  <c r="G42" i="4"/>
  <c r="L42" i="4" s="1"/>
  <c r="N41" i="4"/>
  <c r="J41" i="4"/>
  <c r="I41" i="4"/>
  <c r="H41" i="4"/>
  <c r="G41" i="4"/>
  <c r="N40" i="4"/>
  <c r="J40" i="4"/>
  <c r="I40" i="4"/>
  <c r="H40" i="4"/>
  <c r="G40" i="4"/>
  <c r="L40" i="4" s="1"/>
  <c r="N39" i="4"/>
  <c r="J39" i="4"/>
  <c r="I39" i="4"/>
  <c r="H39" i="4"/>
  <c r="G39" i="4"/>
  <c r="L39" i="4" s="1"/>
  <c r="N38" i="4"/>
  <c r="J38" i="4"/>
  <c r="I38" i="4"/>
  <c r="H38" i="4"/>
  <c r="G38" i="4"/>
  <c r="N37" i="4"/>
  <c r="J37" i="4"/>
  <c r="I37" i="4"/>
  <c r="H37" i="4"/>
  <c r="G37" i="4"/>
  <c r="L37" i="4" s="1"/>
  <c r="N36" i="4"/>
  <c r="J36" i="4"/>
  <c r="I36" i="4"/>
  <c r="H36" i="4"/>
  <c r="G36" i="4"/>
  <c r="N35" i="4"/>
  <c r="J35" i="4"/>
  <c r="I35" i="4"/>
  <c r="H35" i="4"/>
  <c r="G35" i="4"/>
  <c r="N34" i="4"/>
  <c r="J34" i="4"/>
  <c r="I34" i="4"/>
  <c r="H34" i="4"/>
  <c r="G34" i="4"/>
  <c r="L34" i="4" s="1"/>
  <c r="N33" i="4"/>
  <c r="J33" i="4"/>
  <c r="I33" i="4"/>
  <c r="H33" i="4"/>
  <c r="G33" i="4"/>
  <c r="N32" i="4"/>
  <c r="J32" i="4"/>
  <c r="I32" i="4"/>
  <c r="H32" i="4"/>
  <c r="G32" i="4"/>
  <c r="L32" i="4" s="1"/>
  <c r="N31" i="4"/>
  <c r="J31" i="4"/>
  <c r="I31" i="4"/>
  <c r="H31" i="4"/>
  <c r="G31" i="4"/>
  <c r="L31" i="4" s="1"/>
  <c r="N30" i="4"/>
  <c r="J30" i="4"/>
  <c r="I30" i="4"/>
  <c r="H30" i="4"/>
  <c r="G30" i="4"/>
  <c r="N29" i="4"/>
  <c r="I29" i="4"/>
  <c r="H29" i="4"/>
  <c r="G29" i="4"/>
  <c r="L29" i="4" s="1"/>
  <c r="N28" i="4"/>
  <c r="J28" i="4"/>
  <c r="I28" i="4"/>
  <c r="H28" i="4"/>
  <c r="G28" i="4"/>
  <c r="N27" i="4"/>
  <c r="J27" i="4"/>
  <c r="I27" i="4"/>
  <c r="H27" i="4"/>
  <c r="G27" i="4"/>
  <c r="L27" i="4" s="1"/>
  <c r="N26" i="4"/>
  <c r="J26" i="4"/>
  <c r="I26" i="4"/>
  <c r="H26" i="4"/>
  <c r="G26" i="4"/>
  <c r="L26" i="4" s="1"/>
  <c r="N25" i="4"/>
  <c r="J25" i="4"/>
  <c r="I25" i="4"/>
  <c r="H25" i="4"/>
  <c r="G25" i="4"/>
  <c r="N24" i="4"/>
  <c r="J24" i="4"/>
  <c r="H24" i="4"/>
  <c r="G24" i="4"/>
  <c r="L24" i="4" s="1"/>
  <c r="N23" i="4"/>
  <c r="J23" i="4"/>
  <c r="I23" i="4"/>
  <c r="H23" i="4"/>
  <c r="G23" i="4"/>
  <c r="N160" i="3"/>
  <c r="J160" i="3"/>
  <c r="I160" i="3"/>
  <c r="H160" i="3"/>
  <c r="G160" i="3"/>
  <c r="L160" i="3" s="1"/>
  <c r="N159" i="3"/>
  <c r="J159" i="3"/>
  <c r="I159" i="3"/>
  <c r="H159" i="3"/>
  <c r="G159" i="3"/>
  <c r="N158" i="3"/>
  <c r="J158" i="3"/>
  <c r="I158" i="3"/>
  <c r="H158" i="3"/>
  <c r="G158" i="3"/>
  <c r="L158" i="3" s="1"/>
  <c r="N157" i="3"/>
  <c r="J157" i="3"/>
  <c r="I157" i="3"/>
  <c r="H157" i="3"/>
  <c r="G157" i="3"/>
  <c r="L157" i="3" s="1"/>
  <c r="S157" i="3" s="1"/>
  <c r="N156" i="3"/>
  <c r="J156" i="3"/>
  <c r="I156" i="3"/>
  <c r="H156" i="3"/>
  <c r="G156" i="3"/>
  <c r="N155" i="3"/>
  <c r="J155" i="3"/>
  <c r="I155" i="3"/>
  <c r="H155" i="3"/>
  <c r="G155" i="3"/>
  <c r="L155" i="3" s="1"/>
  <c r="O155" i="3" s="1"/>
  <c r="N154" i="3"/>
  <c r="J154" i="3"/>
  <c r="I154" i="3"/>
  <c r="H154" i="3"/>
  <c r="G154" i="3"/>
  <c r="N153" i="3"/>
  <c r="J153" i="3"/>
  <c r="I153" i="3"/>
  <c r="H153" i="3"/>
  <c r="G153" i="3"/>
  <c r="N152" i="3"/>
  <c r="J152" i="3"/>
  <c r="I152" i="3"/>
  <c r="H152" i="3"/>
  <c r="G152" i="3"/>
  <c r="N151" i="3"/>
  <c r="J151" i="3"/>
  <c r="L151" i="3" s="1"/>
  <c r="I151" i="3"/>
  <c r="H151" i="3"/>
  <c r="G151" i="3"/>
  <c r="N150" i="3"/>
  <c r="J150" i="3"/>
  <c r="I150" i="3"/>
  <c r="H150" i="3"/>
  <c r="G150" i="3"/>
  <c r="L150" i="3" s="1"/>
  <c r="N149" i="3"/>
  <c r="J149" i="3"/>
  <c r="I149" i="3"/>
  <c r="H149" i="3"/>
  <c r="G149" i="3"/>
  <c r="N148" i="3"/>
  <c r="J148" i="3"/>
  <c r="I148" i="3"/>
  <c r="H148" i="3"/>
  <c r="G148" i="3"/>
  <c r="N147" i="3"/>
  <c r="J147" i="3"/>
  <c r="I147" i="3"/>
  <c r="H147" i="3"/>
  <c r="G147" i="3"/>
  <c r="L147" i="3" s="1"/>
  <c r="O147" i="3" s="1"/>
  <c r="N146" i="3"/>
  <c r="J146" i="3"/>
  <c r="I146" i="3"/>
  <c r="H146" i="3"/>
  <c r="G146" i="3"/>
  <c r="N145" i="3"/>
  <c r="J145" i="3"/>
  <c r="I145" i="3"/>
  <c r="H145" i="3"/>
  <c r="G145" i="3"/>
  <c r="N144" i="3"/>
  <c r="J144" i="3"/>
  <c r="I144" i="3"/>
  <c r="H144" i="3"/>
  <c r="G144" i="3"/>
  <c r="N143" i="3"/>
  <c r="L143" i="3"/>
  <c r="J143" i="3"/>
  <c r="I143" i="3"/>
  <c r="H143" i="3"/>
  <c r="G143" i="3"/>
  <c r="N142" i="3"/>
  <c r="J142" i="3"/>
  <c r="I142" i="3"/>
  <c r="H142" i="3"/>
  <c r="G142" i="3"/>
  <c r="N141" i="3"/>
  <c r="J141" i="3"/>
  <c r="I141" i="3"/>
  <c r="H141" i="3"/>
  <c r="G141" i="3"/>
  <c r="L141" i="3" s="1"/>
  <c r="S141" i="3" s="1"/>
  <c r="N140" i="3"/>
  <c r="J140" i="3"/>
  <c r="I140" i="3"/>
  <c r="H140" i="3"/>
  <c r="G140" i="3"/>
  <c r="N139" i="3"/>
  <c r="J139" i="3"/>
  <c r="I139" i="3"/>
  <c r="H139" i="3"/>
  <c r="G139" i="3"/>
  <c r="L139" i="3" s="1"/>
  <c r="O139" i="3" s="1"/>
  <c r="N138" i="3"/>
  <c r="J138" i="3"/>
  <c r="I138" i="3"/>
  <c r="H138" i="3"/>
  <c r="L138" i="3" s="1"/>
  <c r="G138" i="3"/>
  <c r="N137" i="3"/>
  <c r="J137" i="3"/>
  <c r="I137" i="3"/>
  <c r="H137" i="3"/>
  <c r="G137" i="3"/>
  <c r="N136" i="3"/>
  <c r="J136" i="3"/>
  <c r="I136" i="3"/>
  <c r="H136" i="3"/>
  <c r="G136" i="3"/>
  <c r="N135" i="3"/>
  <c r="J135" i="3"/>
  <c r="I135" i="3"/>
  <c r="H135" i="3"/>
  <c r="L135" i="3" s="1"/>
  <c r="G135" i="3"/>
  <c r="N134" i="3"/>
  <c r="J134" i="3"/>
  <c r="I134" i="3"/>
  <c r="H134" i="3"/>
  <c r="G134" i="3"/>
  <c r="N133" i="3"/>
  <c r="J133" i="3"/>
  <c r="I133" i="3"/>
  <c r="H133" i="3"/>
  <c r="G133" i="3"/>
  <c r="L133" i="3" s="1"/>
  <c r="S133" i="3" s="1"/>
  <c r="N132" i="3"/>
  <c r="J132" i="3"/>
  <c r="I132" i="3"/>
  <c r="H132" i="3"/>
  <c r="G132" i="3"/>
  <c r="L132" i="3" s="1"/>
  <c r="N131" i="3"/>
  <c r="J131" i="3"/>
  <c r="I131" i="3"/>
  <c r="H131" i="3"/>
  <c r="G131" i="3"/>
  <c r="N130" i="3"/>
  <c r="J130" i="3"/>
  <c r="I130" i="3"/>
  <c r="H130" i="3"/>
  <c r="G130" i="3"/>
  <c r="N129" i="3"/>
  <c r="J129" i="3"/>
  <c r="I129" i="3"/>
  <c r="H129" i="3"/>
  <c r="G129" i="3"/>
  <c r="N128" i="3"/>
  <c r="J128" i="3"/>
  <c r="I128" i="3"/>
  <c r="H128" i="3"/>
  <c r="G128" i="3"/>
  <c r="N127" i="3"/>
  <c r="J127" i="3"/>
  <c r="I127" i="3"/>
  <c r="H127" i="3"/>
  <c r="G127" i="3"/>
  <c r="L127" i="3" s="1"/>
  <c r="N126" i="3"/>
  <c r="J126" i="3"/>
  <c r="I126" i="3"/>
  <c r="H126" i="3"/>
  <c r="G126" i="3"/>
  <c r="L126" i="3" s="1"/>
  <c r="N125" i="3"/>
  <c r="J125" i="3"/>
  <c r="I125" i="3"/>
  <c r="H125" i="3"/>
  <c r="G125" i="3"/>
  <c r="N124" i="3"/>
  <c r="J124" i="3"/>
  <c r="I124" i="3"/>
  <c r="H124" i="3"/>
  <c r="G124" i="3"/>
  <c r="L124" i="3" s="1"/>
  <c r="N123" i="3"/>
  <c r="J123" i="3"/>
  <c r="I123" i="3"/>
  <c r="H123" i="3"/>
  <c r="G123" i="3"/>
  <c r="L123" i="3" s="1"/>
  <c r="O123" i="3" s="1"/>
  <c r="N122" i="3"/>
  <c r="J122" i="3"/>
  <c r="I122" i="3"/>
  <c r="H122" i="3"/>
  <c r="L122" i="3" s="1"/>
  <c r="G122" i="3"/>
  <c r="N121" i="3"/>
  <c r="J121" i="3"/>
  <c r="I121" i="3"/>
  <c r="H121" i="3"/>
  <c r="G121" i="3"/>
  <c r="N120" i="3"/>
  <c r="J120" i="3"/>
  <c r="H120" i="3"/>
  <c r="G120" i="3"/>
  <c r="N119" i="3"/>
  <c r="J119" i="3"/>
  <c r="I119" i="3"/>
  <c r="H119" i="3"/>
  <c r="L119" i="3" s="1"/>
  <c r="G119" i="3"/>
  <c r="N118" i="3"/>
  <c r="J118" i="3"/>
  <c r="I118" i="3"/>
  <c r="H118" i="3"/>
  <c r="G118" i="3"/>
  <c r="L118" i="3" s="1"/>
  <c r="N117" i="3"/>
  <c r="J117" i="3"/>
  <c r="I117" i="3"/>
  <c r="H117" i="3"/>
  <c r="G117" i="3"/>
  <c r="N116" i="3"/>
  <c r="J116" i="3"/>
  <c r="I116" i="3"/>
  <c r="H116" i="3"/>
  <c r="G116" i="3"/>
  <c r="L116" i="3" s="1"/>
  <c r="N115" i="3"/>
  <c r="J115" i="3"/>
  <c r="I115" i="3"/>
  <c r="H115" i="3"/>
  <c r="G115" i="3"/>
  <c r="N114" i="3"/>
  <c r="J114" i="3"/>
  <c r="I114" i="3"/>
  <c r="H114" i="3"/>
  <c r="G114" i="3"/>
  <c r="N113" i="3"/>
  <c r="J113" i="3"/>
  <c r="I113" i="3"/>
  <c r="H113" i="3"/>
  <c r="G113" i="3"/>
  <c r="N112" i="3"/>
  <c r="J112" i="3"/>
  <c r="I112" i="3"/>
  <c r="H112" i="3"/>
  <c r="G112" i="3"/>
  <c r="N111" i="3"/>
  <c r="J111" i="3"/>
  <c r="L111" i="3" s="1"/>
  <c r="I111" i="3"/>
  <c r="H111" i="3"/>
  <c r="G111" i="3"/>
  <c r="N110" i="3"/>
  <c r="J110" i="3"/>
  <c r="I110" i="3"/>
  <c r="H110" i="3"/>
  <c r="G110" i="3"/>
  <c r="L110" i="3" s="1"/>
  <c r="N109" i="3"/>
  <c r="H109" i="3"/>
  <c r="G109" i="3"/>
  <c r="N108" i="3"/>
  <c r="J108" i="3"/>
  <c r="I108" i="3"/>
  <c r="H108" i="3"/>
  <c r="G108" i="3"/>
  <c r="N107" i="3"/>
  <c r="J107" i="3"/>
  <c r="I107" i="3"/>
  <c r="H107" i="3"/>
  <c r="G107" i="3"/>
  <c r="L107" i="3" s="1"/>
  <c r="O107" i="3" s="1"/>
  <c r="N106" i="3"/>
  <c r="J106" i="3"/>
  <c r="I106" i="3"/>
  <c r="H106" i="3"/>
  <c r="G106" i="3"/>
  <c r="N105" i="3"/>
  <c r="J105" i="3"/>
  <c r="I105" i="3"/>
  <c r="H105" i="3"/>
  <c r="G105" i="3"/>
  <c r="N104" i="3"/>
  <c r="J104" i="3"/>
  <c r="I104" i="3"/>
  <c r="H104" i="3"/>
  <c r="G104" i="3"/>
  <c r="N103" i="3"/>
  <c r="J103" i="3"/>
  <c r="L103" i="3" s="1"/>
  <c r="I103" i="3"/>
  <c r="H103" i="3"/>
  <c r="G103" i="3"/>
  <c r="N102" i="3"/>
  <c r="J102" i="3"/>
  <c r="I102" i="3"/>
  <c r="H102" i="3"/>
  <c r="G102" i="3"/>
  <c r="L102" i="3" s="1"/>
  <c r="N101" i="3"/>
  <c r="J101" i="3"/>
  <c r="I101" i="3"/>
  <c r="H101" i="3"/>
  <c r="G101" i="3"/>
  <c r="N100" i="3"/>
  <c r="J100" i="3"/>
  <c r="I100" i="3"/>
  <c r="H100" i="3"/>
  <c r="G100" i="3"/>
  <c r="N99" i="3"/>
  <c r="J99" i="3"/>
  <c r="H99" i="3"/>
  <c r="G99" i="3"/>
  <c r="N98" i="3"/>
  <c r="J98" i="3"/>
  <c r="I98" i="3"/>
  <c r="H98" i="3"/>
  <c r="G98" i="3"/>
  <c r="N97" i="3"/>
  <c r="J97" i="3"/>
  <c r="I97" i="3"/>
  <c r="H97" i="3"/>
  <c r="G97" i="3"/>
  <c r="N96" i="3"/>
  <c r="J96" i="3"/>
  <c r="I96" i="3"/>
  <c r="H96" i="3"/>
  <c r="G96" i="3"/>
  <c r="N95" i="3"/>
  <c r="H95" i="3"/>
  <c r="G95" i="3"/>
  <c r="N94" i="3"/>
  <c r="J94" i="3"/>
  <c r="I94" i="3"/>
  <c r="H94" i="3"/>
  <c r="G94" i="3"/>
  <c r="N93" i="3"/>
  <c r="J93" i="3"/>
  <c r="I93" i="3"/>
  <c r="H93" i="3"/>
  <c r="G93" i="3"/>
  <c r="L93" i="3" s="1"/>
  <c r="S93" i="3" s="1"/>
  <c r="N92" i="3"/>
  <c r="J92" i="3"/>
  <c r="I92" i="3"/>
  <c r="H92" i="3"/>
  <c r="G92" i="3"/>
  <c r="N91" i="3"/>
  <c r="J91" i="3"/>
  <c r="I91" i="3"/>
  <c r="H91" i="3"/>
  <c r="G91" i="3"/>
  <c r="L91" i="3" s="1"/>
  <c r="O91" i="3" s="1"/>
  <c r="N90" i="3"/>
  <c r="J90" i="3"/>
  <c r="I90" i="3"/>
  <c r="H90" i="3"/>
  <c r="L90" i="3" s="1"/>
  <c r="G90" i="3"/>
  <c r="N89" i="3"/>
  <c r="J89" i="3"/>
  <c r="I89" i="3"/>
  <c r="H89" i="3"/>
  <c r="G89" i="3"/>
  <c r="N88" i="3"/>
  <c r="J88" i="3"/>
  <c r="I88" i="3"/>
  <c r="H88" i="3"/>
  <c r="G88" i="3"/>
  <c r="N87" i="3"/>
  <c r="J87" i="3"/>
  <c r="I87" i="3"/>
  <c r="H87" i="3"/>
  <c r="G87" i="3"/>
  <c r="L87" i="3" s="1"/>
  <c r="N86" i="3"/>
  <c r="J86" i="3"/>
  <c r="I86" i="3"/>
  <c r="H86" i="3"/>
  <c r="G86" i="3"/>
  <c r="N85" i="3"/>
  <c r="J85" i="3"/>
  <c r="H85" i="3"/>
  <c r="G85" i="3"/>
  <c r="N84" i="3"/>
  <c r="H84" i="3"/>
  <c r="G84" i="3"/>
  <c r="N83" i="3"/>
  <c r="J83" i="3"/>
  <c r="I83" i="3"/>
  <c r="H83" i="3"/>
  <c r="G83" i="3"/>
  <c r="N82" i="3"/>
  <c r="J82" i="3"/>
  <c r="I82" i="3"/>
  <c r="H82" i="3"/>
  <c r="G82" i="3"/>
  <c r="N81" i="3"/>
  <c r="J81" i="3"/>
  <c r="I81" i="3"/>
  <c r="H81" i="3"/>
  <c r="G81" i="3"/>
  <c r="N80" i="3"/>
  <c r="J80" i="3"/>
  <c r="I80" i="3"/>
  <c r="H80" i="3"/>
  <c r="G80" i="3"/>
  <c r="N79" i="3"/>
  <c r="H79" i="3"/>
  <c r="G79" i="3"/>
  <c r="L79" i="3" s="1"/>
  <c r="N78" i="3"/>
  <c r="J78" i="3"/>
  <c r="I78" i="3"/>
  <c r="H78" i="3"/>
  <c r="G78" i="3"/>
  <c r="N77" i="3"/>
  <c r="J77" i="3"/>
  <c r="I77" i="3"/>
  <c r="H77" i="3"/>
  <c r="G77" i="3"/>
  <c r="L77" i="3" s="1"/>
  <c r="S77" i="3" s="1"/>
  <c r="N76" i="3"/>
  <c r="J76" i="3"/>
  <c r="I76" i="3"/>
  <c r="H76" i="3"/>
  <c r="G76" i="3"/>
  <c r="N75" i="3"/>
  <c r="J75" i="3"/>
  <c r="I75" i="3"/>
  <c r="H75" i="3"/>
  <c r="G75" i="3"/>
  <c r="N74" i="3"/>
  <c r="J74" i="3"/>
  <c r="I74" i="3"/>
  <c r="H74" i="3"/>
  <c r="G74" i="3"/>
  <c r="N73" i="3"/>
  <c r="J73" i="3"/>
  <c r="I73" i="3"/>
  <c r="H73" i="3"/>
  <c r="G73" i="3"/>
  <c r="N72" i="3"/>
  <c r="J72" i="3"/>
  <c r="I72" i="3"/>
  <c r="H72" i="3"/>
  <c r="G72" i="3"/>
  <c r="N71" i="3"/>
  <c r="H71" i="3"/>
  <c r="G71" i="3"/>
  <c r="N70" i="3"/>
  <c r="J70" i="3"/>
  <c r="I70" i="3"/>
  <c r="H70" i="3"/>
  <c r="G70" i="3"/>
  <c r="L70" i="3" s="1"/>
  <c r="N69" i="3"/>
  <c r="J69" i="3"/>
  <c r="I69" i="3"/>
  <c r="H69" i="3"/>
  <c r="G69" i="3"/>
  <c r="N68" i="3"/>
  <c r="J68" i="3"/>
  <c r="I68" i="3"/>
  <c r="H68" i="3"/>
  <c r="G68" i="3"/>
  <c r="L68" i="3" s="1"/>
  <c r="N67" i="3"/>
  <c r="J67" i="3"/>
  <c r="I67" i="3"/>
  <c r="H67" i="3"/>
  <c r="G67" i="3"/>
  <c r="N66" i="3"/>
  <c r="J66" i="3"/>
  <c r="I66" i="3"/>
  <c r="H66" i="3"/>
  <c r="G66" i="3"/>
  <c r="N65" i="3"/>
  <c r="J65" i="3"/>
  <c r="I65" i="3"/>
  <c r="H65" i="3"/>
  <c r="G65" i="3"/>
  <c r="N64" i="3"/>
  <c r="J64" i="3"/>
  <c r="I64" i="3"/>
  <c r="H64" i="3"/>
  <c r="G64" i="3"/>
  <c r="N63" i="3"/>
  <c r="J63" i="3"/>
  <c r="I63" i="3"/>
  <c r="H63" i="3"/>
  <c r="G63" i="3"/>
  <c r="L63" i="3" s="1"/>
  <c r="N62" i="3"/>
  <c r="J62" i="3"/>
  <c r="I62" i="3"/>
  <c r="H62" i="3"/>
  <c r="G62" i="3"/>
  <c r="N61" i="3"/>
  <c r="J61" i="3"/>
  <c r="I61" i="3"/>
  <c r="H61" i="3"/>
  <c r="G61" i="3"/>
  <c r="N60" i="3"/>
  <c r="J60" i="3"/>
  <c r="I60" i="3"/>
  <c r="H60" i="3"/>
  <c r="G60" i="3"/>
  <c r="L60" i="3" s="1"/>
  <c r="N59" i="3"/>
  <c r="J59" i="3"/>
  <c r="I59" i="3"/>
  <c r="H59" i="3"/>
  <c r="G59" i="3"/>
  <c r="L59" i="3" s="1"/>
  <c r="O59" i="3" s="1"/>
  <c r="N58" i="3"/>
  <c r="J58" i="3"/>
  <c r="I58" i="3"/>
  <c r="H58" i="3"/>
  <c r="L58" i="3" s="1"/>
  <c r="G58" i="3"/>
  <c r="N57" i="3"/>
  <c r="J57" i="3"/>
  <c r="I57" i="3"/>
  <c r="H57" i="3"/>
  <c r="G57" i="3"/>
  <c r="N56" i="3"/>
  <c r="J56" i="3"/>
  <c r="L56" i="3" s="1"/>
  <c r="I56" i="3"/>
  <c r="H56" i="3"/>
  <c r="G56" i="3"/>
  <c r="N55" i="3"/>
  <c r="J55" i="3"/>
  <c r="I55" i="3"/>
  <c r="H55" i="3"/>
  <c r="L55" i="3" s="1"/>
  <c r="G55" i="3"/>
  <c r="N54" i="3"/>
  <c r="J54" i="3"/>
  <c r="I54" i="3"/>
  <c r="H54" i="3"/>
  <c r="G54" i="3"/>
  <c r="L54" i="3" s="1"/>
  <c r="N53" i="3"/>
  <c r="J53" i="3"/>
  <c r="I53" i="3"/>
  <c r="H53" i="3"/>
  <c r="G53" i="3"/>
  <c r="N52" i="3"/>
  <c r="J52" i="3"/>
  <c r="I52" i="3"/>
  <c r="H52" i="3"/>
  <c r="G52" i="3"/>
  <c r="L52" i="3" s="1"/>
  <c r="N51" i="3"/>
  <c r="J51" i="3"/>
  <c r="I51" i="3"/>
  <c r="H51" i="3"/>
  <c r="G51" i="3"/>
  <c r="N50" i="3"/>
  <c r="J50" i="3"/>
  <c r="I50" i="3"/>
  <c r="H50" i="3"/>
  <c r="G50" i="3"/>
  <c r="N49" i="3"/>
  <c r="J49" i="3"/>
  <c r="I49" i="3"/>
  <c r="H49" i="3"/>
  <c r="G49" i="3"/>
  <c r="N48" i="3"/>
  <c r="J48" i="3"/>
  <c r="I48" i="3"/>
  <c r="H48" i="3"/>
  <c r="G48" i="3"/>
  <c r="N47" i="3"/>
  <c r="J47" i="3"/>
  <c r="L47" i="3" s="1"/>
  <c r="I47" i="3"/>
  <c r="H47" i="3"/>
  <c r="G47" i="3"/>
  <c r="N46" i="3"/>
  <c r="J46" i="3"/>
  <c r="I46" i="3"/>
  <c r="H46" i="3"/>
  <c r="G46" i="3"/>
  <c r="L46" i="3" s="1"/>
  <c r="N45" i="3"/>
  <c r="J45" i="3"/>
  <c r="I45" i="3"/>
  <c r="H45" i="3"/>
  <c r="G45" i="3"/>
  <c r="L45" i="3" s="1"/>
  <c r="S45" i="3" s="1"/>
  <c r="N44" i="3"/>
  <c r="J44" i="3"/>
  <c r="I44" i="3"/>
  <c r="H44" i="3"/>
  <c r="G44" i="3"/>
  <c r="N43" i="3"/>
  <c r="J43" i="3"/>
  <c r="I43" i="3"/>
  <c r="H43" i="3"/>
  <c r="G43" i="3"/>
  <c r="L43" i="3" s="1"/>
  <c r="O43" i="3" s="1"/>
  <c r="N42" i="3"/>
  <c r="J42" i="3"/>
  <c r="I42" i="3"/>
  <c r="H42" i="3"/>
  <c r="G42" i="3"/>
  <c r="N41" i="3"/>
  <c r="J41" i="3"/>
  <c r="I41" i="3"/>
  <c r="H41" i="3"/>
  <c r="G41" i="3"/>
  <c r="N40" i="3"/>
  <c r="J40" i="3"/>
  <c r="I40" i="3"/>
  <c r="H40" i="3"/>
  <c r="G40" i="3"/>
  <c r="N39" i="3"/>
  <c r="J39" i="3"/>
  <c r="L39" i="3" s="1"/>
  <c r="I39" i="3"/>
  <c r="H39" i="3"/>
  <c r="G39" i="3"/>
  <c r="N38" i="3"/>
  <c r="J38" i="3"/>
  <c r="I38" i="3"/>
  <c r="H38" i="3"/>
  <c r="G38" i="3"/>
  <c r="L38" i="3" s="1"/>
  <c r="N37" i="3"/>
  <c r="J37" i="3"/>
  <c r="I37" i="3"/>
  <c r="H37" i="3"/>
  <c r="G37" i="3"/>
  <c r="N36" i="3"/>
  <c r="J36" i="3"/>
  <c r="I36" i="3"/>
  <c r="H36" i="3"/>
  <c r="G36" i="3"/>
  <c r="N35" i="3"/>
  <c r="J35" i="3"/>
  <c r="I35" i="3"/>
  <c r="H35" i="3"/>
  <c r="G35" i="3"/>
  <c r="L35" i="3" s="1"/>
  <c r="O35" i="3" s="1"/>
  <c r="N34" i="3"/>
  <c r="J34" i="3"/>
  <c r="I34" i="3"/>
  <c r="H34" i="3"/>
  <c r="G34" i="3"/>
  <c r="N33" i="3"/>
  <c r="J33" i="3"/>
  <c r="I33" i="3"/>
  <c r="H33" i="3"/>
  <c r="G33" i="3"/>
  <c r="N32" i="3"/>
  <c r="J32" i="3"/>
  <c r="I32" i="3"/>
  <c r="H32" i="3"/>
  <c r="G32" i="3"/>
  <c r="N31" i="3"/>
  <c r="L31" i="3"/>
  <c r="J31" i="3"/>
  <c r="I31" i="3"/>
  <c r="H31" i="3"/>
  <c r="G31" i="3"/>
  <c r="N30" i="3"/>
  <c r="J30" i="3"/>
  <c r="I30" i="3"/>
  <c r="H30" i="3"/>
  <c r="G30" i="3"/>
  <c r="N29" i="3"/>
  <c r="H29" i="3"/>
  <c r="G29" i="3"/>
  <c r="N28" i="3"/>
  <c r="J28" i="3"/>
  <c r="I28" i="3"/>
  <c r="H28" i="3"/>
  <c r="G28" i="3"/>
  <c r="N27" i="3"/>
  <c r="J27" i="3"/>
  <c r="I27" i="3"/>
  <c r="H27" i="3"/>
  <c r="G27" i="3"/>
  <c r="N26" i="3"/>
  <c r="I26" i="3"/>
  <c r="H26" i="3"/>
  <c r="G26" i="3"/>
  <c r="N25" i="3"/>
  <c r="J25" i="3"/>
  <c r="I25" i="3"/>
  <c r="H25" i="3"/>
  <c r="G25" i="3"/>
  <c r="N24" i="3"/>
  <c r="J24" i="3"/>
  <c r="I24" i="3"/>
  <c r="H24" i="3"/>
  <c r="G24" i="3"/>
  <c r="L24" i="3" s="1"/>
  <c r="N23" i="3"/>
  <c r="J23" i="3"/>
  <c r="I23" i="3"/>
  <c r="H23" i="3"/>
  <c r="G23" i="3"/>
  <c r="L23" i="3" s="1"/>
  <c r="O82" i="6" l="1"/>
  <c r="P82" i="6" s="1"/>
  <c r="S138" i="6"/>
  <c r="S92" i="6"/>
  <c r="S48" i="6"/>
  <c r="S31" i="6"/>
  <c r="O126" i="6"/>
  <c r="P126" i="6" s="1"/>
  <c r="S153" i="6"/>
  <c r="O64" i="6"/>
  <c r="P64" i="6" s="1"/>
  <c r="O56" i="6"/>
  <c r="P56" i="6" s="1"/>
  <c r="O124" i="6"/>
  <c r="P124" i="6" s="1"/>
  <c r="O29" i="6"/>
  <c r="P29" i="6" s="1"/>
  <c r="O141" i="6"/>
  <c r="P141" i="6" s="1"/>
  <c r="O83" i="6"/>
  <c r="P83" i="6" s="1"/>
  <c r="O132" i="6"/>
  <c r="P132" i="6" s="1"/>
  <c r="S109" i="6"/>
  <c r="S70" i="6"/>
  <c r="O118" i="6"/>
  <c r="P118" i="6" s="1"/>
  <c r="S147" i="6"/>
  <c r="S25" i="6"/>
  <c r="S160" i="6"/>
  <c r="O137" i="6"/>
  <c r="P137" i="6" s="1"/>
  <c r="O98" i="6"/>
  <c r="P98" i="6" s="1"/>
  <c r="S99" i="6"/>
  <c r="O164" i="6"/>
  <c r="P164" i="6" s="1"/>
  <c r="O30" i="6"/>
  <c r="P30" i="6" s="1"/>
  <c r="O34" i="6"/>
  <c r="P34" i="6" s="1"/>
  <c r="S131" i="6"/>
  <c r="O53" i="6"/>
  <c r="P53" i="6" s="1"/>
  <c r="O77" i="6"/>
  <c r="P77" i="6" s="1"/>
  <c r="S171" i="6"/>
  <c r="S154" i="6"/>
  <c r="O28" i="6"/>
  <c r="P28" i="6" s="1"/>
  <c r="O51" i="6"/>
  <c r="P51" i="6" s="1"/>
  <c r="O100" i="6"/>
  <c r="P100" i="6" s="1"/>
  <c r="S101" i="6"/>
  <c r="S175" i="6"/>
  <c r="S112" i="6"/>
  <c r="O156" i="6"/>
  <c r="P156" i="6" s="1"/>
  <c r="O159" i="6"/>
  <c r="P159" i="6" s="1"/>
  <c r="O32" i="6"/>
  <c r="P32" i="6" s="1"/>
  <c r="O173" i="6"/>
  <c r="P173" i="6" s="1"/>
  <c r="O26" i="6"/>
  <c r="P26" i="6" s="1"/>
  <c r="O139" i="6"/>
  <c r="P139" i="6" s="1"/>
  <c r="S123" i="6"/>
  <c r="O136" i="6"/>
  <c r="P136" i="6" s="1"/>
  <c r="O144" i="6"/>
  <c r="P144" i="6" s="1"/>
  <c r="O73" i="6"/>
  <c r="P73" i="6" s="1"/>
  <c r="O41" i="6"/>
  <c r="P41" i="6" s="1"/>
  <c r="O40" i="6"/>
  <c r="P40" i="6" s="1"/>
  <c r="S169" i="6"/>
  <c r="S111" i="6"/>
  <c r="S43" i="6"/>
  <c r="S86" i="6"/>
  <c r="S176" i="6"/>
  <c r="O146" i="6"/>
  <c r="P146" i="6" s="1"/>
  <c r="O149" i="6"/>
  <c r="P149" i="6" s="1"/>
  <c r="S163" i="6"/>
  <c r="O108" i="6"/>
  <c r="P108" i="6" s="1"/>
  <c r="O89" i="6"/>
  <c r="P89" i="6" s="1"/>
  <c r="O80" i="6"/>
  <c r="P80" i="6" s="1"/>
  <c r="O55" i="6"/>
  <c r="P55" i="6" s="1"/>
  <c r="O115" i="6"/>
  <c r="P115" i="6" s="1"/>
  <c r="O96" i="6"/>
  <c r="P96" i="6" s="1"/>
  <c r="O113" i="6"/>
  <c r="P113" i="6" s="1"/>
  <c r="S125" i="6"/>
  <c r="O88" i="6"/>
  <c r="P88" i="6" s="1"/>
  <c r="O129" i="6"/>
  <c r="P129" i="6" s="1"/>
  <c r="O91" i="6"/>
  <c r="P91" i="6" s="1"/>
  <c r="O174" i="6"/>
  <c r="P174" i="6" s="1"/>
  <c r="O45" i="6"/>
  <c r="P45" i="6" s="1"/>
  <c r="O122" i="6"/>
  <c r="P122" i="6" s="1"/>
  <c r="O35" i="6"/>
  <c r="P35" i="6" s="1"/>
  <c r="O121" i="6"/>
  <c r="P121" i="6" s="1"/>
  <c r="O49" i="6"/>
  <c r="P49" i="6" s="1"/>
  <c r="O128" i="6"/>
  <c r="P128" i="6" s="1"/>
  <c r="O44" i="6"/>
  <c r="P44" i="6" s="1"/>
  <c r="O168" i="6"/>
  <c r="P168" i="6" s="1"/>
  <c r="O117" i="6"/>
  <c r="P117" i="6" s="1"/>
  <c r="O81" i="6"/>
  <c r="P81" i="6" s="1"/>
  <c r="O78" i="6"/>
  <c r="P78" i="6" s="1"/>
  <c r="O109" i="6"/>
  <c r="P109" i="6" s="1"/>
  <c r="O79" i="6"/>
  <c r="P79" i="6" s="1"/>
  <c r="O110" i="6"/>
  <c r="P110" i="6" s="1"/>
  <c r="O75" i="6"/>
  <c r="P75" i="6" s="1"/>
  <c r="O69" i="6"/>
  <c r="P69" i="6" s="1"/>
  <c r="O104" i="6"/>
  <c r="P104" i="6" s="1"/>
  <c r="O74" i="6"/>
  <c r="P74" i="6" s="1"/>
  <c r="O152" i="6"/>
  <c r="P152" i="6" s="1"/>
  <c r="O90" i="6"/>
  <c r="P90" i="6" s="1"/>
  <c r="O150" i="6"/>
  <c r="P150" i="6" s="1"/>
  <c r="O116" i="6"/>
  <c r="P116" i="6" s="1"/>
  <c r="O57" i="6"/>
  <c r="P57" i="6" s="1"/>
  <c r="O167" i="6"/>
  <c r="P167" i="6" s="1"/>
  <c r="O158" i="6"/>
  <c r="P158" i="6" s="1"/>
  <c r="O85" i="6"/>
  <c r="P85" i="6" s="1"/>
  <c r="O65" i="6"/>
  <c r="P65" i="6" s="1"/>
  <c r="O151" i="6"/>
  <c r="P151" i="6" s="1"/>
  <c r="O95" i="6"/>
  <c r="P95" i="6" s="1"/>
  <c r="O145" i="6"/>
  <c r="P145" i="6" s="1"/>
  <c r="O24" i="6"/>
  <c r="P24" i="6" s="1"/>
  <c r="L45" i="4"/>
  <c r="L162" i="4"/>
  <c r="L176" i="4"/>
  <c r="L168" i="4"/>
  <c r="S168" i="4" s="1"/>
  <c r="L47" i="4"/>
  <c r="O47" i="4" s="1"/>
  <c r="P47" i="4" s="1"/>
  <c r="L36" i="4"/>
  <c r="L44" i="4"/>
  <c r="O44" i="4" s="1"/>
  <c r="P44" i="4" s="1"/>
  <c r="L51" i="4"/>
  <c r="O51" i="4" s="1"/>
  <c r="P51" i="4" s="1"/>
  <c r="L59" i="4"/>
  <c r="L67" i="4"/>
  <c r="L69" i="4"/>
  <c r="L74" i="4"/>
  <c r="L76" i="4"/>
  <c r="L89" i="4"/>
  <c r="S89" i="4" s="1"/>
  <c r="L94" i="4"/>
  <c r="O94" i="4" s="1"/>
  <c r="P94" i="4" s="1"/>
  <c r="L98" i="4"/>
  <c r="O98" i="4" s="1"/>
  <c r="P98" i="4" s="1"/>
  <c r="L100" i="4"/>
  <c r="L112" i="4"/>
  <c r="L120" i="4"/>
  <c r="L127" i="4"/>
  <c r="L135" i="4"/>
  <c r="S135" i="4" s="1"/>
  <c r="L148" i="4"/>
  <c r="O148" i="4" s="1"/>
  <c r="P148" i="4" s="1"/>
  <c r="L153" i="4"/>
  <c r="O153" i="4" s="1"/>
  <c r="P153" i="4" s="1"/>
  <c r="L171" i="4"/>
  <c r="O171" i="4" s="1"/>
  <c r="P171" i="4" s="1"/>
  <c r="L163" i="4"/>
  <c r="L23" i="4"/>
  <c r="L28" i="4"/>
  <c r="L33" i="4"/>
  <c r="L41" i="4"/>
  <c r="L46" i="4"/>
  <c r="O46" i="4" s="1"/>
  <c r="P46" i="4" s="1"/>
  <c r="L48" i="4"/>
  <c r="L56" i="4"/>
  <c r="O56" i="4" s="1"/>
  <c r="P56" i="4" s="1"/>
  <c r="L64" i="4"/>
  <c r="L78" i="4"/>
  <c r="S78" i="4" s="1"/>
  <c r="L86" i="4"/>
  <c r="L107" i="4"/>
  <c r="L117" i="4"/>
  <c r="L124" i="4"/>
  <c r="L132" i="4"/>
  <c r="S132" i="4" s="1"/>
  <c r="L140" i="4"/>
  <c r="S140" i="4" s="1"/>
  <c r="L145" i="4"/>
  <c r="L150" i="4"/>
  <c r="L158" i="4"/>
  <c r="L174" i="4"/>
  <c r="L166" i="4"/>
  <c r="L170" i="4"/>
  <c r="S170" i="4" s="1"/>
  <c r="L81" i="4"/>
  <c r="O81" i="4" s="1"/>
  <c r="P81" i="4" s="1"/>
  <c r="L173" i="4"/>
  <c r="S173" i="4" s="1"/>
  <c r="L25" i="4"/>
  <c r="L30" i="4"/>
  <c r="L38" i="4"/>
  <c r="L53" i="4"/>
  <c r="L61" i="4"/>
  <c r="L71" i="4"/>
  <c r="L80" i="4"/>
  <c r="S80" i="4" s="1"/>
  <c r="L82" i="4"/>
  <c r="O82" i="4" s="1"/>
  <c r="P82" i="4" s="1"/>
  <c r="L84" i="4"/>
  <c r="L91" i="4"/>
  <c r="L102" i="4"/>
  <c r="L114" i="4"/>
  <c r="L129" i="4"/>
  <c r="L137" i="4"/>
  <c r="L155" i="4"/>
  <c r="L169" i="4"/>
  <c r="O169" i="4" s="1"/>
  <c r="P169" i="4" s="1"/>
  <c r="L161" i="4"/>
  <c r="L165" i="4"/>
  <c r="L103" i="4"/>
  <c r="L35" i="4"/>
  <c r="L43" i="4"/>
  <c r="L50" i="4"/>
  <c r="L58" i="4"/>
  <c r="L66" i="4"/>
  <c r="L68" i="4"/>
  <c r="L73" i="4"/>
  <c r="S73" i="4" s="1"/>
  <c r="L75" i="4"/>
  <c r="L88" i="4"/>
  <c r="L95" i="4"/>
  <c r="L97" i="4"/>
  <c r="L104" i="4"/>
  <c r="S104" i="4" s="1"/>
  <c r="L109" i="4"/>
  <c r="S109" i="4" s="1"/>
  <c r="L111" i="4"/>
  <c r="L119" i="4"/>
  <c r="O119" i="4" s="1"/>
  <c r="P119" i="4" s="1"/>
  <c r="L126" i="4"/>
  <c r="S126" i="4" s="1"/>
  <c r="L134" i="4"/>
  <c r="O134" i="4" s="1"/>
  <c r="P134" i="4" s="1"/>
  <c r="L142" i="4"/>
  <c r="L147" i="4"/>
  <c r="S147" i="4" s="1"/>
  <c r="L152" i="4"/>
  <c r="L160" i="4"/>
  <c r="S160" i="4" s="1"/>
  <c r="L172" i="4"/>
  <c r="L164" i="4"/>
  <c r="S164" i="4" s="1"/>
  <c r="J28" i="5"/>
  <c r="I122" i="5"/>
  <c r="I115" i="5"/>
  <c r="M115" i="5"/>
  <c r="P115" i="5" s="1"/>
  <c r="Q115" i="5" s="1"/>
  <c r="O175" i="4"/>
  <c r="P175" i="4" s="1"/>
  <c r="O90" i="4"/>
  <c r="P90" i="4" s="1"/>
  <c r="S113" i="4"/>
  <c r="O151" i="4"/>
  <c r="P151" i="4" s="1"/>
  <c r="S87" i="4"/>
  <c r="S118" i="4"/>
  <c r="S165" i="4"/>
  <c r="S55" i="4"/>
  <c r="S83" i="4"/>
  <c r="T63" i="5"/>
  <c r="T117" i="5"/>
  <c r="P45" i="5"/>
  <c r="Q45" i="5" s="1"/>
  <c r="P53" i="5"/>
  <c r="Q53" i="5" s="1"/>
  <c r="P61" i="5"/>
  <c r="Q61" i="5" s="1"/>
  <c r="P77" i="5"/>
  <c r="Q77" i="5" s="1"/>
  <c r="P82" i="5"/>
  <c r="Q82" i="5" s="1"/>
  <c r="P83" i="5"/>
  <c r="Q83" i="5" s="1"/>
  <c r="P98" i="5"/>
  <c r="Q98" i="5" s="1"/>
  <c r="P106" i="5"/>
  <c r="Q106" i="5" s="1"/>
  <c r="T114" i="5"/>
  <c r="T125" i="5"/>
  <c r="P133" i="5"/>
  <c r="Q133" i="5" s="1"/>
  <c r="T141" i="5"/>
  <c r="T149" i="5"/>
  <c r="T104" i="5"/>
  <c r="T41" i="5"/>
  <c r="T43" i="5"/>
  <c r="P50" i="5"/>
  <c r="Q50" i="5" s="1"/>
  <c r="P58" i="5"/>
  <c r="Q58" i="5" s="1"/>
  <c r="T95" i="5"/>
  <c r="T103" i="5"/>
  <c r="T138" i="5"/>
  <c r="T146" i="5"/>
  <c r="P30" i="5"/>
  <c r="Q30" i="5" s="1"/>
  <c r="T38" i="5"/>
  <c r="P47" i="5"/>
  <c r="Q47" i="5" s="1"/>
  <c r="P55" i="5"/>
  <c r="Q55" i="5" s="1"/>
  <c r="P71" i="5"/>
  <c r="Q71" i="5" s="1"/>
  <c r="P85" i="5"/>
  <c r="Q85" i="5" s="1"/>
  <c r="P88" i="5"/>
  <c r="Q88" i="5" s="1"/>
  <c r="T100" i="5"/>
  <c r="T108" i="5"/>
  <c r="T135" i="5"/>
  <c r="P143" i="5"/>
  <c r="Q143" i="5" s="1"/>
  <c r="T35" i="5"/>
  <c r="P44" i="5"/>
  <c r="Q44" i="5" s="1"/>
  <c r="P76" i="5"/>
  <c r="Q76" i="5" s="1"/>
  <c r="T81" i="5"/>
  <c r="P87" i="5"/>
  <c r="Q87" i="5" s="1"/>
  <c r="T93" i="5"/>
  <c r="P97" i="5"/>
  <c r="Q97" i="5" s="1"/>
  <c r="T105" i="5"/>
  <c r="P113" i="5"/>
  <c r="Q113" i="5" s="1"/>
  <c r="P121" i="5"/>
  <c r="Q121" i="5" s="1"/>
  <c r="T148" i="5"/>
  <c r="P28" i="5"/>
  <c r="Q28" i="5" s="1"/>
  <c r="P32" i="5"/>
  <c r="Q32" i="5" s="1"/>
  <c r="T40" i="5"/>
  <c r="P66" i="5"/>
  <c r="Q66" i="5" s="1"/>
  <c r="P68" i="5"/>
  <c r="Q68" i="5" s="1"/>
  <c r="T90" i="5"/>
  <c r="T102" i="5"/>
  <c r="T118" i="5"/>
  <c r="P129" i="5"/>
  <c r="Q129" i="5" s="1"/>
  <c r="T137" i="5"/>
  <c r="P145" i="5"/>
  <c r="Q145" i="5" s="1"/>
  <c r="T27" i="5"/>
  <c r="T54" i="5"/>
  <c r="P62" i="5"/>
  <c r="Q62" i="5" s="1"/>
  <c r="T70" i="5"/>
  <c r="P78" i="5"/>
  <c r="Q78" i="5" s="1"/>
  <c r="P84" i="5"/>
  <c r="Q84" i="5" s="1"/>
  <c r="T99" i="5"/>
  <c r="P107" i="5"/>
  <c r="Q107" i="5" s="1"/>
  <c r="P126" i="5"/>
  <c r="Q126" i="5" s="1"/>
  <c r="T134" i="5"/>
  <c r="T142" i="5"/>
  <c r="P144" i="5"/>
  <c r="Q144" i="5" s="1"/>
  <c r="T144" i="5"/>
  <c r="P48" i="5"/>
  <c r="Q48" i="5" s="1"/>
  <c r="T48" i="5"/>
  <c r="T128" i="5"/>
  <c r="P128" i="5"/>
  <c r="Q128" i="5" s="1"/>
  <c r="T33" i="5"/>
  <c r="P33" i="5"/>
  <c r="Q33" i="5" s="1"/>
  <c r="T56" i="5"/>
  <c r="P56" i="5"/>
  <c r="Q56" i="5" s="1"/>
  <c r="P136" i="5"/>
  <c r="Q136" i="5" s="1"/>
  <c r="T136" i="5"/>
  <c r="T85" i="5"/>
  <c r="T98" i="5"/>
  <c r="P26" i="5"/>
  <c r="Q26" i="5" s="1"/>
  <c r="T69" i="5"/>
  <c r="T75" i="5"/>
  <c r="T96" i="5"/>
  <c r="T119" i="5"/>
  <c r="P104" i="5"/>
  <c r="Q104" i="5" s="1"/>
  <c r="P39" i="5"/>
  <c r="Q39" i="5" s="1"/>
  <c r="T31" i="5"/>
  <c r="P112" i="5"/>
  <c r="Q112" i="5" s="1"/>
  <c r="T94" i="5"/>
  <c r="T106" i="5"/>
  <c r="T71" i="5"/>
  <c r="P94" i="5"/>
  <c r="Q94" i="5" s="1"/>
  <c r="T25" i="5"/>
  <c r="P25" i="5"/>
  <c r="Q25" i="5" s="1"/>
  <c r="P38" i="5"/>
  <c r="Q38" i="5" s="1"/>
  <c r="P42" i="5"/>
  <c r="Q42" i="5" s="1"/>
  <c r="T42" i="5"/>
  <c r="P63" i="5"/>
  <c r="Q63" i="5" s="1"/>
  <c r="P34" i="5"/>
  <c r="Q34" i="5" s="1"/>
  <c r="T34" i="5"/>
  <c r="T28" i="5"/>
  <c r="T47" i="5"/>
  <c r="T55" i="5"/>
  <c r="T73" i="5"/>
  <c r="P73" i="5"/>
  <c r="Q73" i="5" s="1"/>
  <c r="T115" i="5"/>
  <c r="T124" i="5"/>
  <c r="P124" i="5"/>
  <c r="Q124" i="5" s="1"/>
  <c r="P127" i="5"/>
  <c r="Q127" i="5" s="1"/>
  <c r="T127" i="5"/>
  <c r="T26" i="5"/>
  <c r="T51" i="5"/>
  <c r="P51" i="5"/>
  <c r="Q51" i="5" s="1"/>
  <c r="T59" i="5"/>
  <c r="P59" i="5"/>
  <c r="Q59" i="5" s="1"/>
  <c r="P105" i="5"/>
  <c r="Q105" i="5" s="1"/>
  <c r="T122" i="5"/>
  <c r="P122" i="5"/>
  <c r="Q122" i="5" s="1"/>
  <c r="T147" i="5"/>
  <c r="P147" i="5"/>
  <c r="Q147" i="5" s="1"/>
  <c r="T84" i="5"/>
  <c r="P96" i="5"/>
  <c r="Q96" i="5" s="1"/>
  <c r="T143" i="5"/>
  <c r="T80" i="5"/>
  <c r="P80" i="5"/>
  <c r="Q80" i="5" s="1"/>
  <c r="T133" i="5"/>
  <c r="P149" i="5"/>
  <c r="Q149" i="5" s="1"/>
  <c r="P35" i="5"/>
  <c r="Q35" i="5" s="1"/>
  <c r="T53" i="5"/>
  <c r="T111" i="5"/>
  <c r="P111" i="5"/>
  <c r="Q111" i="5" s="1"/>
  <c r="P93" i="5"/>
  <c r="Q93" i="5" s="1"/>
  <c r="T112" i="5"/>
  <c r="T76" i="5"/>
  <c r="T89" i="5"/>
  <c r="P89" i="5"/>
  <c r="Q89" i="5" s="1"/>
  <c r="T130" i="5"/>
  <c r="P130" i="5"/>
  <c r="Q130" i="5" s="1"/>
  <c r="P148" i="5"/>
  <c r="Q148" i="5" s="1"/>
  <c r="T82" i="5"/>
  <c r="P117" i="5"/>
  <c r="Q117" i="5" s="1"/>
  <c r="P120" i="5"/>
  <c r="Q120" i="5" s="1"/>
  <c r="T120" i="5"/>
  <c r="P123" i="3"/>
  <c r="O157" i="3"/>
  <c r="P157" i="3" s="1"/>
  <c r="S170" i="3"/>
  <c r="O170" i="3"/>
  <c r="P170" i="3" s="1"/>
  <c r="O174" i="3"/>
  <c r="P174" i="3" s="1"/>
  <c r="S174" i="3"/>
  <c r="S162" i="3"/>
  <c r="O162" i="3"/>
  <c r="P162" i="3" s="1"/>
  <c r="O166" i="3"/>
  <c r="P166" i="3" s="1"/>
  <c r="S166" i="3"/>
  <c r="O171" i="3"/>
  <c r="P171" i="3" s="1"/>
  <c r="S171" i="3"/>
  <c r="O176" i="3"/>
  <c r="P176" i="3" s="1"/>
  <c r="S176" i="3"/>
  <c r="O168" i="3"/>
  <c r="S168" i="3"/>
  <c r="O163" i="3"/>
  <c r="P163" i="3" s="1"/>
  <c r="S163" i="3"/>
  <c r="O175" i="3"/>
  <c r="P175" i="3" s="1"/>
  <c r="S175" i="3"/>
  <c r="O173" i="3"/>
  <c r="P173" i="3" s="1"/>
  <c r="S173" i="3"/>
  <c r="S169" i="3"/>
  <c r="O169" i="3"/>
  <c r="P169" i="3" s="1"/>
  <c r="P168" i="3"/>
  <c r="O167" i="3"/>
  <c r="P167" i="3" s="1"/>
  <c r="S167" i="3"/>
  <c r="O165" i="3"/>
  <c r="P165" i="3" s="1"/>
  <c r="S165" i="3"/>
  <c r="S161" i="3"/>
  <c r="O161" i="3"/>
  <c r="P161" i="3" s="1"/>
  <c r="S172" i="3"/>
  <c r="S164" i="3"/>
  <c r="L71" i="3"/>
  <c r="S71" i="3" s="1"/>
  <c r="L95" i="3"/>
  <c r="O95" i="3" s="1"/>
  <c r="P95" i="3" s="1"/>
  <c r="L128" i="3"/>
  <c r="S128" i="3" s="1"/>
  <c r="L37" i="3"/>
  <c r="S37" i="3" s="1"/>
  <c r="L41" i="3"/>
  <c r="O41" i="3" s="1"/>
  <c r="P41" i="3" s="1"/>
  <c r="L51" i="3"/>
  <c r="O51" i="3" s="1"/>
  <c r="L62" i="3"/>
  <c r="S62" i="3" s="1"/>
  <c r="L76" i="3"/>
  <c r="S76" i="3" s="1"/>
  <c r="L80" i="3"/>
  <c r="L82" i="3"/>
  <c r="S82" i="3" s="1"/>
  <c r="L101" i="3"/>
  <c r="S101" i="3" s="1"/>
  <c r="L105" i="3"/>
  <c r="S105" i="3" s="1"/>
  <c r="L115" i="3"/>
  <c r="O115" i="3" s="1"/>
  <c r="L149" i="3"/>
  <c r="S149" i="3" s="1"/>
  <c r="L153" i="3"/>
  <c r="S153" i="3" s="1"/>
  <c r="L99" i="3"/>
  <c r="O99" i="3" s="1"/>
  <c r="P99" i="3" s="1"/>
  <c r="L72" i="3"/>
  <c r="S72" i="3" s="1"/>
  <c r="L26" i="3"/>
  <c r="O26" i="3" s="1"/>
  <c r="P26" i="3" s="1"/>
  <c r="L84" i="3"/>
  <c r="O84" i="3" s="1"/>
  <c r="P84" i="3" s="1"/>
  <c r="L88" i="3"/>
  <c r="S88" i="3" s="1"/>
  <c r="P91" i="3"/>
  <c r="L109" i="3"/>
  <c r="S109" i="3" s="1"/>
  <c r="L136" i="3"/>
  <c r="S136" i="3" s="1"/>
  <c r="L85" i="3"/>
  <c r="S85" i="3" s="1"/>
  <c r="L130" i="3"/>
  <c r="L28" i="3"/>
  <c r="L32" i="3"/>
  <c r="S32" i="3" s="1"/>
  <c r="L34" i="3"/>
  <c r="O34" i="3" s="1"/>
  <c r="P34" i="3" s="1"/>
  <c r="P35" i="3"/>
  <c r="L53" i="3"/>
  <c r="S53" i="3" s="1"/>
  <c r="L57" i="3"/>
  <c r="O57" i="3" s="1"/>
  <c r="P57" i="3" s="1"/>
  <c r="L67" i="3"/>
  <c r="O67" i="3" s="1"/>
  <c r="L78" i="3"/>
  <c r="L92" i="3"/>
  <c r="S92" i="3" s="1"/>
  <c r="L96" i="3"/>
  <c r="O96" i="3" s="1"/>
  <c r="P96" i="3" s="1"/>
  <c r="L98" i="3"/>
  <c r="S98" i="3" s="1"/>
  <c r="L117" i="3"/>
  <c r="S117" i="3" s="1"/>
  <c r="L121" i="3"/>
  <c r="L140" i="3"/>
  <c r="S140" i="3" s="1"/>
  <c r="L144" i="3"/>
  <c r="S144" i="3" s="1"/>
  <c r="L146" i="3"/>
  <c r="S146" i="3" s="1"/>
  <c r="L64" i="3"/>
  <c r="S64" i="3" s="1"/>
  <c r="L29" i="3"/>
  <c r="S29" i="3" s="1"/>
  <c r="L36" i="3"/>
  <c r="S36" i="3" s="1"/>
  <c r="L40" i="3"/>
  <c r="S40" i="3" s="1"/>
  <c r="L42" i="3"/>
  <c r="L61" i="3"/>
  <c r="S61" i="3" s="1"/>
  <c r="L75" i="3"/>
  <c r="O75" i="3" s="1"/>
  <c r="P75" i="3" s="1"/>
  <c r="L86" i="3"/>
  <c r="L100" i="3"/>
  <c r="O100" i="3" s="1"/>
  <c r="P100" i="3" s="1"/>
  <c r="L104" i="3"/>
  <c r="S104" i="3" s="1"/>
  <c r="L106" i="3"/>
  <c r="O106" i="3" s="1"/>
  <c r="P106" i="3" s="1"/>
  <c r="L125" i="3"/>
  <c r="L131" i="3"/>
  <c r="L134" i="3"/>
  <c r="O134" i="3" s="1"/>
  <c r="P134" i="3" s="1"/>
  <c r="L148" i="3"/>
  <c r="O148" i="3" s="1"/>
  <c r="P148" i="3" s="1"/>
  <c r="L152" i="3"/>
  <c r="S152" i="3" s="1"/>
  <c r="L154" i="3"/>
  <c r="O154" i="3" s="1"/>
  <c r="P154" i="3" s="1"/>
  <c r="P155" i="3"/>
  <c r="L120" i="3"/>
  <c r="S120" i="3" s="1"/>
  <c r="L25" i="3"/>
  <c r="O25" i="3" s="1"/>
  <c r="P25" i="3" s="1"/>
  <c r="L66" i="3"/>
  <c r="L89" i="3"/>
  <c r="S89" i="3" s="1"/>
  <c r="L137" i="3"/>
  <c r="O137" i="3" s="1"/>
  <c r="P137" i="3" s="1"/>
  <c r="L74" i="3"/>
  <c r="O74" i="3" s="1"/>
  <c r="P74" i="3" s="1"/>
  <c r="L30" i="3"/>
  <c r="O30" i="3" s="1"/>
  <c r="P30" i="3" s="1"/>
  <c r="L44" i="3"/>
  <c r="O44" i="3" s="1"/>
  <c r="P44" i="3" s="1"/>
  <c r="L48" i="3"/>
  <c r="O48" i="3" s="1"/>
  <c r="P48" i="3" s="1"/>
  <c r="L50" i="3"/>
  <c r="O50" i="3" s="1"/>
  <c r="P50" i="3" s="1"/>
  <c r="L69" i="3"/>
  <c r="S69" i="3" s="1"/>
  <c r="L73" i="3"/>
  <c r="O73" i="3" s="1"/>
  <c r="P73" i="3" s="1"/>
  <c r="L83" i="3"/>
  <c r="O83" i="3" s="1"/>
  <c r="P83" i="3" s="1"/>
  <c r="L94" i="3"/>
  <c r="O94" i="3" s="1"/>
  <c r="P94" i="3" s="1"/>
  <c r="L108" i="3"/>
  <c r="S108" i="3" s="1"/>
  <c r="L112" i="3"/>
  <c r="S112" i="3" s="1"/>
  <c r="L114" i="3"/>
  <c r="O114" i="3" s="1"/>
  <c r="P114" i="3" s="1"/>
  <c r="L142" i="3"/>
  <c r="O142" i="3" s="1"/>
  <c r="P142" i="3" s="1"/>
  <c r="L156" i="3"/>
  <c r="O156" i="3" s="1"/>
  <c r="P156" i="3" s="1"/>
  <c r="L159" i="3"/>
  <c r="S159" i="3" s="1"/>
  <c r="O176" i="4"/>
  <c r="P176" i="4" s="1"/>
  <c r="S176" i="4"/>
  <c r="S162" i="4"/>
  <c r="O162" i="4"/>
  <c r="P162" i="4" s="1"/>
  <c r="O165" i="4"/>
  <c r="P165" i="4" s="1"/>
  <c r="S167" i="4"/>
  <c r="O167" i="4"/>
  <c r="P167" i="4" s="1"/>
  <c r="S161" i="4"/>
  <c r="O161" i="4"/>
  <c r="P161" i="4" s="1"/>
  <c r="S122" i="4"/>
  <c r="O130" i="4"/>
  <c r="P130" i="4" s="1"/>
  <c r="S138" i="4"/>
  <c r="S74" i="4"/>
  <c r="O145" i="4"/>
  <c r="P145" i="4" s="1"/>
  <c r="S34" i="4"/>
  <c r="S112" i="4"/>
  <c r="O25" i="4"/>
  <c r="P25" i="4" s="1"/>
  <c r="O33" i="4"/>
  <c r="P33" i="4" s="1"/>
  <c r="O41" i="4"/>
  <c r="P41" i="4" s="1"/>
  <c r="S52" i="4"/>
  <c r="S111" i="4"/>
  <c r="S99" i="4"/>
  <c r="S107" i="4"/>
  <c r="O115" i="4"/>
  <c r="P115" i="4" s="1"/>
  <c r="O131" i="4"/>
  <c r="P131" i="4" s="1"/>
  <c r="S139" i="4"/>
  <c r="S155" i="4"/>
  <c r="S28" i="4"/>
  <c r="S69" i="4"/>
  <c r="S85" i="4"/>
  <c r="S101" i="4"/>
  <c r="S117" i="4"/>
  <c r="S125" i="4"/>
  <c r="S27" i="4"/>
  <c r="O49" i="4"/>
  <c r="P49" i="4" s="1"/>
  <c r="S60" i="4"/>
  <c r="S84" i="4"/>
  <c r="S92" i="4"/>
  <c r="S57" i="4"/>
  <c r="O65" i="4"/>
  <c r="P65" i="4" s="1"/>
  <c r="S156" i="4"/>
  <c r="S32" i="4"/>
  <c r="O120" i="4"/>
  <c r="P120" i="4" s="1"/>
  <c r="S41" i="4"/>
  <c r="S64" i="4"/>
  <c r="S128" i="4"/>
  <c r="S38" i="4"/>
  <c r="O72" i="4"/>
  <c r="P72" i="4" s="1"/>
  <c r="O136" i="4"/>
  <c r="P136" i="4" s="1"/>
  <c r="O150" i="4"/>
  <c r="P150" i="4" s="1"/>
  <c r="S96" i="4"/>
  <c r="S63" i="4"/>
  <c r="S102" i="4"/>
  <c r="O30" i="4"/>
  <c r="P30" i="4" s="1"/>
  <c r="O110" i="4"/>
  <c r="P110" i="4" s="1"/>
  <c r="O105" i="4"/>
  <c r="P105" i="4" s="1"/>
  <c r="O87" i="4"/>
  <c r="P87" i="4" s="1"/>
  <c r="S37" i="4"/>
  <c r="O37" i="4"/>
  <c r="P37" i="4" s="1"/>
  <c r="O78" i="4"/>
  <c r="P78" i="4" s="1"/>
  <c r="S142" i="4"/>
  <c r="O142" i="4"/>
  <c r="P142" i="4" s="1"/>
  <c r="S86" i="4"/>
  <c r="O86" i="4"/>
  <c r="P86" i="4" s="1"/>
  <c r="S121" i="4"/>
  <c r="O121" i="4"/>
  <c r="P121" i="4" s="1"/>
  <c r="S159" i="4"/>
  <c r="O159" i="4"/>
  <c r="P159" i="4" s="1"/>
  <c r="O55" i="4"/>
  <c r="P55" i="4" s="1"/>
  <c r="S31" i="4"/>
  <c r="O31" i="4"/>
  <c r="P31" i="4" s="1"/>
  <c r="S62" i="4"/>
  <c r="O62" i="4"/>
  <c r="P62" i="4" s="1"/>
  <c r="O126" i="4"/>
  <c r="P126" i="4" s="1"/>
  <c r="O59" i="4"/>
  <c r="P59" i="4" s="1"/>
  <c r="S59" i="4"/>
  <c r="S123" i="4"/>
  <c r="O135" i="4"/>
  <c r="P135" i="4" s="1"/>
  <c r="S45" i="4"/>
  <c r="O45" i="4"/>
  <c r="P45" i="4" s="1"/>
  <c r="S67" i="4"/>
  <c r="O67" i="4"/>
  <c r="P67" i="4" s="1"/>
  <c r="S106" i="4"/>
  <c r="S143" i="4"/>
  <c r="O143" i="4"/>
  <c r="P143" i="4" s="1"/>
  <c r="S54" i="4"/>
  <c r="O54" i="4"/>
  <c r="P54" i="4" s="1"/>
  <c r="O75" i="4"/>
  <c r="P75" i="4" s="1"/>
  <c r="S75" i="4"/>
  <c r="S155" i="3"/>
  <c r="O69" i="4"/>
  <c r="P69" i="4" s="1"/>
  <c r="O149" i="4"/>
  <c r="P149" i="4" s="1"/>
  <c r="S35" i="3"/>
  <c r="O93" i="3"/>
  <c r="P93" i="3" s="1"/>
  <c r="P107" i="3"/>
  <c r="P139" i="3"/>
  <c r="P51" i="3"/>
  <c r="O45" i="3"/>
  <c r="P45" i="3" s="1"/>
  <c r="S51" i="3"/>
  <c r="O77" i="3"/>
  <c r="P77" i="3" s="1"/>
  <c r="S83" i="3"/>
  <c r="O109" i="3"/>
  <c r="P109" i="3" s="1"/>
  <c r="O141" i="3"/>
  <c r="P141" i="3" s="1"/>
  <c r="S147" i="3"/>
  <c r="S68" i="3"/>
  <c r="O68" i="3"/>
  <c r="P68" i="3" s="1"/>
  <c r="S94" i="3"/>
  <c r="S100" i="3"/>
  <c r="S110" i="3"/>
  <c r="O110" i="3"/>
  <c r="P110" i="3" s="1"/>
  <c r="S116" i="3"/>
  <c r="O116" i="3"/>
  <c r="P116" i="3" s="1"/>
  <c r="S126" i="3"/>
  <c r="O126" i="3"/>
  <c r="P126" i="3" s="1"/>
  <c r="S132" i="3"/>
  <c r="O132" i="3"/>
  <c r="P132" i="3" s="1"/>
  <c r="S142" i="3"/>
  <c r="S158" i="3"/>
  <c r="O158" i="3"/>
  <c r="P158" i="3" s="1"/>
  <c r="S31" i="3"/>
  <c r="O31" i="3"/>
  <c r="P31" i="3" s="1"/>
  <c r="S47" i="3"/>
  <c r="O47" i="3"/>
  <c r="P47" i="3" s="1"/>
  <c r="S63" i="3"/>
  <c r="O63" i="3"/>
  <c r="P63" i="3" s="1"/>
  <c r="S79" i="3"/>
  <c r="O79" i="3"/>
  <c r="P79" i="3" s="1"/>
  <c r="S111" i="3"/>
  <c r="O111" i="3"/>
  <c r="P111" i="3" s="1"/>
  <c r="S127" i="3"/>
  <c r="O127" i="3"/>
  <c r="P127" i="3" s="1"/>
  <c r="S143" i="3"/>
  <c r="O143" i="3"/>
  <c r="P143" i="3" s="1"/>
  <c r="S52" i="3"/>
  <c r="O52" i="3"/>
  <c r="P52" i="3" s="1"/>
  <c r="S24" i="3"/>
  <c r="O24" i="3"/>
  <c r="P24" i="3" s="1"/>
  <c r="O42" i="3"/>
  <c r="P42" i="3" s="1"/>
  <c r="S42" i="3"/>
  <c r="P43" i="3"/>
  <c r="O58" i="3"/>
  <c r="P58" i="3" s="1"/>
  <c r="S58" i="3"/>
  <c r="P59" i="3"/>
  <c r="S74" i="3"/>
  <c r="O138" i="3"/>
  <c r="P138" i="3" s="1"/>
  <c r="S138" i="3"/>
  <c r="S154" i="3"/>
  <c r="S160" i="3"/>
  <c r="O160" i="3"/>
  <c r="O121" i="3"/>
  <c r="P121" i="3" s="1"/>
  <c r="S121" i="3"/>
  <c r="O153" i="3"/>
  <c r="P153" i="3" s="1"/>
  <c r="S46" i="3"/>
  <c r="O46" i="3"/>
  <c r="P46" i="3" s="1"/>
  <c r="S78" i="3"/>
  <c r="O78" i="3"/>
  <c r="P78" i="3" s="1"/>
  <c r="O90" i="3"/>
  <c r="P90" i="3" s="1"/>
  <c r="S90" i="3"/>
  <c r="O122" i="3"/>
  <c r="P122" i="3" s="1"/>
  <c r="S122" i="3"/>
  <c r="L33" i="3"/>
  <c r="S43" i="3"/>
  <c r="L49" i="3"/>
  <c r="O53" i="3"/>
  <c r="P53" i="3" s="1"/>
  <c r="S59" i="3"/>
  <c r="L65" i="3"/>
  <c r="L81" i="3"/>
  <c r="S91" i="3"/>
  <c r="L97" i="3"/>
  <c r="S107" i="3"/>
  <c r="L113" i="3"/>
  <c r="S123" i="3"/>
  <c r="L129" i="3"/>
  <c r="O133" i="3"/>
  <c r="P133" i="3" s="1"/>
  <c r="S139" i="3"/>
  <c r="L145" i="3"/>
  <c r="O149" i="3"/>
  <c r="P149" i="3" s="1"/>
  <c r="O89" i="3"/>
  <c r="P89" i="3" s="1"/>
  <c r="S56" i="3"/>
  <c r="O56" i="3"/>
  <c r="P56" i="3" s="1"/>
  <c r="O72" i="3"/>
  <c r="P72" i="3" s="1"/>
  <c r="O28" i="3"/>
  <c r="P28" i="3" s="1"/>
  <c r="S28" i="3"/>
  <c r="O38" i="3"/>
  <c r="P38" i="3" s="1"/>
  <c r="S38" i="3"/>
  <c r="S54" i="3"/>
  <c r="O54" i="3"/>
  <c r="P54" i="3" s="1"/>
  <c r="S70" i="3"/>
  <c r="O70" i="3"/>
  <c r="P70" i="3" s="1"/>
  <c r="S86" i="3"/>
  <c r="O86" i="3"/>
  <c r="P86" i="3" s="1"/>
  <c r="S102" i="3"/>
  <c r="O102" i="3"/>
  <c r="P102" i="3" s="1"/>
  <c r="S118" i="3"/>
  <c r="O118" i="3"/>
  <c r="P118" i="3" s="1"/>
  <c r="S124" i="3"/>
  <c r="O124" i="3"/>
  <c r="P124" i="3" s="1"/>
  <c r="S150" i="3"/>
  <c r="O150" i="3"/>
  <c r="P150" i="3" s="1"/>
  <c r="S156" i="3"/>
  <c r="O62" i="3"/>
  <c r="P62" i="3" s="1"/>
  <c r="S23" i="3"/>
  <c r="O23" i="3"/>
  <c r="P23" i="3" s="1"/>
  <c r="O60" i="3"/>
  <c r="P60" i="3" s="1"/>
  <c r="S60" i="3"/>
  <c r="S39" i="3"/>
  <c r="O39" i="3"/>
  <c r="P39" i="3" s="1"/>
  <c r="S55" i="3"/>
  <c r="O55" i="3"/>
  <c r="P55" i="3" s="1"/>
  <c r="S87" i="3"/>
  <c r="O87" i="3"/>
  <c r="P87" i="3" s="1"/>
  <c r="S103" i="3"/>
  <c r="O103" i="3"/>
  <c r="P103" i="3" s="1"/>
  <c r="S119" i="3"/>
  <c r="O119" i="3"/>
  <c r="P119" i="3" s="1"/>
  <c r="S135" i="3"/>
  <c r="O135" i="3"/>
  <c r="P135" i="3" s="1"/>
  <c r="S151" i="3"/>
  <c r="O151" i="3"/>
  <c r="P151" i="3" s="1"/>
  <c r="L27" i="3"/>
  <c r="S50" i="3"/>
  <c r="O66" i="3"/>
  <c r="P66" i="3" s="1"/>
  <c r="S66" i="3"/>
  <c r="P67" i="3"/>
  <c r="S80" i="3"/>
  <c r="O80" i="3"/>
  <c r="P80" i="3" s="1"/>
  <c r="O82" i="3"/>
  <c r="P82" i="3" s="1"/>
  <c r="P115" i="3"/>
  <c r="O130" i="3"/>
  <c r="P130" i="3" s="1"/>
  <c r="S130" i="3"/>
  <c r="O146" i="3"/>
  <c r="P146" i="3" s="1"/>
  <c r="P147" i="3"/>
  <c r="P160" i="3"/>
  <c r="T22" i="6" l="1"/>
  <c r="Q22" i="6"/>
  <c r="O105" i="3"/>
  <c r="P105" i="3" s="1"/>
  <c r="S94" i="4"/>
  <c r="S82" i="4"/>
  <c r="S153" i="4"/>
  <c r="S148" i="4"/>
  <c r="O173" i="4"/>
  <c r="P173" i="4" s="1"/>
  <c r="S51" i="4"/>
  <c r="S81" i="4"/>
  <c r="S171" i="4"/>
  <c r="S98" i="4"/>
  <c r="O164" i="4"/>
  <c r="P164" i="4" s="1"/>
  <c r="O172" i="4"/>
  <c r="P172" i="4" s="1"/>
  <c r="O123" i="4"/>
  <c r="P123" i="4" s="1"/>
  <c r="S108" i="4"/>
  <c r="S66" i="4"/>
  <c r="O129" i="4"/>
  <c r="P129" i="4" s="1"/>
  <c r="S61" i="4"/>
  <c r="O166" i="4"/>
  <c r="P166" i="4" s="1"/>
  <c r="S114" i="4"/>
  <c r="S48" i="4"/>
  <c r="O146" i="4"/>
  <c r="P146" i="4" s="1"/>
  <c r="S93" i="4"/>
  <c r="S77" i="4"/>
  <c r="S105" i="4"/>
  <c r="O29" i="4"/>
  <c r="P29" i="4" s="1"/>
  <c r="S152" i="4"/>
  <c r="S103" i="4"/>
  <c r="O58" i="4"/>
  <c r="P58" i="4" s="1"/>
  <c r="S119" i="4"/>
  <c r="S53" i="4"/>
  <c r="O174" i="4"/>
  <c r="P174" i="4" s="1"/>
  <c r="O106" i="4"/>
  <c r="P106" i="4" s="1"/>
  <c r="S43" i="4"/>
  <c r="S141" i="4"/>
  <c r="S79" i="4"/>
  <c r="O154" i="4"/>
  <c r="P154" i="4" s="1"/>
  <c r="S70" i="4"/>
  <c r="O163" i="4"/>
  <c r="P163" i="4" s="1"/>
  <c r="S151" i="4"/>
  <c r="O97" i="4"/>
  <c r="P97" i="4" s="1"/>
  <c r="S163" i="4"/>
  <c r="O100" i="4"/>
  <c r="P100" i="4" s="1"/>
  <c r="S24" i="4"/>
  <c r="O147" i="4"/>
  <c r="P147" i="4" s="1"/>
  <c r="O50" i="4"/>
  <c r="P50" i="4" s="1"/>
  <c r="S40" i="4"/>
  <c r="S158" i="4"/>
  <c r="S133" i="4"/>
  <c r="S149" i="4"/>
  <c r="O26" i="4"/>
  <c r="P26" i="4" s="1"/>
  <c r="O88" i="4"/>
  <c r="P88" i="4" s="1"/>
  <c r="S137" i="4"/>
  <c r="S127" i="4"/>
  <c r="S157" i="4"/>
  <c r="O124" i="4"/>
  <c r="P124" i="4" s="1"/>
  <c r="S71" i="4"/>
  <c r="O137" i="4"/>
  <c r="P137" i="4" s="1"/>
  <c r="O36" i="4"/>
  <c r="P36" i="4" s="1"/>
  <c r="S76" i="4"/>
  <c r="S56" i="4"/>
  <c r="O68" i="4"/>
  <c r="P68" i="4" s="1"/>
  <c r="S36" i="4"/>
  <c r="O95" i="4"/>
  <c r="P95" i="4" s="1"/>
  <c r="O144" i="4"/>
  <c r="P144" i="4" s="1"/>
  <c r="S116" i="4"/>
  <c r="S172" i="4"/>
  <c r="O91" i="4"/>
  <c r="P91" i="4" s="1"/>
  <c r="S68" i="4"/>
  <c r="O42" i="4"/>
  <c r="P42" i="4" s="1"/>
  <c r="O141" i="4"/>
  <c r="P141" i="4" s="1"/>
  <c r="S166" i="4"/>
  <c r="O114" i="4"/>
  <c r="P114" i="4" s="1"/>
  <c r="O93" i="4"/>
  <c r="P93" i="4" s="1"/>
  <c r="S129" i="4"/>
  <c r="S146" i="4"/>
  <c r="S154" i="4"/>
  <c r="S174" i="4"/>
  <c r="O170" i="4"/>
  <c r="P170" i="4" s="1"/>
  <c r="S169" i="4"/>
  <c r="O83" i="4"/>
  <c r="P83" i="4" s="1"/>
  <c r="O118" i="4"/>
  <c r="P118" i="4" s="1"/>
  <c r="O138" i="4"/>
  <c r="P138" i="4" s="1"/>
  <c r="O168" i="4"/>
  <c r="P168" i="4" s="1"/>
  <c r="S175" i="4"/>
  <c r="S90" i="4"/>
  <c r="S91" i="4"/>
  <c r="O113" i="4"/>
  <c r="P113" i="4" s="1"/>
  <c r="O34" i="4"/>
  <c r="P34" i="4" s="1"/>
  <c r="O53" i="4"/>
  <c r="P53" i="4" s="1"/>
  <c r="T87" i="5"/>
  <c r="T58" i="5"/>
  <c r="T113" i="5"/>
  <c r="P90" i="5"/>
  <c r="Q90" i="5" s="1"/>
  <c r="P99" i="5"/>
  <c r="Q99" i="5" s="1"/>
  <c r="P102" i="5"/>
  <c r="Q102" i="5" s="1"/>
  <c r="P70" i="5"/>
  <c r="Q70" i="5" s="1"/>
  <c r="P40" i="5"/>
  <c r="Q40" i="5" s="1"/>
  <c r="T62" i="5"/>
  <c r="T107" i="5"/>
  <c r="T45" i="5"/>
  <c r="P108" i="5"/>
  <c r="Q108" i="5" s="1"/>
  <c r="T61" i="5"/>
  <c r="P137" i="5"/>
  <c r="Q137" i="5" s="1"/>
  <c r="T126" i="5"/>
  <c r="T77" i="5"/>
  <c r="T121" i="5"/>
  <c r="P103" i="5"/>
  <c r="Q103" i="5" s="1"/>
  <c r="P125" i="5"/>
  <c r="Q125" i="5" s="1"/>
  <c r="P135" i="5"/>
  <c r="Q135" i="5" s="1"/>
  <c r="T30" i="5"/>
  <c r="T32" i="5"/>
  <c r="T145" i="5"/>
  <c r="P43" i="5"/>
  <c r="Q43" i="5" s="1"/>
  <c r="P27" i="5"/>
  <c r="Q27" i="5" s="1"/>
  <c r="P41" i="5"/>
  <c r="Q41" i="5" s="1"/>
  <c r="P81" i="5"/>
  <c r="Q81" i="5" s="1"/>
  <c r="P114" i="5"/>
  <c r="Q114" i="5" s="1"/>
  <c r="P100" i="5"/>
  <c r="Q100" i="5" s="1"/>
  <c r="T50" i="5"/>
  <c r="T66" i="5"/>
  <c r="T88" i="5"/>
  <c r="T83" i="5"/>
  <c r="P142" i="5"/>
  <c r="Q142" i="5" s="1"/>
  <c r="T97" i="5"/>
  <c r="T44" i="5"/>
  <c r="T129" i="5"/>
  <c r="T68" i="5"/>
  <c r="P134" i="5"/>
  <c r="Q134" i="5" s="1"/>
  <c r="P118" i="5"/>
  <c r="Q118" i="5" s="1"/>
  <c r="P138" i="5"/>
  <c r="Q138" i="5" s="1"/>
  <c r="P141" i="5"/>
  <c r="Q141" i="5" s="1"/>
  <c r="P95" i="5"/>
  <c r="Q95" i="5" s="1"/>
  <c r="P146" i="5"/>
  <c r="Q146" i="5" s="1"/>
  <c r="T78" i="5"/>
  <c r="P54" i="5"/>
  <c r="Q54" i="5" s="1"/>
  <c r="O101" i="4"/>
  <c r="P101" i="4" s="1"/>
  <c r="S130" i="4"/>
  <c r="O92" i="4"/>
  <c r="P92" i="4" s="1"/>
  <c r="S33" i="4"/>
  <c r="S100" i="4"/>
  <c r="S131" i="4"/>
  <c r="O84" i="4"/>
  <c r="P84" i="4" s="1"/>
  <c r="O52" i="4"/>
  <c r="P52" i="4" s="1"/>
  <c r="O111" i="4"/>
  <c r="P111" i="4" s="1"/>
  <c r="O139" i="4"/>
  <c r="P139" i="4" s="1"/>
  <c r="O85" i="4"/>
  <c r="P85" i="4" s="1"/>
  <c r="O89" i="4"/>
  <c r="P89" i="4" s="1"/>
  <c r="O108" i="4"/>
  <c r="P108" i="4" s="1"/>
  <c r="O127" i="4"/>
  <c r="P127" i="4" s="1"/>
  <c r="O122" i="4"/>
  <c r="P122" i="4" s="1"/>
  <c r="O103" i="4"/>
  <c r="P103" i="4" s="1"/>
  <c r="S95" i="4"/>
  <c r="S26" i="4"/>
  <c r="S72" i="4"/>
  <c r="S145" i="4"/>
  <c r="O96" i="4"/>
  <c r="P96" i="4" s="1"/>
  <c r="O157" i="4"/>
  <c r="P157" i="4" s="1"/>
  <c r="P119" i="5"/>
  <c r="Q119" i="5" s="1"/>
  <c r="P31" i="5"/>
  <c r="Q31" i="5" s="1"/>
  <c r="T39" i="5"/>
  <c r="P69" i="5"/>
  <c r="Q69" i="5" s="1"/>
  <c r="P75" i="5"/>
  <c r="Q75" i="5" s="1"/>
  <c r="T132" i="5"/>
  <c r="P132" i="5"/>
  <c r="Q132" i="5" s="1"/>
  <c r="T101" i="5"/>
  <c r="P101" i="5"/>
  <c r="Q101" i="5" s="1"/>
  <c r="T79" i="5"/>
  <c r="P79" i="5"/>
  <c r="Q79" i="5" s="1"/>
  <c r="T91" i="5"/>
  <c r="P91" i="5"/>
  <c r="Q91" i="5" s="1"/>
  <c r="T46" i="5"/>
  <c r="P46" i="5"/>
  <c r="Q46" i="5" s="1"/>
  <c r="T86" i="5"/>
  <c r="P86" i="5"/>
  <c r="Q86" i="5" s="1"/>
  <c r="P92" i="5"/>
  <c r="Q92" i="5" s="1"/>
  <c r="T92" i="5"/>
  <c r="T116" i="5"/>
  <c r="P116" i="5"/>
  <c r="Q116" i="5" s="1"/>
  <c r="T74" i="5"/>
  <c r="P74" i="5"/>
  <c r="Q74" i="5" s="1"/>
  <c r="T29" i="5"/>
  <c r="P29" i="5"/>
  <c r="Q29" i="5" s="1"/>
  <c r="P60" i="5"/>
  <c r="Q60" i="5" s="1"/>
  <c r="T60" i="5"/>
  <c r="T109" i="5"/>
  <c r="P109" i="5"/>
  <c r="Q109" i="5" s="1"/>
  <c r="S144" i="4"/>
  <c r="P37" i="5"/>
  <c r="Q37" i="5" s="1"/>
  <c r="T37" i="5"/>
  <c r="T57" i="5"/>
  <c r="P57" i="5"/>
  <c r="Q57" i="5" s="1"/>
  <c r="T131" i="5"/>
  <c r="P131" i="5"/>
  <c r="Q131" i="5" s="1"/>
  <c r="T139" i="5"/>
  <c r="P139" i="5"/>
  <c r="Q139" i="5" s="1"/>
  <c r="P24" i="5"/>
  <c r="Q24" i="5" s="1"/>
  <c r="T24" i="5"/>
  <c r="T110" i="5"/>
  <c r="P110" i="5"/>
  <c r="Q110" i="5" s="1"/>
  <c r="T67" i="5"/>
  <c r="P67" i="5"/>
  <c r="Q67" i="5" s="1"/>
  <c r="P52" i="5"/>
  <c r="Q52" i="5" s="1"/>
  <c r="T52" i="5"/>
  <c r="T123" i="5"/>
  <c r="P123" i="5"/>
  <c r="Q123" i="5" s="1"/>
  <c r="T140" i="5"/>
  <c r="P140" i="5"/>
  <c r="Q140" i="5" s="1"/>
  <c r="P23" i="5"/>
  <c r="Q23" i="5" s="1"/>
  <c r="T23" i="5"/>
  <c r="T36" i="5"/>
  <c r="P36" i="5"/>
  <c r="Q36" i="5" s="1"/>
  <c r="T49" i="5"/>
  <c r="P49" i="5"/>
  <c r="Q49" i="5" s="1"/>
  <c r="T72" i="5"/>
  <c r="P72" i="5"/>
  <c r="Q72" i="5" s="1"/>
  <c r="T64" i="5"/>
  <c r="P64" i="5"/>
  <c r="Q64" i="5" s="1"/>
  <c r="P65" i="5"/>
  <c r="Q65" i="5" s="1"/>
  <c r="T65" i="5"/>
  <c r="S84" i="3"/>
  <c r="O128" i="3"/>
  <c r="P128" i="3" s="1"/>
  <c r="O152" i="3"/>
  <c r="P152" i="3" s="1"/>
  <c r="S95" i="3"/>
  <c r="O32" i="3"/>
  <c r="P32" i="3" s="1"/>
  <c r="O101" i="3"/>
  <c r="P101" i="3" s="1"/>
  <c r="S96" i="3"/>
  <c r="O64" i="3"/>
  <c r="P64" i="3" s="1"/>
  <c r="O71" i="3"/>
  <c r="P71" i="3" s="1"/>
  <c r="O92" i="3"/>
  <c r="P92" i="3" s="1"/>
  <c r="S26" i="3"/>
  <c r="S97" i="4"/>
  <c r="S30" i="4"/>
  <c r="O40" i="3"/>
  <c r="P40" i="3" s="1"/>
  <c r="O120" i="3"/>
  <c r="P120" i="3" s="1"/>
  <c r="S115" i="3"/>
  <c r="S44" i="4"/>
  <c r="S124" i="4"/>
  <c r="S114" i="3"/>
  <c r="S41" i="3"/>
  <c r="O37" i="3"/>
  <c r="P37" i="3" s="1"/>
  <c r="O112" i="3"/>
  <c r="P112" i="3" s="1"/>
  <c r="O98" i="3"/>
  <c r="P98" i="3" s="1"/>
  <c r="S48" i="3"/>
  <c r="S88" i="4"/>
  <c r="S34" i="3"/>
  <c r="O108" i="3"/>
  <c r="P108" i="3" s="1"/>
  <c r="S30" i="3"/>
  <c r="O104" i="3"/>
  <c r="P104" i="3" s="1"/>
  <c r="S25" i="3"/>
  <c r="S120" i="4"/>
  <c r="S49" i="4"/>
  <c r="O29" i="3"/>
  <c r="P29" i="3" s="1"/>
  <c r="O155" i="4"/>
  <c r="P155" i="4" s="1"/>
  <c r="O117" i="3"/>
  <c r="P117" i="3" s="1"/>
  <c r="O88" i="3"/>
  <c r="P88" i="3" s="1"/>
  <c r="O36" i="3"/>
  <c r="P36" i="3" s="1"/>
  <c r="O132" i="4"/>
  <c r="P132" i="4" s="1"/>
  <c r="S75" i="3"/>
  <c r="O144" i="3"/>
  <c r="P144" i="3" s="1"/>
  <c r="O159" i="3"/>
  <c r="P159" i="3" s="1"/>
  <c r="O69" i="3"/>
  <c r="P69" i="3" s="1"/>
  <c r="S148" i="3"/>
  <c r="O131" i="3"/>
  <c r="P131" i="3" s="1"/>
  <c r="S131" i="3"/>
  <c r="O76" i="3"/>
  <c r="P76" i="3" s="1"/>
  <c r="S73" i="3"/>
  <c r="S57" i="3"/>
  <c r="S125" i="3"/>
  <c r="O125" i="3"/>
  <c r="P125" i="3" s="1"/>
  <c r="O140" i="3"/>
  <c r="P140" i="3" s="1"/>
  <c r="S106" i="3"/>
  <c r="S137" i="3"/>
  <c r="S99" i="3"/>
  <c r="O136" i="3"/>
  <c r="P136" i="3" s="1"/>
  <c r="S67" i="3"/>
  <c r="S44" i="3"/>
  <c r="S134" i="3"/>
  <c r="O85" i="3"/>
  <c r="P85" i="3" s="1"/>
  <c r="O61" i="3"/>
  <c r="P61" i="3" s="1"/>
  <c r="O74" i="4"/>
  <c r="P74" i="4" s="1"/>
  <c r="S25" i="4"/>
  <c r="O79" i="4"/>
  <c r="P79" i="4" s="1"/>
  <c r="O109" i="4"/>
  <c r="P109" i="4" s="1"/>
  <c r="S29" i="4"/>
  <c r="O160" i="4"/>
  <c r="P160" i="4" s="1"/>
  <c r="S58" i="4"/>
  <c r="S42" i="4"/>
  <c r="S136" i="4"/>
  <c r="O61" i="4"/>
  <c r="P61" i="4" s="1"/>
  <c r="O133" i="4"/>
  <c r="P133" i="4" s="1"/>
  <c r="O125" i="4"/>
  <c r="P125" i="4" s="1"/>
  <c r="O28" i="4"/>
  <c r="P28" i="4" s="1"/>
  <c r="O66" i="4"/>
  <c r="P66" i="4" s="1"/>
  <c r="O112" i="4"/>
  <c r="P112" i="4" s="1"/>
  <c r="O71" i="4"/>
  <c r="P71" i="4" s="1"/>
  <c r="S50" i="4"/>
  <c r="O27" i="4"/>
  <c r="P27" i="4" s="1"/>
  <c r="O158" i="4"/>
  <c r="P158" i="4" s="1"/>
  <c r="S65" i="4"/>
  <c r="O80" i="4"/>
  <c r="P80" i="4" s="1"/>
  <c r="S134" i="4"/>
  <c r="O107" i="4"/>
  <c r="P107" i="4" s="1"/>
  <c r="O73" i="4"/>
  <c r="P73" i="4" s="1"/>
  <c r="O140" i="4"/>
  <c r="P140" i="4" s="1"/>
  <c r="O128" i="4"/>
  <c r="P128" i="4" s="1"/>
  <c r="S115" i="4"/>
  <c r="S150" i="4"/>
  <c r="S110" i="4"/>
  <c r="O57" i="4"/>
  <c r="P57" i="4" s="1"/>
  <c r="O38" i="4"/>
  <c r="P38" i="4" s="1"/>
  <c r="O32" i="4"/>
  <c r="P32" i="4" s="1"/>
  <c r="O99" i="4"/>
  <c r="P99" i="4" s="1"/>
  <c r="O60" i="4"/>
  <c r="P60" i="4" s="1"/>
  <c r="O64" i="4"/>
  <c r="P64" i="4" s="1"/>
  <c r="O156" i="4"/>
  <c r="P156" i="4" s="1"/>
  <c r="O117" i="4"/>
  <c r="P117" i="4" s="1"/>
  <c r="O43" i="4"/>
  <c r="P43" i="4" s="1"/>
  <c r="O40" i="4"/>
  <c r="P40" i="4" s="1"/>
  <c r="O116" i="4"/>
  <c r="P116" i="4" s="1"/>
  <c r="O76" i="4"/>
  <c r="P76" i="4" s="1"/>
  <c r="O77" i="4"/>
  <c r="P77" i="4" s="1"/>
  <c r="S35" i="4"/>
  <c r="O35" i="4"/>
  <c r="P35" i="4" s="1"/>
  <c r="O24" i="4"/>
  <c r="P24" i="4" s="1"/>
  <c r="S46" i="4"/>
  <c r="S47" i="4"/>
  <c r="O152" i="4"/>
  <c r="P152" i="4" s="1"/>
  <c r="O63" i="4"/>
  <c r="P63" i="4" s="1"/>
  <c r="O70" i="4"/>
  <c r="P70" i="4" s="1"/>
  <c r="O104" i="4"/>
  <c r="P104" i="4" s="1"/>
  <c r="O48" i="4"/>
  <c r="P48" i="4" s="1"/>
  <c r="O102" i="4"/>
  <c r="P102" i="4" s="1"/>
  <c r="S23" i="4"/>
  <c r="O23" i="4"/>
  <c r="P23" i="4" s="1"/>
  <c r="S39" i="4"/>
  <c r="O39" i="4"/>
  <c r="P39" i="4" s="1"/>
  <c r="O129" i="3"/>
  <c r="P129" i="3" s="1"/>
  <c r="S129" i="3"/>
  <c r="O33" i="3"/>
  <c r="P33" i="3" s="1"/>
  <c r="S33" i="3"/>
  <c r="O49" i="3"/>
  <c r="P49" i="3" s="1"/>
  <c r="S49" i="3"/>
  <c r="O65" i="3"/>
  <c r="P65" i="3" s="1"/>
  <c r="S65" i="3"/>
  <c r="O81" i="3"/>
  <c r="P81" i="3" s="1"/>
  <c r="S81" i="3"/>
  <c r="O145" i="3"/>
  <c r="P145" i="3" s="1"/>
  <c r="S145" i="3"/>
  <c r="O97" i="3"/>
  <c r="P97" i="3" s="1"/>
  <c r="S97" i="3"/>
  <c r="O27" i="3"/>
  <c r="P27" i="3" s="1"/>
  <c r="S27" i="3"/>
  <c r="O113" i="3"/>
  <c r="P113" i="3" s="1"/>
  <c r="S113" i="3"/>
  <c r="Q22" i="3" l="1"/>
  <c r="R22" i="5"/>
  <c r="U22" i="5"/>
  <c r="T22" i="3"/>
  <c r="Q22" i="4"/>
  <c r="T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K59" authorId="0" shapeId="0" xr:uid="{1FCEBDC5-C7B1-4DA5-BCBB-F1DF9E2CCE89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</commentList>
</comments>
</file>

<file path=xl/sharedStrings.xml><?xml version="1.0" encoding="utf-8"?>
<sst xmlns="http://schemas.openxmlformats.org/spreadsheetml/2006/main" count="168" uniqueCount="75">
  <si>
    <t>Rs</t>
  </si>
  <si>
    <t>API</t>
  </si>
  <si>
    <t>p_sat</t>
  </si>
  <si>
    <t>temperature</t>
  </si>
  <si>
    <t>gamma_s</t>
  </si>
  <si>
    <t>Exponential-Rational
 Polynomial (8-coefficient)</t>
  </si>
  <si>
    <t>45 degree line</t>
  </si>
  <si>
    <t>C1_exp8</t>
  </si>
  <si>
    <t>C2_exp8</t>
  </si>
  <si>
    <t>C3_exp8</t>
  </si>
  <si>
    <t>C4_exp8</t>
  </si>
  <si>
    <t>C5_exp8</t>
  </si>
  <si>
    <t>C6_exp8</t>
  </si>
  <si>
    <t>C7_exp8</t>
  </si>
  <si>
    <t>C8_exp8</t>
  </si>
  <si>
    <t>Reservoir Temperature (Deg F)</t>
  </si>
  <si>
    <t>Stock-Tank Oil Gravity(oAPI)</t>
  </si>
  <si>
    <t>Separator Gas Gravity
(air = 1)</t>
  </si>
  <si>
    <t>Solution-Gas-Oil Ratio
(scf/STB)</t>
  </si>
  <si>
    <t>Saturation Pressure (psia)</t>
  </si>
  <si>
    <t>eq.24</t>
  </si>
  <si>
    <t>LSE 
EQ25</t>
  </si>
  <si>
    <t>AARE
EQ25</t>
  </si>
  <si>
    <t>Point</t>
  </si>
  <si>
    <t>ln_t</t>
  </si>
  <si>
    <t>ln_api</t>
  </si>
  <si>
    <t>ln_gamma</t>
  </si>
  <si>
    <t>ln_Rs</t>
  </si>
  <si>
    <t>Exponential-Rational Polynomial (8- coefficient)</t>
  </si>
  <si>
    <t xml:space="preserve">ln_pb_measured
</t>
  </si>
  <si>
    <t xml:space="preserve">ln_pb_ Cal
</t>
  </si>
  <si>
    <t>Squared _diff</t>
  </si>
  <si>
    <t>abs(diff/pbCal)</t>
  </si>
  <si>
    <t>Exponential-Rational 
Polynomial (16-coefficient)</t>
  </si>
  <si>
    <t>Paper</t>
  </si>
  <si>
    <t>Blasingame_email</t>
  </si>
  <si>
    <t>Mine
minimizing AARE</t>
  </si>
  <si>
    <t>Mine
minimizing LSE</t>
  </si>
  <si>
    <t>C1_exp16</t>
  </si>
  <si>
    <t>C2_exp16</t>
  </si>
  <si>
    <t>C3_exp16</t>
  </si>
  <si>
    <t>C4_exp16</t>
  </si>
  <si>
    <t>C5_exp16</t>
  </si>
  <si>
    <t>C6_exp16</t>
  </si>
  <si>
    <t>C7_exp16</t>
  </si>
  <si>
    <t>C8_exp16</t>
  </si>
  <si>
    <t>d1_exp16</t>
  </si>
  <si>
    <t>d2_exp16</t>
  </si>
  <si>
    <t>d3_exp16</t>
  </si>
  <si>
    <t>d4_exp16</t>
  </si>
  <si>
    <t>d5_exp16</t>
  </si>
  <si>
    <t>d6_exp16</t>
  </si>
  <si>
    <t>d7_exp16</t>
  </si>
  <si>
    <t>d8_exp16</t>
  </si>
  <si>
    <t>eq.25</t>
  </si>
  <si>
    <t>Exponential-Rational Polynomial (16- coefficient)</t>
  </si>
  <si>
    <t>new_paper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</si>
  <si>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</si>
  <si>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</si>
  <si>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</si>
  <si>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</si>
  <si>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</si>
  <si>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</si>
  <si>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</si>
  <si>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</si>
  <si>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</si>
  <si>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</si>
  <si>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</si>
  <si>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</si>
  <si>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</si>
  <si>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</si>
  <si>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</si>
  <si>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BO</t>
  </si>
  <si>
    <t>Numerator</t>
  </si>
  <si>
    <t>pb_sat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</si>
</sst>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ourier New"/>
      <family val="3"/>
    </font>
    <font>
      <b/>
      <sz val="11"/>
      <color theme="0"/>
      <name val="EMprint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8" fillId="0" borderId="0" xfId="0" applyNumberFormat="1" applyFont="1"/>
    <xf numFmtId="11" fontId="0" fillId="0" borderId="0" xfId="0" applyNumberFormat="1" applyAlignment="1">
      <alignment horizontal="center"/>
    </xf>
    <xf numFmtId="0" fontId="9" fillId="5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5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wrapText="1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3307778328"/>
          <c:y val="0.15510709588689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'eq24'!$L$1</c:f>
              <c:strCache>
                <c:ptCount val="1"/>
                <c:pt idx="0">
                  <c:v>45 degree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C-4282-8D94-02FB34EF17A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C-4282-8D94-02FB34EF17AF}"/>
              </c:ext>
            </c:extLst>
          </c:dPt>
          <c:xVal>
            <c:numRef>
              <c:f>'eq24'!$L$2:$L$3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xVal>
          <c:yVal>
            <c:numRef>
              <c:f>'eq24'!$M$2:$M$3</c:f>
              <c:numCache>
                <c:formatCode>0.00E+00</c:formatCode>
                <c:ptCount val="2"/>
                <c:pt idx="0">
                  <c:v>100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C-4282-8D94-02FB34EF17AF}"/>
            </c:ext>
          </c:extLst>
        </c:ser>
        <c:ser>
          <c:idx val="0"/>
          <c:order val="1"/>
          <c:tx>
            <c:strRef>
              <c:f>'eq24'!$L$22</c:f>
              <c:strCache>
                <c:ptCount val="1"/>
                <c:pt idx="0">
                  <c:v>Exponential-Rational Polynomial (8- coefficient)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'eq24'!$F$23:$F$176</c:f>
              <c:numCache>
                <c:formatCode>0</c:formatCode>
                <c:ptCount val="154"/>
                <c:pt idx="0">
                  <c:v>3501</c:v>
                </c:pt>
                <c:pt idx="1">
                  <c:v>6415</c:v>
                </c:pt>
                <c:pt idx="2">
                  <c:v>3265</c:v>
                </c:pt>
                <c:pt idx="3">
                  <c:v>5575</c:v>
                </c:pt>
                <c:pt idx="4">
                  <c:v>3415</c:v>
                </c:pt>
                <c:pt idx="5">
                  <c:v>2965</c:v>
                </c:pt>
                <c:pt idx="6">
                  <c:v>4215</c:v>
                </c:pt>
                <c:pt idx="7">
                  <c:v>2915.0250000000001</c:v>
                </c:pt>
                <c:pt idx="8">
                  <c:v>325.02499999999998</c:v>
                </c:pt>
                <c:pt idx="9">
                  <c:v>2515</c:v>
                </c:pt>
                <c:pt idx="10">
                  <c:v>3162</c:v>
                </c:pt>
                <c:pt idx="11">
                  <c:v>2915</c:v>
                </c:pt>
                <c:pt idx="12">
                  <c:v>3981</c:v>
                </c:pt>
                <c:pt idx="13">
                  <c:v>3765.0250000000001</c:v>
                </c:pt>
                <c:pt idx="14">
                  <c:v>4115</c:v>
                </c:pt>
                <c:pt idx="15">
                  <c:v>2115</c:v>
                </c:pt>
                <c:pt idx="16">
                  <c:v>3365</c:v>
                </c:pt>
                <c:pt idx="17">
                  <c:v>2865</c:v>
                </c:pt>
                <c:pt idx="18">
                  <c:v>2835</c:v>
                </c:pt>
                <c:pt idx="19">
                  <c:v>2615</c:v>
                </c:pt>
                <c:pt idx="20">
                  <c:v>2965</c:v>
                </c:pt>
                <c:pt idx="21">
                  <c:v>4280</c:v>
                </c:pt>
                <c:pt idx="22">
                  <c:v>5187</c:v>
                </c:pt>
                <c:pt idx="23">
                  <c:v>4375</c:v>
                </c:pt>
                <c:pt idx="24">
                  <c:v>5183</c:v>
                </c:pt>
                <c:pt idx="25">
                  <c:v>4088</c:v>
                </c:pt>
                <c:pt idx="26">
                  <c:v>4328.6499999999996</c:v>
                </c:pt>
                <c:pt idx="27">
                  <c:v>3565</c:v>
                </c:pt>
                <c:pt idx="28">
                  <c:v>4451</c:v>
                </c:pt>
                <c:pt idx="29">
                  <c:v>3995</c:v>
                </c:pt>
                <c:pt idx="30">
                  <c:v>3955</c:v>
                </c:pt>
                <c:pt idx="31">
                  <c:v>3865</c:v>
                </c:pt>
                <c:pt idx="32">
                  <c:v>4217</c:v>
                </c:pt>
                <c:pt idx="33">
                  <c:v>4145</c:v>
                </c:pt>
                <c:pt idx="34">
                  <c:v>3465</c:v>
                </c:pt>
                <c:pt idx="35">
                  <c:v>2515</c:v>
                </c:pt>
                <c:pt idx="36">
                  <c:v>2215</c:v>
                </c:pt>
                <c:pt idx="37">
                  <c:v>3165</c:v>
                </c:pt>
                <c:pt idx="38">
                  <c:v>5655</c:v>
                </c:pt>
                <c:pt idx="39">
                  <c:v>3865</c:v>
                </c:pt>
                <c:pt idx="40">
                  <c:v>4820</c:v>
                </c:pt>
                <c:pt idx="41">
                  <c:v>3815</c:v>
                </c:pt>
                <c:pt idx="42">
                  <c:v>3565</c:v>
                </c:pt>
                <c:pt idx="43">
                  <c:v>4271</c:v>
                </c:pt>
                <c:pt idx="44">
                  <c:v>5335</c:v>
                </c:pt>
                <c:pt idx="45">
                  <c:v>3615</c:v>
                </c:pt>
                <c:pt idx="46">
                  <c:v>3992</c:v>
                </c:pt>
                <c:pt idx="47">
                  <c:v>3865</c:v>
                </c:pt>
                <c:pt idx="48">
                  <c:v>6058</c:v>
                </c:pt>
                <c:pt idx="49">
                  <c:v>3365</c:v>
                </c:pt>
                <c:pt idx="50">
                  <c:v>2415</c:v>
                </c:pt>
                <c:pt idx="51">
                  <c:v>5435</c:v>
                </c:pt>
                <c:pt idx="52">
                  <c:v>4535</c:v>
                </c:pt>
                <c:pt idx="53">
                  <c:v>4575</c:v>
                </c:pt>
                <c:pt idx="54">
                  <c:v>5238</c:v>
                </c:pt>
                <c:pt idx="55">
                  <c:v>5055</c:v>
                </c:pt>
                <c:pt idx="56">
                  <c:v>5210</c:v>
                </c:pt>
                <c:pt idx="57">
                  <c:v>5019</c:v>
                </c:pt>
                <c:pt idx="58">
                  <c:v>4786</c:v>
                </c:pt>
                <c:pt idx="59">
                  <c:v>5326</c:v>
                </c:pt>
                <c:pt idx="60">
                  <c:v>5217</c:v>
                </c:pt>
                <c:pt idx="61">
                  <c:v>5179</c:v>
                </c:pt>
                <c:pt idx="62">
                  <c:v>4756.0249999999996</c:v>
                </c:pt>
                <c:pt idx="63">
                  <c:v>5249.65</c:v>
                </c:pt>
                <c:pt idx="64">
                  <c:v>4315.0249999999996</c:v>
                </c:pt>
                <c:pt idx="65">
                  <c:v>2965</c:v>
                </c:pt>
                <c:pt idx="66">
                  <c:v>3169.6959999999999</c:v>
                </c:pt>
                <c:pt idx="67">
                  <c:v>4115.0249999999996</c:v>
                </c:pt>
                <c:pt idx="68">
                  <c:v>3005.6959999999999</c:v>
                </c:pt>
                <c:pt idx="69">
                  <c:v>1265.0250000000001</c:v>
                </c:pt>
                <c:pt idx="70">
                  <c:v>5276</c:v>
                </c:pt>
                <c:pt idx="71">
                  <c:v>4925</c:v>
                </c:pt>
                <c:pt idx="72">
                  <c:v>4884</c:v>
                </c:pt>
                <c:pt idx="73">
                  <c:v>3815</c:v>
                </c:pt>
                <c:pt idx="74">
                  <c:v>4374</c:v>
                </c:pt>
                <c:pt idx="75">
                  <c:v>4161</c:v>
                </c:pt>
                <c:pt idx="76">
                  <c:v>5490</c:v>
                </c:pt>
                <c:pt idx="77">
                  <c:v>4633</c:v>
                </c:pt>
                <c:pt idx="78">
                  <c:v>4618</c:v>
                </c:pt>
                <c:pt idx="79">
                  <c:v>4856</c:v>
                </c:pt>
                <c:pt idx="80">
                  <c:v>5098</c:v>
                </c:pt>
                <c:pt idx="81">
                  <c:v>4695</c:v>
                </c:pt>
                <c:pt idx="82">
                  <c:v>3658</c:v>
                </c:pt>
                <c:pt idx="83">
                  <c:v>3515</c:v>
                </c:pt>
                <c:pt idx="84">
                  <c:v>3515</c:v>
                </c:pt>
                <c:pt idx="85">
                  <c:v>4815</c:v>
                </c:pt>
                <c:pt idx="86">
                  <c:v>7295</c:v>
                </c:pt>
                <c:pt idx="87">
                  <c:v>4735</c:v>
                </c:pt>
                <c:pt idx="88">
                  <c:v>2236.6959999999999</c:v>
                </c:pt>
                <c:pt idx="89">
                  <c:v>3314.6959999999999</c:v>
                </c:pt>
                <c:pt idx="90">
                  <c:v>4498</c:v>
                </c:pt>
                <c:pt idx="91">
                  <c:v>3365</c:v>
                </c:pt>
                <c:pt idx="92">
                  <c:v>3955</c:v>
                </c:pt>
                <c:pt idx="93">
                  <c:v>4349</c:v>
                </c:pt>
                <c:pt idx="94">
                  <c:v>3915</c:v>
                </c:pt>
                <c:pt idx="95">
                  <c:v>4133</c:v>
                </c:pt>
                <c:pt idx="96">
                  <c:v>4397</c:v>
                </c:pt>
                <c:pt idx="97" formatCode="General">
                  <c:v>5706</c:v>
                </c:pt>
                <c:pt idx="98" formatCode="General">
                  <c:v>4809</c:v>
                </c:pt>
                <c:pt idx="99" formatCode="General">
                  <c:v>4257</c:v>
                </c:pt>
                <c:pt idx="100" formatCode="General">
                  <c:v>4127</c:v>
                </c:pt>
                <c:pt idx="101" formatCode="General">
                  <c:v>4503</c:v>
                </c:pt>
                <c:pt idx="102" formatCode="General">
                  <c:v>4335</c:v>
                </c:pt>
                <c:pt idx="103">
                  <c:v>2900</c:v>
                </c:pt>
                <c:pt idx="104">
                  <c:v>3584.9960000000001</c:v>
                </c:pt>
                <c:pt idx="105">
                  <c:v>3313</c:v>
                </c:pt>
                <c:pt idx="106">
                  <c:v>2551</c:v>
                </c:pt>
                <c:pt idx="107">
                  <c:v>2528</c:v>
                </c:pt>
                <c:pt idx="108">
                  <c:v>2562</c:v>
                </c:pt>
                <c:pt idx="109">
                  <c:v>1714.9959999999999</c:v>
                </c:pt>
                <c:pt idx="110">
                  <c:v>1614.9959999999999</c:v>
                </c:pt>
                <c:pt idx="111">
                  <c:v>3575</c:v>
                </c:pt>
                <c:pt idx="112">
                  <c:v>3131</c:v>
                </c:pt>
                <c:pt idx="113">
                  <c:v>2992</c:v>
                </c:pt>
                <c:pt idx="114">
                  <c:v>1614.9959999999999</c:v>
                </c:pt>
                <c:pt idx="115" formatCode="General">
                  <c:v>3629</c:v>
                </c:pt>
                <c:pt idx="116">
                  <c:v>2788</c:v>
                </c:pt>
                <c:pt idx="117">
                  <c:v>3482</c:v>
                </c:pt>
                <c:pt idx="118">
                  <c:v>2976</c:v>
                </c:pt>
                <c:pt idx="119">
                  <c:v>2814.6959999999999</c:v>
                </c:pt>
                <c:pt idx="120">
                  <c:v>2364.6959999999999</c:v>
                </c:pt>
                <c:pt idx="121">
                  <c:v>2988</c:v>
                </c:pt>
                <c:pt idx="122">
                  <c:v>2327</c:v>
                </c:pt>
                <c:pt idx="123">
                  <c:v>3841.6959999999999</c:v>
                </c:pt>
                <c:pt idx="124">
                  <c:v>3452</c:v>
                </c:pt>
                <c:pt idx="125">
                  <c:v>2774.6959999999999</c:v>
                </c:pt>
                <c:pt idx="126">
                  <c:v>2737</c:v>
                </c:pt>
                <c:pt idx="127">
                  <c:v>2665</c:v>
                </c:pt>
                <c:pt idx="128">
                  <c:v>2665</c:v>
                </c:pt>
                <c:pt idx="129">
                  <c:v>2765</c:v>
                </c:pt>
                <c:pt idx="130">
                  <c:v>2665</c:v>
                </c:pt>
                <c:pt idx="131">
                  <c:v>2865</c:v>
                </c:pt>
                <c:pt idx="132">
                  <c:v>3265</c:v>
                </c:pt>
                <c:pt idx="133">
                  <c:v>3165</c:v>
                </c:pt>
                <c:pt idx="134">
                  <c:v>3215</c:v>
                </c:pt>
                <c:pt idx="135">
                  <c:v>3259</c:v>
                </c:pt>
                <c:pt idx="136">
                  <c:v>2290</c:v>
                </c:pt>
                <c:pt idx="137">
                  <c:v>3478</c:v>
                </c:pt>
                <c:pt idx="138">
                  <c:v>2656.22</c:v>
                </c:pt>
                <c:pt idx="139">
                  <c:v>2265</c:v>
                </c:pt>
                <c:pt idx="140" formatCode="General">
                  <c:v>3280</c:v>
                </c:pt>
                <c:pt idx="141" formatCode="General">
                  <c:v>3722</c:v>
                </c:pt>
                <c:pt idx="142" formatCode="General">
                  <c:v>3697</c:v>
                </c:pt>
                <c:pt idx="143" formatCode="General">
                  <c:v>3066</c:v>
                </c:pt>
                <c:pt idx="144" formatCode="General">
                  <c:v>2944</c:v>
                </c:pt>
                <c:pt idx="145" formatCode="General">
                  <c:v>2923</c:v>
                </c:pt>
                <c:pt idx="146" formatCode="General">
                  <c:v>3789</c:v>
                </c:pt>
                <c:pt idx="147" formatCode="General">
                  <c:v>2356</c:v>
                </c:pt>
                <c:pt idx="148" formatCode="General">
                  <c:v>2212</c:v>
                </c:pt>
                <c:pt idx="149" formatCode="General">
                  <c:v>3310</c:v>
                </c:pt>
                <c:pt idx="150" formatCode="General">
                  <c:v>3067</c:v>
                </c:pt>
                <c:pt idx="151" formatCode="General">
                  <c:v>3149</c:v>
                </c:pt>
                <c:pt idx="152" formatCode="General">
                  <c:v>3005</c:v>
                </c:pt>
                <c:pt idx="153" formatCode="General">
                  <c:v>3609</c:v>
                </c:pt>
              </c:numCache>
            </c:numRef>
          </c:xVal>
          <c:yVal>
            <c:numRef>
              <c:f>'eq24'!$L$23:$L$176</c:f>
              <c:numCache>
                <c:formatCode>General</c:formatCode>
                <c:ptCount val="154"/>
                <c:pt idx="0">
                  <c:v>3956.1555698248208</c:v>
                </c:pt>
                <c:pt idx="1">
                  <c:v>4976.2061271332041</c:v>
                </c:pt>
                <c:pt idx="2">
                  <c:v>3422.2463736965233</c:v>
                </c:pt>
                <c:pt idx="3">
                  <c:v>5738.2396047891307</c:v>
                </c:pt>
                <c:pt idx="4">
                  <c:v>3705.6630758025162</c:v>
                </c:pt>
                <c:pt idx="5">
                  <c:v>3100.9039423268359</c:v>
                </c:pt>
                <c:pt idx="6">
                  <c:v>4054.8549254217883</c:v>
                </c:pt>
                <c:pt idx="7">
                  <c:v>3042.2500270125597</c:v>
                </c:pt>
                <c:pt idx="8">
                  <c:v>1544.0016593020646</c:v>
                </c:pt>
                <c:pt idx="9">
                  <c:v>3042.304123636532</c:v>
                </c:pt>
                <c:pt idx="10">
                  <c:v>3352.3609795789193</c:v>
                </c:pt>
                <c:pt idx="11">
                  <c:v>3249.3904879068405</c:v>
                </c:pt>
                <c:pt idx="12">
                  <c:v>4158.2545759353443</c:v>
                </c:pt>
                <c:pt idx="13">
                  <c:v>4008.7059674338939</c:v>
                </c:pt>
                <c:pt idx="14">
                  <c:v>4122.9205796754613</c:v>
                </c:pt>
                <c:pt idx="15">
                  <c:v>2251.8067002388248</c:v>
                </c:pt>
                <c:pt idx="16">
                  <c:v>3337.8170740406504</c:v>
                </c:pt>
                <c:pt idx="17">
                  <c:v>2799.7595773412245</c:v>
                </c:pt>
                <c:pt idx="18">
                  <c:v>2735.3083059251203</c:v>
                </c:pt>
                <c:pt idx="19">
                  <c:v>2673.2017045723037</c:v>
                </c:pt>
                <c:pt idx="20">
                  <c:v>2996.7092480046767</c:v>
                </c:pt>
                <c:pt idx="21">
                  <c:v>4282.5794270732586</c:v>
                </c:pt>
                <c:pt idx="22">
                  <c:v>5555.3786367176908</c:v>
                </c:pt>
                <c:pt idx="23">
                  <c:v>4583.7411071496163</c:v>
                </c:pt>
                <c:pt idx="24">
                  <c:v>5314.8276226722764</c:v>
                </c:pt>
                <c:pt idx="25">
                  <c:v>4516.8411624114233</c:v>
                </c:pt>
                <c:pt idx="26">
                  <c:v>4443.1542767744986</c:v>
                </c:pt>
                <c:pt idx="27">
                  <c:v>3918.5643848820655</c:v>
                </c:pt>
                <c:pt idx="28">
                  <c:v>4678.3247181445868</c:v>
                </c:pt>
                <c:pt idx="29">
                  <c:v>4236.957628760545</c:v>
                </c:pt>
                <c:pt idx="30">
                  <c:v>4068.5236515368642</c:v>
                </c:pt>
                <c:pt idx="31">
                  <c:v>4041.274859851831</c:v>
                </c:pt>
                <c:pt idx="32">
                  <c:v>4431.8770692556718</c:v>
                </c:pt>
                <c:pt idx="33">
                  <c:v>4365.9895751006979</c:v>
                </c:pt>
                <c:pt idx="34">
                  <c:v>3796.7205315321439</c:v>
                </c:pt>
                <c:pt idx="35">
                  <c:v>2723.9851403755629</c:v>
                </c:pt>
                <c:pt idx="36">
                  <c:v>2574.3771821791383</c:v>
                </c:pt>
                <c:pt idx="37">
                  <c:v>3387.1673637399185</c:v>
                </c:pt>
                <c:pt idx="38">
                  <c:v>4546.6416443490443</c:v>
                </c:pt>
                <c:pt idx="39">
                  <c:v>3477.0977079503195</c:v>
                </c:pt>
                <c:pt idx="40">
                  <c:v>5516.9599868412351</c:v>
                </c:pt>
                <c:pt idx="41">
                  <c:v>3894.648440295688</c:v>
                </c:pt>
                <c:pt idx="42">
                  <c:v>3946.3060381570967</c:v>
                </c:pt>
                <c:pt idx="43">
                  <c:v>4330.8007719982979</c:v>
                </c:pt>
                <c:pt idx="44">
                  <c:v>6219.3837466565401</c:v>
                </c:pt>
                <c:pt idx="45">
                  <c:v>3879.9492041005419</c:v>
                </c:pt>
                <c:pt idx="46">
                  <c:v>4140.8514063563925</c:v>
                </c:pt>
                <c:pt idx="47">
                  <c:v>3901.7989163438178</c:v>
                </c:pt>
                <c:pt idx="48">
                  <c:v>6007.1819141424021</c:v>
                </c:pt>
                <c:pt idx="49">
                  <c:v>3182.1959069115728</c:v>
                </c:pt>
                <c:pt idx="50">
                  <c:v>2542.1476801647759</c:v>
                </c:pt>
                <c:pt idx="51">
                  <c:v>5710.3781325849768</c:v>
                </c:pt>
                <c:pt idx="52">
                  <c:v>4519.1967231551007</c:v>
                </c:pt>
                <c:pt idx="53">
                  <c:v>4525.9120784124325</c:v>
                </c:pt>
                <c:pt idx="54">
                  <c:v>5127.9591959440577</c:v>
                </c:pt>
                <c:pt idx="55">
                  <c:v>5038.9461260595699</c:v>
                </c:pt>
                <c:pt idx="56">
                  <c:v>6007.6732565800794</c:v>
                </c:pt>
                <c:pt idx="57">
                  <c:v>5032.9784971967292</c:v>
                </c:pt>
                <c:pt idx="58">
                  <c:v>4950.4337174016719</c:v>
                </c:pt>
                <c:pt idx="59">
                  <c:v>5539.7780870947399</c:v>
                </c:pt>
                <c:pt idx="60">
                  <c:v>5210.4339737688051</c:v>
                </c:pt>
                <c:pt idx="61">
                  <c:v>5534.7131446532148</c:v>
                </c:pt>
                <c:pt idx="62">
                  <c:v>4622.0398435765228</c:v>
                </c:pt>
                <c:pt idx="63">
                  <c:v>4258.6896945205835</c:v>
                </c:pt>
                <c:pt idx="64">
                  <c:v>4168.5020303114788</c:v>
                </c:pt>
                <c:pt idx="65">
                  <c:v>3146.2627658990382</c:v>
                </c:pt>
                <c:pt idx="66">
                  <c:v>3381.0345814880079</c:v>
                </c:pt>
                <c:pt idx="67">
                  <c:v>4148.0032678719335</c:v>
                </c:pt>
                <c:pt idx="68">
                  <c:v>3419.8291777373129</c:v>
                </c:pt>
                <c:pt idx="69">
                  <c:v>2281.4449827217522</c:v>
                </c:pt>
                <c:pt idx="70">
                  <c:v>5917.7887667745836</c:v>
                </c:pt>
                <c:pt idx="71">
                  <c:v>5163.5182364649672</c:v>
                </c:pt>
                <c:pt idx="72">
                  <c:v>5361.4803245629055</c:v>
                </c:pt>
                <c:pt idx="73">
                  <c:v>4082.6818194057578</c:v>
                </c:pt>
                <c:pt idx="74">
                  <c:v>4545.7320226713136</c:v>
                </c:pt>
                <c:pt idx="75">
                  <c:v>4327.598946518885</c:v>
                </c:pt>
                <c:pt idx="76">
                  <c:v>5278.0906168527126</c:v>
                </c:pt>
                <c:pt idx="77">
                  <c:v>4630.6922737553723</c:v>
                </c:pt>
                <c:pt idx="78">
                  <c:v>4954.2673963275811</c:v>
                </c:pt>
                <c:pt idx="79">
                  <c:v>5064.5604626346794</c:v>
                </c:pt>
                <c:pt idx="80">
                  <c:v>6216.1324929963694</c:v>
                </c:pt>
                <c:pt idx="81">
                  <c:v>5914.4188166219001</c:v>
                </c:pt>
                <c:pt idx="82">
                  <c:v>4170.9710921001524</c:v>
                </c:pt>
                <c:pt idx="83">
                  <c:v>3824.5736064795797</c:v>
                </c:pt>
                <c:pt idx="84">
                  <c:v>3569.4547041762289</c:v>
                </c:pt>
                <c:pt idx="85">
                  <c:v>4834.1828211077554</c:v>
                </c:pt>
                <c:pt idx="86">
                  <c:v>6459.0005410519552</c:v>
                </c:pt>
                <c:pt idx="87">
                  <c:v>4753.7404134687831</c:v>
                </c:pt>
                <c:pt idx="88">
                  <c:v>2903.8750925796417</c:v>
                </c:pt>
                <c:pt idx="89">
                  <c:v>3475.0795074093198</c:v>
                </c:pt>
                <c:pt idx="90">
                  <c:v>4324.4824312222781</c:v>
                </c:pt>
                <c:pt idx="91">
                  <c:v>3673.879359911125</c:v>
                </c:pt>
                <c:pt idx="92">
                  <c:v>4147.3172006932882</c:v>
                </c:pt>
                <c:pt idx="93">
                  <c:v>4241.3052567560972</c:v>
                </c:pt>
                <c:pt idx="94">
                  <c:v>4034.3271612705598</c:v>
                </c:pt>
                <c:pt idx="95">
                  <c:v>4329.6942517896914</c:v>
                </c:pt>
                <c:pt idx="96">
                  <c:v>4456.4088626844687</c:v>
                </c:pt>
                <c:pt idx="97">
                  <c:v>5580.4647260823695</c:v>
                </c:pt>
                <c:pt idx="98">
                  <c:v>5270.6985192065085</c:v>
                </c:pt>
                <c:pt idx="99">
                  <c:v>4489.8768499669468</c:v>
                </c:pt>
                <c:pt idx="100">
                  <c:v>4362.1113675195384</c:v>
                </c:pt>
                <c:pt idx="101">
                  <c:v>4444.0457704847549</c:v>
                </c:pt>
                <c:pt idx="102">
                  <c:v>4245.6773646423953</c:v>
                </c:pt>
                <c:pt idx="103">
                  <c:v>3541.8993292913892</c:v>
                </c:pt>
                <c:pt idx="104">
                  <c:v>4179.0471280975089</c:v>
                </c:pt>
                <c:pt idx="105">
                  <c:v>3128.5858892147508</c:v>
                </c:pt>
                <c:pt idx="106">
                  <c:v>2806.5818147642899</c:v>
                </c:pt>
                <c:pt idx="107">
                  <c:v>2724.9018463506591</c:v>
                </c:pt>
                <c:pt idx="108">
                  <c:v>3023.1089928915062</c:v>
                </c:pt>
                <c:pt idx="109">
                  <c:v>1923.1689945696123</c:v>
                </c:pt>
                <c:pt idx="110">
                  <c:v>1887.8518062225371</c:v>
                </c:pt>
                <c:pt idx="111">
                  <c:v>3757.0147972769382</c:v>
                </c:pt>
                <c:pt idx="112">
                  <c:v>3364.2213345357782</c:v>
                </c:pt>
                <c:pt idx="113">
                  <c:v>3452.944811084275</c:v>
                </c:pt>
                <c:pt idx="114">
                  <c:v>1851.3469931940108</c:v>
                </c:pt>
                <c:pt idx="115">
                  <c:v>3765.2214563422081</c:v>
                </c:pt>
                <c:pt idx="116">
                  <c:v>3013.2046545015637</c:v>
                </c:pt>
                <c:pt idx="117">
                  <c:v>3743.8847929522144</c:v>
                </c:pt>
                <c:pt idx="118">
                  <c:v>3170.589670422974</c:v>
                </c:pt>
                <c:pt idx="119">
                  <c:v>3023.6780006245685</c:v>
                </c:pt>
                <c:pt idx="120">
                  <c:v>2842.4471240909716</c:v>
                </c:pt>
                <c:pt idx="121">
                  <c:v>3385.0242725565518</c:v>
                </c:pt>
                <c:pt idx="122">
                  <c:v>2729.9237295972075</c:v>
                </c:pt>
                <c:pt idx="123">
                  <c:v>4130.5207471021686</c:v>
                </c:pt>
                <c:pt idx="124">
                  <c:v>3727.7655816213137</c:v>
                </c:pt>
                <c:pt idx="125">
                  <c:v>3220.0434227784745</c:v>
                </c:pt>
                <c:pt idx="126">
                  <c:v>3217.4417467781072</c:v>
                </c:pt>
                <c:pt idx="127">
                  <c:v>2887.8021240896633</c:v>
                </c:pt>
                <c:pt idx="128">
                  <c:v>2774.5693640449163</c:v>
                </c:pt>
                <c:pt idx="129">
                  <c:v>2763.0900877853769</c:v>
                </c:pt>
                <c:pt idx="130">
                  <c:v>2526.0715586467059</c:v>
                </c:pt>
                <c:pt idx="131">
                  <c:v>3131.7036276020799</c:v>
                </c:pt>
                <c:pt idx="132">
                  <c:v>3432.5953083546869</c:v>
                </c:pt>
                <c:pt idx="133">
                  <c:v>3583.9876183762985</c:v>
                </c:pt>
                <c:pt idx="134">
                  <c:v>3327.8662050107268</c:v>
                </c:pt>
                <c:pt idx="135">
                  <c:v>3830.5004002740552</c:v>
                </c:pt>
                <c:pt idx="136">
                  <c:v>3005.3495529719835</c:v>
                </c:pt>
                <c:pt idx="137">
                  <c:v>3840.4713354452947</c:v>
                </c:pt>
                <c:pt idx="138">
                  <c:v>3214.7266795450182</c:v>
                </c:pt>
                <c:pt idx="139">
                  <c:v>2249.4233544813469</c:v>
                </c:pt>
                <c:pt idx="140">
                  <c:v>3443.2947443493631</c:v>
                </c:pt>
                <c:pt idx="141">
                  <c:v>4055.0764987681755</c:v>
                </c:pt>
                <c:pt idx="142">
                  <c:v>4035.6873867636091</c:v>
                </c:pt>
                <c:pt idx="143">
                  <c:v>3204.0103866634295</c:v>
                </c:pt>
                <c:pt idx="144">
                  <c:v>3205.7880699101966</c:v>
                </c:pt>
                <c:pt idx="145">
                  <c:v>3148.892184833328</c:v>
                </c:pt>
                <c:pt idx="146">
                  <c:v>4384.4548935474741</c:v>
                </c:pt>
                <c:pt idx="147">
                  <c:v>2878.3242576037483</c:v>
                </c:pt>
                <c:pt idx="148">
                  <c:v>2647.9701663766577</c:v>
                </c:pt>
                <c:pt idx="149">
                  <c:v>3587.957179066907</c:v>
                </c:pt>
                <c:pt idx="150">
                  <c:v>3104.4620483454028</c:v>
                </c:pt>
                <c:pt idx="151">
                  <c:v>3328.9425733952507</c:v>
                </c:pt>
                <c:pt idx="152">
                  <c:v>3400.0285598403589</c:v>
                </c:pt>
                <c:pt idx="153">
                  <c:v>3731.4873036394551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C-4282-8D94-02FB34EF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logBase val="10"/>
          <c:orientation val="minMax"/>
          <c:max val="1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693413247446"/>
          <c:y val="0.155107049991934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'eq25'!$L$22</c:f>
              <c:strCache>
                <c:ptCount val="1"/>
                <c:pt idx="0">
                  <c:v>Numerator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'eq25'!$F$23:$F$176</c:f>
              <c:numCache>
                <c:formatCode>0</c:formatCode>
                <c:ptCount val="154"/>
                <c:pt idx="0">
                  <c:v>3501</c:v>
                </c:pt>
                <c:pt idx="1">
                  <c:v>6415</c:v>
                </c:pt>
                <c:pt idx="2">
                  <c:v>3265</c:v>
                </c:pt>
                <c:pt idx="3">
                  <c:v>5575</c:v>
                </c:pt>
                <c:pt idx="4">
                  <c:v>3415</c:v>
                </c:pt>
                <c:pt idx="5">
                  <c:v>2965</c:v>
                </c:pt>
                <c:pt idx="6">
                  <c:v>4215</c:v>
                </c:pt>
                <c:pt idx="7">
                  <c:v>2915.0250000000001</c:v>
                </c:pt>
                <c:pt idx="8">
                  <c:v>325.02499999999998</c:v>
                </c:pt>
                <c:pt idx="9">
                  <c:v>2515</c:v>
                </c:pt>
                <c:pt idx="10">
                  <c:v>3162</c:v>
                </c:pt>
                <c:pt idx="11">
                  <c:v>2915</c:v>
                </c:pt>
                <c:pt idx="12">
                  <c:v>3981</c:v>
                </c:pt>
                <c:pt idx="13">
                  <c:v>3765.0250000000001</c:v>
                </c:pt>
                <c:pt idx="14">
                  <c:v>4115</c:v>
                </c:pt>
                <c:pt idx="15">
                  <c:v>2115</c:v>
                </c:pt>
                <c:pt idx="16">
                  <c:v>3365</c:v>
                </c:pt>
                <c:pt idx="17">
                  <c:v>2865</c:v>
                </c:pt>
                <c:pt idx="18">
                  <c:v>2835</c:v>
                </c:pt>
                <c:pt idx="19">
                  <c:v>2615</c:v>
                </c:pt>
                <c:pt idx="20">
                  <c:v>2965</c:v>
                </c:pt>
                <c:pt idx="21">
                  <c:v>4280</c:v>
                </c:pt>
                <c:pt idx="22">
                  <c:v>5187</c:v>
                </c:pt>
                <c:pt idx="23">
                  <c:v>4375</c:v>
                </c:pt>
                <c:pt idx="24">
                  <c:v>5183</c:v>
                </c:pt>
                <c:pt idx="25">
                  <c:v>4088</c:v>
                </c:pt>
                <c:pt idx="26">
                  <c:v>4328.6499999999996</c:v>
                </c:pt>
                <c:pt idx="27">
                  <c:v>3565</c:v>
                </c:pt>
                <c:pt idx="28">
                  <c:v>4451</c:v>
                </c:pt>
                <c:pt idx="29">
                  <c:v>3995</c:v>
                </c:pt>
                <c:pt idx="30">
                  <c:v>3955</c:v>
                </c:pt>
                <c:pt idx="31">
                  <c:v>3865</c:v>
                </c:pt>
                <c:pt idx="32">
                  <c:v>4217</c:v>
                </c:pt>
                <c:pt idx="33">
                  <c:v>4145</c:v>
                </c:pt>
                <c:pt idx="34">
                  <c:v>3465</c:v>
                </c:pt>
                <c:pt idx="35">
                  <c:v>2515</c:v>
                </c:pt>
                <c:pt idx="36">
                  <c:v>2215</c:v>
                </c:pt>
                <c:pt idx="37">
                  <c:v>3165</c:v>
                </c:pt>
                <c:pt idx="38">
                  <c:v>5655</c:v>
                </c:pt>
                <c:pt idx="39">
                  <c:v>3865</c:v>
                </c:pt>
                <c:pt idx="40">
                  <c:v>4820</c:v>
                </c:pt>
                <c:pt idx="41">
                  <c:v>3815</c:v>
                </c:pt>
                <c:pt idx="42">
                  <c:v>3565</c:v>
                </c:pt>
                <c:pt idx="43">
                  <c:v>4271</c:v>
                </c:pt>
                <c:pt idx="44">
                  <c:v>5335</c:v>
                </c:pt>
                <c:pt idx="45">
                  <c:v>3615</c:v>
                </c:pt>
                <c:pt idx="46">
                  <c:v>3992</c:v>
                </c:pt>
                <c:pt idx="47">
                  <c:v>3865</c:v>
                </c:pt>
                <c:pt idx="48">
                  <c:v>6058</c:v>
                </c:pt>
                <c:pt idx="49">
                  <c:v>3365</c:v>
                </c:pt>
                <c:pt idx="50">
                  <c:v>2415</c:v>
                </c:pt>
                <c:pt idx="51">
                  <c:v>5435</c:v>
                </c:pt>
                <c:pt idx="52">
                  <c:v>4535</c:v>
                </c:pt>
                <c:pt idx="53">
                  <c:v>4575</c:v>
                </c:pt>
                <c:pt idx="54">
                  <c:v>5238</c:v>
                </c:pt>
                <c:pt idx="55">
                  <c:v>5055</c:v>
                </c:pt>
                <c:pt idx="56">
                  <c:v>5210</c:v>
                </c:pt>
                <c:pt idx="57">
                  <c:v>5019</c:v>
                </c:pt>
                <c:pt idx="58">
                  <c:v>4786</c:v>
                </c:pt>
                <c:pt idx="59">
                  <c:v>5326</c:v>
                </c:pt>
                <c:pt idx="60">
                  <c:v>5217</c:v>
                </c:pt>
                <c:pt idx="61">
                  <c:v>5179</c:v>
                </c:pt>
                <c:pt idx="62">
                  <c:v>4756.0249999999996</c:v>
                </c:pt>
                <c:pt idx="63">
                  <c:v>5249.65</c:v>
                </c:pt>
                <c:pt idx="64">
                  <c:v>4315.0249999999996</c:v>
                </c:pt>
                <c:pt idx="65">
                  <c:v>2965</c:v>
                </c:pt>
                <c:pt idx="66">
                  <c:v>3169.6959999999999</c:v>
                </c:pt>
                <c:pt idx="67">
                  <c:v>4115.0249999999996</c:v>
                </c:pt>
                <c:pt idx="68">
                  <c:v>3005.6959999999999</c:v>
                </c:pt>
                <c:pt idx="69">
                  <c:v>1265.0250000000001</c:v>
                </c:pt>
                <c:pt idx="70">
                  <c:v>5276</c:v>
                </c:pt>
                <c:pt idx="71">
                  <c:v>4925</c:v>
                </c:pt>
                <c:pt idx="72">
                  <c:v>4884</c:v>
                </c:pt>
                <c:pt idx="73">
                  <c:v>3815</c:v>
                </c:pt>
                <c:pt idx="74">
                  <c:v>4374</c:v>
                </c:pt>
                <c:pt idx="75">
                  <c:v>4161</c:v>
                </c:pt>
                <c:pt idx="76">
                  <c:v>5490</c:v>
                </c:pt>
                <c:pt idx="77">
                  <c:v>4633</c:v>
                </c:pt>
                <c:pt idx="78">
                  <c:v>4618</c:v>
                </c:pt>
                <c:pt idx="79">
                  <c:v>4856</c:v>
                </c:pt>
                <c:pt idx="80">
                  <c:v>5098</c:v>
                </c:pt>
                <c:pt idx="81">
                  <c:v>4695</c:v>
                </c:pt>
                <c:pt idx="82">
                  <c:v>3658</c:v>
                </c:pt>
                <c:pt idx="83">
                  <c:v>3515</c:v>
                </c:pt>
                <c:pt idx="84">
                  <c:v>3515</c:v>
                </c:pt>
                <c:pt idx="85">
                  <c:v>4815</c:v>
                </c:pt>
                <c:pt idx="86">
                  <c:v>7295</c:v>
                </c:pt>
                <c:pt idx="87">
                  <c:v>4735</c:v>
                </c:pt>
                <c:pt idx="88">
                  <c:v>2236.6959999999999</c:v>
                </c:pt>
                <c:pt idx="89">
                  <c:v>3314.6959999999999</c:v>
                </c:pt>
                <c:pt idx="90">
                  <c:v>4498</c:v>
                </c:pt>
                <c:pt idx="91">
                  <c:v>3365</c:v>
                </c:pt>
                <c:pt idx="92">
                  <c:v>3955</c:v>
                </c:pt>
                <c:pt idx="93">
                  <c:v>4349</c:v>
                </c:pt>
                <c:pt idx="94">
                  <c:v>3915</c:v>
                </c:pt>
                <c:pt idx="95">
                  <c:v>4133</c:v>
                </c:pt>
                <c:pt idx="96">
                  <c:v>4397</c:v>
                </c:pt>
                <c:pt idx="97" formatCode="General">
                  <c:v>5706</c:v>
                </c:pt>
                <c:pt idx="98" formatCode="General">
                  <c:v>4809</c:v>
                </c:pt>
                <c:pt idx="99" formatCode="General">
                  <c:v>4257</c:v>
                </c:pt>
                <c:pt idx="100" formatCode="General">
                  <c:v>4127</c:v>
                </c:pt>
                <c:pt idx="101" formatCode="General">
                  <c:v>4503</c:v>
                </c:pt>
                <c:pt idx="102" formatCode="General">
                  <c:v>4335</c:v>
                </c:pt>
                <c:pt idx="103">
                  <c:v>2900</c:v>
                </c:pt>
                <c:pt idx="104">
                  <c:v>3584.9960000000001</c:v>
                </c:pt>
                <c:pt idx="105">
                  <c:v>3313</c:v>
                </c:pt>
                <c:pt idx="106">
                  <c:v>2551</c:v>
                </c:pt>
                <c:pt idx="107">
                  <c:v>2528</c:v>
                </c:pt>
                <c:pt idx="108">
                  <c:v>2562</c:v>
                </c:pt>
                <c:pt idx="109">
                  <c:v>1714.9959999999999</c:v>
                </c:pt>
                <c:pt idx="110">
                  <c:v>1614.9959999999999</c:v>
                </c:pt>
                <c:pt idx="111">
                  <c:v>3575</c:v>
                </c:pt>
                <c:pt idx="112">
                  <c:v>3131</c:v>
                </c:pt>
                <c:pt idx="113">
                  <c:v>2992</c:v>
                </c:pt>
                <c:pt idx="114">
                  <c:v>1614.9959999999999</c:v>
                </c:pt>
                <c:pt idx="115" formatCode="General">
                  <c:v>3629</c:v>
                </c:pt>
                <c:pt idx="116">
                  <c:v>2788</c:v>
                </c:pt>
                <c:pt idx="117">
                  <c:v>3482</c:v>
                </c:pt>
                <c:pt idx="118">
                  <c:v>2976</c:v>
                </c:pt>
                <c:pt idx="119">
                  <c:v>2814.6959999999999</c:v>
                </c:pt>
                <c:pt idx="120">
                  <c:v>2364.6959999999999</c:v>
                </c:pt>
                <c:pt idx="121">
                  <c:v>2988</c:v>
                </c:pt>
                <c:pt idx="122">
                  <c:v>2327</c:v>
                </c:pt>
                <c:pt idx="123">
                  <c:v>3841.6959999999999</c:v>
                </c:pt>
                <c:pt idx="124">
                  <c:v>3452</c:v>
                </c:pt>
                <c:pt idx="125">
                  <c:v>2774.6959999999999</c:v>
                </c:pt>
                <c:pt idx="126">
                  <c:v>2737</c:v>
                </c:pt>
                <c:pt idx="127">
                  <c:v>2665</c:v>
                </c:pt>
                <c:pt idx="128">
                  <c:v>2665</c:v>
                </c:pt>
                <c:pt idx="129">
                  <c:v>2765</c:v>
                </c:pt>
                <c:pt idx="130">
                  <c:v>2665</c:v>
                </c:pt>
                <c:pt idx="131">
                  <c:v>2865</c:v>
                </c:pt>
                <c:pt idx="132">
                  <c:v>3265</c:v>
                </c:pt>
                <c:pt idx="133">
                  <c:v>3165</c:v>
                </c:pt>
                <c:pt idx="134">
                  <c:v>3215</c:v>
                </c:pt>
                <c:pt idx="135">
                  <c:v>3259</c:v>
                </c:pt>
                <c:pt idx="136">
                  <c:v>2290</c:v>
                </c:pt>
                <c:pt idx="137">
                  <c:v>3478</c:v>
                </c:pt>
                <c:pt idx="138">
                  <c:v>2656.22</c:v>
                </c:pt>
                <c:pt idx="139">
                  <c:v>2265</c:v>
                </c:pt>
                <c:pt idx="140" formatCode="General">
                  <c:v>3280</c:v>
                </c:pt>
                <c:pt idx="141" formatCode="General">
                  <c:v>3722</c:v>
                </c:pt>
                <c:pt idx="142" formatCode="General">
                  <c:v>3697</c:v>
                </c:pt>
                <c:pt idx="143" formatCode="General">
                  <c:v>3066</c:v>
                </c:pt>
                <c:pt idx="144" formatCode="General">
                  <c:v>2944</c:v>
                </c:pt>
                <c:pt idx="145" formatCode="General">
                  <c:v>2923</c:v>
                </c:pt>
                <c:pt idx="146" formatCode="General">
                  <c:v>3789</c:v>
                </c:pt>
                <c:pt idx="147" formatCode="General">
                  <c:v>2356</c:v>
                </c:pt>
                <c:pt idx="148" formatCode="General">
                  <c:v>2212</c:v>
                </c:pt>
                <c:pt idx="149" formatCode="General">
                  <c:v>3310</c:v>
                </c:pt>
                <c:pt idx="150" formatCode="General">
                  <c:v>3067</c:v>
                </c:pt>
                <c:pt idx="151" formatCode="General">
                  <c:v>3149</c:v>
                </c:pt>
                <c:pt idx="152" formatCode="General">
                  <c:v>3005</c:v>
                </c:pt>
                <c:pt idx="153" formatCode="General">
                  <c:v>3609</c:v>
                </c:pt>
              </c:numCache>
            </c:numRef>
          </c:xVal>
          <c:yVal>
            <c:numRef>
              <c:f>'eq25'!$L$23:$L$176</c:f>
              <c:numCache>
                <c:formatCode>General</c:formatCode>
                <c:ptCount val="154"/>
                <c:pt idx="0">
                  <c:v>3571.4342717984809</c:v>
                </c:pt>
                <c:pt idx="1">
                  <c:v>4731.8996134891186</c:v>
                </c:pt>
                <c:pt idx="2">
                  <c:v>3131.3678727105244</c:v>
                </c:pt>
                <c:pt idx="3">
                  <c:v>6099.2629195902364</c:v>
                </c:pt>
                <c:pt idx="4">
                  <c:v>3366.6864039445031</c:v>
                </c:pt>
                <c:pt idx="5">
                  <c:v>2974.3926818854311</c:v>
                </c:pt>
                <c:pt idx="6">
                  <c:v>3858.3588557460935</c:v>
                </c:pt>
                <c:pt idx="7">
                  <c:v>3076.6678036851467</c:v>
                </c:pt>
                <c:pt idx="8">
                  <c:v>1407.6728468192596</c:v>
                </c:pt>
                <c:pt idx="9">
                  <c:v>2837.8601148441649</c:v>
                </c:pt>
                <c:pt idx="10">
                  <c:v>3164.7647014547106</c:v>
                </c:pt>
                <c:pt idx="11">
                  <c:v>3017.571964108889</c:v>
                </c:pt>
                <c:pt idx="12">
                  <c:v>3939.4491111768825</c:v>
                </c:pt>
                <c:pt idx="13">
                  <c:v>3678.9386116343117</c:v>
                </c:pt>
                <c:pt idx="14">
                  <c:v>3834.1161829082357</c:v>
                </c:pt>
                <c:pt idx="15">
                  <c:v>2312.9913991693752</c:v>
                </c:pt>
                <c:pt idx="16">
                  <c:v>3111.4226582790002</c:v>
                </c:pt>
                <c:pt idx="17">
                  <c:v>2790.9378726890982</c:v>
                </c:pt>
                <c:pt idx="18">
                  <c:v>2735.1055106124145</c:v>
                </c:pt>
                <c:pt idx="19">
                  <c:v>2592.7108516825811</c:v>
                </c:pt>
                <c:pt idx="20">
                  <c:v>2909.0999800467189</c:v>
                </c:pt>
                <c:pt idx="21">
                  <c:v>4003.559317637807</c:v>
                </c:pt>
                <c:pt idx="22">
                  <c:v>5254.4610698407059</c:v>
                </c:pt>
                <c:pt idx="23">
                  <c:v>4261.813445923266</c:v>
                </c:pt>
                <c:pt idx="24">
                  <c:v>5212.0282109287264</c:v>
                </c:pt>
                <c:pt idx="25">
                  <c:v>4210.5784309733599</c:v>
                </c:pt>
                <c:pt idx="26">
                  <c:v>4134.637183510943</c:v>
                </c:pt>
                <c:pt idx="27">
                  <c:v>3617.8798341354018</c:v>
                </c:pt>
                <c:pt idx="28">
                  <c:v>4173.4922963623685</c:v>
                </c:pt>
                <c:pt idx="29">
                  <c:v>3845.1856383584609</c:v>
                </c:pt>
                <c:pt idx="30">
                  <c:v>3756.7872961366597</c:v>
                </c:pt>
                <c:pt idx="31">
                  <c:v>3717.5924727149181</c:v>
                </c:pt>
                <c:pt idx="32">
                  <c:v>4024.7922242431305</c:v>
                </c:pt>
                <c:pt idx="33">
                  <c:v>3988.0865681183855</c:v>
                </c:pt>
                <c:pt idx="34">
                  <c:v>3564.0764895401126</c:v>
                </c:pt>
                <c:pt idx="35">
                  <c:v>2650.0237716708939</c:v>
                </c:pt>
                <c:pt idx="36">
                  <c:v>2497.2457567187594</c:v>
                </c:pt>
                <c:pt idx="37">
                  <c:v>3027.8740905427608</c:v>
                </c:pt>
                <c:pt idx="38">
                  <c:v>4266.0167863815423</c:v>
                </c:pt>
                <c:pt idx="39">
                  <c:v>3349.0106290104172</c:v>
                </c:pt>
                <c:pt idx="40">
                  <c:v>5842.2981082972319</c:v>
                </c:pt>
                <c:pt idx="41">
                  <c:v>3613.4239888244297</c:v>
                </c:pt>
                <c:pt idx="42">
                  <c:v>3587.3262572509998</c:v>
                </c:pt>
                <c:pt idx="43">
                  <c:v>3926.0630032501067</c:v>
                </c:pt>
                <c:pt idx="44">
                  <c:v>6220.0594054001158</c:v>
                </c:pt>
                <c:pt idx="45">
                  <c:v>3572.9693667183205</c:v>
                </c:pt>
                <c:pt idx="46">
                  <c:v>3744.8823265431779</c:v>
                </c:pt>
                <c:pt idx="47">
                  <c:v>3609.0601374509092</c:v>
                </c:pt>
                <c:pt idx="48">
                  <c:v>6060.2493846763582</c:v>
                </c:pt>
                <c:pt idx="49">
                  <c:v>3205.7533499456931</c:v>
                </c:pt>
                <c:pt idx="50">
                  <c:v>2672.4044908831415</c:v>
                </c:pt>
                <c:pt idx="51">
                  <c:v>6086.2962053283836</c:v>
                </c:pt>
                <c:pt idx="52">
                  <c:v>4250.3520139028496</c:v>
                </c:pt>
                <c:pt idx="53">
                  <c:v>4242.7762881183735</c:v>
                </c:pt>
                <c:pt idx="54">
                  <c:v>4890.1452636376725</c:v>
                </c:pt>
                <c:pt idx="55">
                  <c:v>4838.0466164334593</c:v>
                </c:pt>
                <c:pt idx="56">
                  <c:v>6589.4412665388481</c:v>
                </c:pt>
                <c:pt idx="57">
                  <c:v>4911.9086769677324</c:v>
                </c:pt>
                <c:pt idx="58">
                  <c:v>5109.0651092437829</c:v>
                </c:pt>
                <c:pt idx="59">
                  <c:v>5664.6476827258639</c:v>
                </c:pt>
                <c:pt idx="60">
                  <c:v>5230.1278037636357</c:v>
                </c:pt>
                <c:pt idx="61">
                  <c:v>6561.7620045048016</c:v>
                </c:pt>
                <c:pt idx="62">
                  <c:v>4376.6222817650068</c:v>
                </c:pt>
                <c:pt idx="63">
                  <c:v>4253.9758725686706</c:v>
                </c:pt>
                <c:pt idx="64">
                  <c:v>3941.6348573816545</c:v>
                </c:pt>
                <c:pt idx="65">
                  <c:v>3030.7298006250558</c:v>
                </c:pt>
                <c:pt idx="66">
                  <c:v>3181.266958948474</c:v>
                </c:pt>
                <c:pt idx="67">
                  <c:v>3809.1451818715168</c:v>
                </c:pt>
                <c:pt idx="68">
                  <c:v>3193.9122450853315</c:v>
                </c:pt>
                <c:pt idx="69">
                  <c:v>1945.8696467230805</c:v>
                </c:pt>
                <c:pt idx="70">
                  <c:v>6319.0913673705782</c:v>
                </c:pt>
                <c:pt idx="71">
                  <c:v>4994.1061720819753</c:v>
                </c:pt>
                <c:pt idx="72">
                  <c:v>5294.821384380296</c:v>
                </c:pt>
                <c:pt idx="73">
                  <c:v>3669.6217245827042</c:v>
                </c:pt>
                <c:pt idx="74">
                  <c:v>4245.0209420754563</c:v>
                </c:pt>
                <c:pt idx="75">
                  <c:v>3978.8948899774928</c:v>
                </c:pt>
                <c:pt idx="76">
                  <c:v>5859.325899221868</c:v>
                </c:pt>
                <c:pt idx="77">
                  <c:v>4432.295922700182</c:v>
                </c:pt>
                <c:pt idx="78">
                  <c:v>4689.0222855557413</c:v>
                </c:pt>
                <c:pt idx="79">
                  <c:v>4759.8672362183725</c:v>
                </c:pt>
                <c:pt idx="80">
                  <c:v>6081.6902804483907</c:v>
                </c:pt>
                <c:pt idx="81">
                  <c:v>7115.666404595765</c:v>
                </c:pt>
                <c:pt idx="82">
                  <c:v>3832.8286366871207</c:v>
                </c:pt>
                <c:pt idx="83">
                  <c:v>3446.3647606572044</c:v>
                </c:pt>
                <c:pt idx="84">
                  <c:v>3225.8150860589917</c:v>
                </c:pt>
                <c:pt idx="85">
                  <c:v>4450.8262063934526</c:v>
                </c:pt>
                <c:pt idx="86">
                  <c:v>7453.647423052138</c:v>
                </c:pt>
                <c:pt idx="87">
                  <c:v>4421.1015792459266</c:v>
                </c:pt>
                <c:pt idx="88">
                  <c:v>2840.5380364220609</c:v>
                </c:pt>
                <c:pt idx="89">
                  <c:v>3383.6535872080576</c:v>
                </c:pt>
                <c:pt idx="90">
                  <c:v>3844.330650214979</c:v>
                </c:pt>
                <c:pt idx="91">
                  <c:v>3365.8870304383395</c:v>
                </c:pt>
                <c:pt idx="92">
                  <c:v>3777.1203160160103</c:v>
                </c:pt>
                <c:pt idx="93">
                  <c:v>3777.7072524750097</c:v>
                </c:pt>
                <c:pt idx="94">
                  <c:v>3683.9449165017504</c:v>
                </c:pt>
                <c:pt idx="95">
                  <c:v>3915.5785719199016</c:v>
                </c:pt>
                <c:pt idx="96">
                  <c:v>4141.589731987704</c:v>
                </c:pt>
                <c:pt idx="97">
                  <c:v>6565.4378473552088</c:v>
                </c:pt>
                <c:pt idx="98">
                  <c:v>5470.1131859901643</c:v>
                </c:pt>
                <c:pt idx="99">
                  <c:v>4081.5559085164086</c:v>
                </c:pt>
                <c:pt idx="100">
                  <c:v>3985.231468319862</c:v>
                </c:pt>
                <c:pt idx="101">
                  <c:v>4134.792008204663</c:v>
                </c:pt>
                <c:pt idx="102">
                  <c:v>3874.8984646058475</c:v>
                </c:pt>
                <c:pt idx="103">
                  <c:v>3216.2415058081783</c:v>
                </c:pt>
                <c:pt idx="104">
                  <c:v>3882.1919394934121</c:v>
                </c:pt>
                <c:pt idx="105">
                  <c:v>3042.9117951889484</c:v>
                </c:pt>
                <c:pt idx="106">
                  <c:v>2714.5340374850225</c:v>
                </c:pt>
                <c:pt idx="107">
                  <c:v>2728.8183709860018</c:v>
                </c:pt>
                <c:pt idx="108">
                  <c:v>2824.4874295694408</c:v>
                </c:pt>
                <c:pt idx="109">
                  <c:v>2013.5231052565825</c:v>
                </c:pt>
                <c:pt idx="110">
                  <c:v>2008.9447723527624</c:v>
                </c:pt>
                <c:pt idx="111">
                  <c:v>3453.0398572878498</c:v>
                </c:pt>
                <c:pt idx="112">
                  <c:v>3098.6241610806287</c:v>
                </c:pt>
                <c:pt idx="113">
                  <c:v>3126.423843187385</c:v>
                </c:pt>
                <c:pt idx="114">
                  <c:v>1974.8511774091955</c:v>
                </c:pt>
                <c:pt idx="115">
                  <c:v>3498.0929108257001</c:v>
                </c:pt>
                <c:pt idx="116">
                  <c:v>2913.6502801413772</c:v>
                </c:pt>
                <c:pt idx="117">
                  <c:v>3429.5938479544411</c:v>
                </c:pt>
                <c:pt idx="118">
                  <c:v>2995.7640664829482</c:v>
                </c:pt>
                <c:pt idx="119">
                  <c:v>2854.0396429784114</c:v>
                </c:pt>
                <c:pt idx="120">
                  <c:v>2734.7902609776602</c:v>
                </c:pt>
                <c:pt idx="121">
                  <c:v>3076.1721477077999</c:v>
                </c:pt>
                <c:pt idx="122">
                  <c:v>2584.3964908484108</c:v>
                </c:pt>
                <c:pt idx="123">
                  <c:v>3775.0989080654404</c:v>
                </c:pt>
                <c:pt idx="124">
                  <c:v>3366.9356610783038</c:v>
                </c:pt>
                <c:pt idx="125">
                  <c:v>2924.7571424849511</c:v>
                </c:pt>
                <c:pt idx="126">
                  <c:v>2897.5446115854434</c:v>
                </c:pt>
                <c:pt idx="127">
                  <c:v>2690.9446804717732</c:v>
                </c:pt>
                <c:pt idx="128">
                  <c:v>2685.3447484462245</c:v>
                </c:pt>
                <c:pt idx="129">
                  <c:v>2704.6575091103796</c:v>
                </c:pt>
                <c:pt idx="130">
                  <c:v>2593.837688694412</c:v>
                </c:pt>
                <c:pt idx="131">
                  <c:v>2949.2456425969076</c:v>
                </c:pt>
                <c:pt idx="132">
                  <c:v>3180.2278911291123</c:v>
                </c:pt>
                <c:pt idx="133">
                  <c:v>3265.7994951796541</c:v>
                </c:pt>
                <c:pt idx="134">
                  <c:v>3135.0766316270988</c:v>
                </c:pt>
                <c:pt idx="135">
                  <c:v>3346.2731908067067</c:v>
                </c:pt>
                <c:pt idx="136">
                  <c:v>2811.4230222651572</c:v>
                </c:pt>
                <c:pt idx="137">
                  <c:v>3378.195536232945</c:v>
                </c:pt>
                <c:pt idx="138">
                  <c:v>2932.9711080030829</c:v>
                </c:pt>
                <c:pt idx="139">
                  <c:v>2401.7853835558235</c:v>
                </c:pt>
                <c:pt idx="140">
                  <c:v>3110.7674157713268</c:v>
                </c:pt>
                <c:pt idx="141">
                  <c:v>3407.2281278734922</c:v>
                </c:pt>
                <c:pt idx="142">
                  <c:v>3372.7746117849629</c:v>
                </c:pt>
                <c:pt idx="143">
                  <c:v>2860.8043231993529</c:v>
                </c:pt>
                <c:pt idx="144">
                  <c:v>2819.3424598004044</c:v>
                </c:pt>
                <c:pt idx="145">
                  <c:v>2807.9411739443922</c:v>
                </c:pt>
                <c:pt idx="146">
                  <c:v>3755.6370947456066</c:v>
                </c:pt>
                <c:pt idx="147">
                  <c:v>2546.8142742633013</c:v>
                </c:pt>
                <c:pt idx="148">
                  <c:v>2405.4646550437255</c:v>
                </c:pt>
                <c:pt idx="149">
                  <c:v>3238.9445481771822</c:v>
                </c:pt>
                <c:pt idx="150">
                  <c:v>2884.6922209511154</c:v>
                </c:pt>
                <c:pt idx="151">
                  <c:v>3025.9204427660857</c:v>
                </c:pt>
                <c:pt idx="152">
                  <c:v>2990.4143880452443</c:v>
                </c:pt>
                <c:pt idx="153">
                  <c:v>3202.5137487854504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3-45F1-89C2-E073E6AFE31B}"/>
            </c:ext>
          </c:extLst>
        </c:ser>
        <c:ser>
          <c:idx val="0"/>
          <c:order val="1"/>
          <c:tx>
            <c:v>45 degree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A13-45F1-89C2-E073E6AFE31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3-45F1-89C2-E073E6AFE31B}"/>
              </c:ext>
            </c:extLst>
          </c:dPt>
          <c:xVal>
            <c:numLit>
              <c:formatCode>General</c:formatCode>
              <c:ptCount val="2"/>
              <c:pt idx="0">
                <c:v>100</c:v>
              </c:pt>
              <c:pt idx="1">
                <c:v>100000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A13-45F1-89C2-E073E6AF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logBase val="10"/>
          <c:orientation val="minMax"/>
          <c:max val="1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logBase val="10"/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693413247446"/>
          <c:y val="0.155107049991934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'eq25 (2)'!$L$22</c:f>
              <c:strCache>
                <c:ptCount val="1"/>
                <c:pt idx="0">
                  <c:v>pb_sat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'eq25 (2)'!$F$23:$F$176</c:f>
              <c:numCache>
                <c:formatCode>0</c:formatCode>
                <c:ptCount val="154"/>
                <c:pt idx="0">
                  <c:v>3501</c:v>
                </c:pt>
                <c:pt idx="1">
                  <c:v>6415</c:v>
                </c:pt>
                <c:pt idx="2">
                  <c:v>3265</c:v>
                </c:pt>
                <c:pt idx="3">
                  <c:v>5575</c:v>
                </c:pt>
                <c:pt idx="4">
                  <c:v>3415</c:v>
                </c:pt>
                <c:pt idx="5">
                  <c:v>2965</c:v>
                </c:pt>
                <c:pt idx="6">
                  <c:v>4215</c:v>
                </c:pt>
                <c:pt idx="7">
                  <c:v>2915.0250000000001</c:v>
                </c:pt>
                <c:pt idx="8">
                  <c:v>325.02499999999998</c:v>
                </c:pt>
                <c:pt idx="9">
                  <c:v>2515</c:v>
                </c:pt>
                <c:pt idx="10">
                  <c:v>3162</c:v>
                </c:pt>
                <c:pt idx="11">
                  <c:v>2915</c:v>
                </c:pt>
                <c:pt idx="12">
                  <c:v>3981</c:v>
                </c:pt>
                <c:pt idx="13">
                  <c:v>3765.0250000000001</c:v>
                </c:pt>
                <c:pt idx="14">
                  <c:v>4115</c:v>
                </c:pt>
                <c:pt idx="15">
                  <c:v>2115</c:v>
                </c:pt>
                <c:pt idx="16">
                  <c:v>3365</c:v>
                </c:pt>
                <c:pt idx="17">
                  <c:v>2865</c:v>
                </c:pt>
                <c:pt idx="18">
                  <c:v>2835</c:v>
                </c:pt>
                <c:pt idx="19">
                  <c:v>2615</c:v>
                </c:pt>
                <c:pt idx="20">
                  <c:v>2965</c:v>
                </c:pt>
                <c:pt idx="21">
                  <c:v>4280</c:v>
                </c:pt>
                <c:pt idx="22">
                  <c:v>5187</c:v>
                </c:pt>
                <c:pt idx="23">
                  <c:v>4375</c:v>
                </c:pt>
                <c:pt idx="24">
                  <c:v>5183</c:v>
                </c:pt>
                <c:pt idx="25">
                  <c:v>4088</c:v>
                </c:pt>
                <c:pt idx="26">
                  <c:v>4328.6499999999996</c:v>
                </c:pt>
                <c:pt idx="27">
                  <c:v>3565</c:v>
                </c:pt>
                <c:pt idx="28">
                  <c:v>4451</c:v>
                </c:pt>
                <c:pt idx="29">
                  <c:v>3995</c:v>
                </c:pt>
                <c:pt idx="30">
                  <c:v>3955</c:v>
                </c:pt>
                <c:pt idx="31">
                  <c:v>3865</c:v>
                </c:pt>
                <c:pt idx="32">
                  <c:v>4217</c:v>
                </c:pt>
                <c:pt idx="33">
                  <c:v>4145</c:v>
                </c:pt>
                <c:pt idx="34">
                  <c:v>3465</c:v>
                </c:pt>
                <c:pt idx="35">
                  <c:v>2515</c:v>
                </c:pt>
                <c:pt idx="36">
                  <c:v>2215</c:v>
                </c:pt>
                <c:pt idx="37">
                  <c:v>3165</c:v>
                </c:pt>
                <c:pt idx="38">
                  <c:v>5655</c:v>
                </c:pt>
                <c:pt idx="39">
                  <c:v>3865</c:v>
                </c:pt>
                <c:pt idx="40">
                  <c:v>4820</c:v>
                </c:pt>
                <c:pt idx="41">
                  <c:v>3815</c:v>
                </c:pt>
                <c:pt idx="42">
                  <c:v>3565</c:v>
                </c:pt>
                <c:pt idx="43">
                  <c:v>4271</c:v>
                </c:pt>
                <c:pt idx="44">
                  <c:v>5335</c:v>
                </c:pt>
                <c:pt idx="45">
                  <c:v>3615</c:v>
                </c:pt>
                <c:pt idx="46">
                  <c:v>3992</c:v>
                </c:pt>
                <c:pt idx="47">
                  <c:v>3865</c:v>
                </c:pt>
                <c:pt idx="48">
                  <c:v>6058</c:v>
                </c:pt>
                <c:pt idx="49">
                  <c:v>3365</c:v>
                </c:pt>
                <c:pt idx="50">
                  <c:v>2415</c:v>
                </c:pt>
                <c:pt idx="51">
                  <c:v>5435</c:v>
                </c:pt>
                <c:pt idx="52">
                  <c:v>4535</c:v>
                </c:pt>
                <c:pt idx="53">
                  <c:v>4575</c:v>
                </c:pt>
                <c:pt idx="54">
                  <c:v>5238</c:v>
                </c:pt>
                <c:pt idx="55">
                  <c:v>5055</c:v>
                </c:pt>
                <c:pt idx="56">
                  <c:v>5210</c:v>
                </c:pt>
                <c:pt idx="57">
                  <c:v>5019</c:v>
                </c:pt>
                <c:pt idx="58">
                  <c:v>4786</c:v>
                </c:pt>
                <c:pt idx="59">
                  <c:v>5326</c:v>
                </c:pt>
                <c:pt idx="60">
                  <c:v>5217</c:v>
                </c:pt>
                <c:pt idx="61">
                  <c:v>5179</c:v>
                </c:pt>
                <c:pt idx="62">
                  <c:v>4756.0249999999996</c:v>
                </c:pt>
                <c:pt idx="63">
                  <c:v>5249.65</c:v>
                </c:pt>
                <c:pt idx="64">
                  <c:v>4315.0249999999996</c:v>
                </c:pt>
                <c:pt idx="65">
                  <c:v>2965</c:v>
                </c:pt>
                <c:pt idx="66">
                  <c:v>3169.6959999999999</c:v>
                </c:pt>
                <c:pt idx="67">
                  <c:v>4115.0249999999996</c:v>
                </c:pt>
                <c:pt idx="68">
                  <c:v>3005.6959999999999</c:v>
                </c:pt>
                <c:pt idx="69">
                  <c:v>1265.0250000000001</c:v>
                </c:pt>
                <c:pt idx="70">
                  <c:v>5276</c:v>
                </c:pt>
                <c:pt idx="71">
                  <c:v>4925</c:v>
                </c:pt>
                <c:pt idx="72">
                  <c:v>4884</c:v>
                </c:pt>
                <c:pt idx="73">
                  <c:v>3815</c:v>
                </c:pt>
                <c:pt idx="74">
                  <c:v>4374</c:v>
                </c:pt>
                <c:pt idx="75">
                  <c:v>4161</c:v>
                </c:pt>
                <c:pt idx="76">
                  <c:v>5490</c:v>
                </c:pt>
                <c:pt idx="77">
                  <c:v>4633</c:v>
                </c:pt>
                <c:pt idx="78">
                  <c:v>4618</c:v>
                </c:pt>
                <c:pt idx="79">
                  <c:v>4856</c:v>
                </c:pt>
                <c:pt idx="80">
                  <c:v>5098</c:v>
                </c:pt>
                <c:pt idx="81">
                  <c:v>4695</c:v>
                </c:pt>
                <c:pt idx="82">
                  <c:v>3658</c:v>
                </c:pt>
                <c:pt idx="83">
                  <c:v>3515</c:v>
                </c:pt>
                <c:pt idx="84">
                  <c:v>3515</c:v>
                </c:pt>
                <c:pt idx="85">
                  <c:v>4815</c:v>
                </c:pt>
                <c:pt idx="86">
                  <c:v>7295</c:v>
                </c:pt>
                <c:pt idx="87">
                  <c:v>4735</c:v>
                </c:pt>
                <c:pt idx="88">
                  <c:v>2236.6959999999999</c:v>
                </c:pt>
                <c:pt idx="89">
                  <c:v>3314.6959999999999</c:v>
                </c:pt>
                <c:pt idx="90">
                  <c:v>4498</c:v>
                </c:pt>
                <c:pt idx="91">
                  <c:v>3365</c:v>
                </c:pt>
                <c:pt idx="92">
                  <c:v>3955</c:v>
                </c:pt>
                <c:pt idx="93">
                  <c:v>4349</c:v>
                </c:pt>
                <c:pt idx="94">
                  <c:v>3915</c:v>
                </c:pt>
                <c:pt idx="95">
                  <c:v>4133</c:v>
                </c:pt>
                <c:pt idx="96">
                  <c:v>4397</c:v>
                </c:pt>
                <c:pt idx="97" formatCode="General">
                  <c:v>5706</c:v>
                </c:pt>
                <c:pt idx="98" formatCode="General">
                  <c:v>4809</c:v>
                </c:pt>
                <c:pt idx="99" formatCode="General">
                  <c:v>4257</c:v>
                </c:pt>
                <c:pt idx="100" formatCode="General">
                  <c:v>4127</c:v>
                </c:pt>
                <c:pt idx="101" formatCode="General">
                  <c:v>4503</c:v>
                </c:pt>
                <c:pt idx="102" formatCode="General">
                  <c:v>4335</c:v>
                </c:pt>
                <c:pt idx="103">
                  <c:v>2900</c:v>
                </c:pt>
                <c:pt idx="104">
                  <c:v>3584.9960000000001</c:v>
                </c:pt>
                <c:pt idx="105">
                  <c:v>3313</c:v>
                </c:pt>
                <c:pt idx="106">
                  <c:v>2551</c:v>
                </c:pt>
                <c:pt idx="107">
                  <c:v>2528</c:v>
                </c:pt>
                <c:pt idx="108">
                  <c:v>2562</c:v>
                </c:pt>
                <c:pt idx="109">
                  <c:v>1714.9959999999999</c:v>
                </c:pt>
                <c:pt idx="110">
                  <c:v>1614.9959999999999</c:v>
                </c:pt>
                <c:pt idx="111">
                  <c:v>3575</c:v>
                </c:pt>
                <c:pt idx="112">
                  <c:v>3131</c:v>
                </c:pt>
                <c:pt idx="113">
                  <c:v>2992</c:v>
                </c:pt>
                <c:pt idx="114">
                  <c:v>1614.9959999999999</c:v>
                </c:pt>
                <c:pt idx="115" formatCode="General">
                  <c:v>3629</c:v>
                </c:pt>
                <c:pt idx="116">
                  <c:v>2788</c:v>
                </c:pt>
                <c:pt idx="117">
                  <c:v>3482</c:v>
                </c:pt>
                <c:pt idx="118">
                  <c:v>2976</c:v>
                </c:pt>
                <c:pt idx="119">
                  <c:v>2814.6959999999999</c:v>
                </c:pt>
                <c:pt idx="120">
                  <c:v>2364.6959999999999</c:v>
                </c:pt>
                <c:pt idx="121">
                  <c:v>2988</c:v>
                </c:pt>
                <c:pt idx="122">
                  <c:v>2327</c:v>
                </c:pt>
                <c:pt idx="123">
                  <c:v>3841.6959999999999</c:v>
                </c:pt>
                <c:pt idx="124">
                  <c:v>3452</c:v>
                </c:pt>
                <c:pt idx="125">
                  <c:v>2774.6959999999999</c:v>
                </c:pt>
                <c:pt idx="126">
                  <c:v>2737</c:v>
                </c:pt>
                <c:pt idx="127">
                  <c:v>2665</c:v>
                </c:pt>
                <c:pt idx="128">
                  <c:v>2665</c:v>
                </c:pt>
                <c:pt idx="129">
                  <c:v>2765</c:v>
                </c:pt>
                <c:pt idx="130">
                  <c:v>2665</c:v>
                </c:pt>
                <c:pt idx="131">
                  <c:v>2865</c:v>
                </c:pt>
                <c:pt idx="132">
                  <c:v>3265</c:v>
                </c:pt>
                <c:pt idx="133">
                  <c:v>3165</c:v>
                </c:pt>
                <c:pt idx="134">
                  <c:v>3215</c:v>
                </c:pt>
                <c:pt idx="135">
                  <c:v>3259</c:v>
                </c:pt>
                <c:pt idx="136">
                  <c:v>2290</c:v>
                </c:pt>
                <c:pt idx="137">
                  <c:v>3478</c:v>
                </c:pt>
                <c:pt idx="138">
                  <c:v>2656.22</c:v>
                </c:pt>
                <c:pt idx="139">
                  <c:v>2265</c:v>
                </c:pt>
                <c:pt idx="140" formatCode="General">
                  <c:v>3280</c:v>
                </c:pt>
                <c:pt idx="141" formatCode="General">
                  <c:v>3722</c:v>
                </c:pt>
                <c:pt idx="142" formatCode="General">
                  <c:v>3697</c:v>
                </c:pt>
                <c:pt idx="143" formatCode="General">
                  <c:v>3066</c:v>
                </c:pt>
                <c:pt idx="144" formatCode="General">
                  <c:v>2944</c:v>
                </c:pt>
                <c:pt idx="145" formatCode="General">
                  <c:v>2923</c:v>
                </c:pt>
                <c:pt idx="146" formatCode="General">
                  <c:v>3789</c:v>
                </c:pt>
                <c:pt idx="147" formatCode="General">
                  <c:v>2356</c:v>
                </c:pt>
                <c:pt idx="148" formatCode="General">
                  <c:v>2212</c:v>
                </c:pt>
                <c:pt idx="149" formatCode="General">
                  <c:v>3310</c:v>
                </c:pt>
                <c:pt idx="150" formatCode="General">
                  <c:v>3067</c:v>
                </c:pt>
                <c:pt idx="151" formatCode="General">
                  <c:v>3149</c:v>
                </c:pt>
                <c:pt idx="152" formatCode="General">
                  <c:v>3005</c:v>
                </c:pt>
                <c:pt idx="153" formatCode="General">
                  <c:v>3609</c:v>
                </c:pt>
              </c:numCache>
            </c:numRef>
          </c:xVal>
          <c:yVal>
            <c:numRef>
              <c:f>'eq25 (2)'!$L$23:$L$176</c:f>
              <c:numCache>
                <c:formatCode>General</c:formatCode>
                <c:ptCount val="154"/>
                <c:pt idx="0">
                  <c:v>3780.6856491810536</c:v>
                </c:pt>
                <c:pt idx="1">
                  <c:v>5179.1369584217373</c:v>
                </c:pt>
                <c:pt idx="2">
                  <c:v>3259.5257640235918</c:v>
                </c:pt>
                <c:pt idx="3">
                  <c:v>5745.2339309598756</c:v>
                </c:pt>
                <c:pt idx="4">
                  <c:v>3581.7302071446961</c:v>
                </c:pt>
                <c:pt idx="5">
                  <c:v>3069.4695244075588</c:v>
                </c:pt>
                <c:pt idx="6">
                  <c:v>4210.783257491521</c:v>
                </c:pt>
                <c:pt idx="7">
                  <c:v>3213.2784114730539</c:v>
                </c:pt>
                <c:pt idx="8">
                  <c:v>1078.9462134639507</c:v>
                </c:pt>
                <c:pt idx="9">
                  <c:v>2889.7803082580572</c:v>
                </c:pt>
                <c:pt idx="10">
                  <c:v>3369.5022681392538</c:v>
                </c:pt>
                <c:pt idx="11">
                  <c:v>3162.3117265307123</c:v>
                </c:pt>
                <c:pt idx="12">
                  <c:v>4146.6335887068872</c:v>
                </c:pt>
                <c:pt idx="13">
                  <c:v>3821.2498845518589</c:v>
                </c:pt>
                <c:pt idx="14">
                  <c:v>4151.3422868733305</c:v>
                </c:pt>
                <c:pt idx="15">
                  <c:v>2228.0464111798574</c:v>
                </c:pt>
                <c:pt idx="16">
                  <c:v>3350.69687903465</c:v>
                </c:pt>
                <c:pt idx="17">
                  <c:v>2920.7324134942405</c:v>
                </c:pt>
                <c:pt idx="18">
                  <c:v>2850.1971478614432</c:v>
                </c:pt>
                <c:pt idx="19">
                  <c:v>2593.2866202524337</c:v>
                </c:pt>
                <c:pt idx="20">
                  <c:v>3027.255022587748</c:v>
                </c:pt>
                <c:pt idx="21">
                  <c:v>4241.2250073204741</c:v>
                </c:pt>
                <c:pt idx="22">
                  <c:v>5793.4035318759188</c:v>
                </c:pt>
                <c:pt idx="23">
                  <c:v>4582.6086825560742</c:v>
                </c:pt>
                <c:pt idx="24">
                  <c:v>5494.2403501920298</c:v>
                </c:pt>
                <c:pt idx="25">
                  <c:v>4538.2260613377266</c:v>
                </c:pt>
                <c:pt idx="26">
                  <c:v>4583.6050360649506</c:v>
                </c:pt>
                <c:pt idx="27">
                  <c:v>3958.531042890902</c:v>
                </c:pt>
                <c:pt idx="28">
                  <c:v>4872.1546399823674</c:v>
                </c:pt>
                <c:pt idx="29">
                  <c:v>4292.4425713500023</c:v>
                </c:pt>
                <c:pt idx="30">
                  <c:v>4193.3314541572609</c:v>
                </c:pt>
                <c:pt idx="31">
                  <c:v>4167.2696942565044</c:v>
                </c:pt>
                <c:pt idx="32">
                  <c:v>4483.2171719030484</c:v>
                </c:pt>
                <c:pt idx="33">
                  <c:v>4324.3035252990703</c:v>
                </c:pt>
                <c:pt idx="34">
                  <c:v>3804.8725097357128</c:v>
                </c:pt>
                <c:pt idx="35">
                  <c:v>2665.9317508308795</c:v>
                </c:pt>
                <c:pt idx="36">
                  <c:v>2470.6460585959057</c:v>
                </c:pt>
                <c:pt idx="37">
                  <c:v>3222.3428355286537</c:v>
                </c:pt>
                <c:pt idx="38">
                  <c:v>4761.2938296497887</c:v>
                </c:pt>
                <c:pt idx="39">
                  <c:v>3547.7549984980469</c:v>
                </c:pt>
                <c:pt idx="40">
                  <c:v>5673.197703315268</c:v>
                </c:pt>
                <c:pt idx="41">
                  <c:v>3895.2024374640573</c:v>
                </c:pt>
                <c:pt idx="42">
                  <c:v>3785.137159389034</c:v>
                </c:pt>
                <c:pt idx="43">
                  <c:v>4381.7896754514186</c:v>
                </c:pt>
                <c:pt idx="44">
                  <c:v>6164.8082347717664</c:v>
                </c:pt>
                <c:pt idx="45">
                  <c:v>3861.1371376543038</c:v>
                </c:pt>
                <c:pt idx="46">
                  <c:v>4012.1678998703728</c:v>
                </c:pt>
                <c:pt idx="47">
                  <c:v>3897.0749434140198</c:v>
                </c:pt>
                <c:pt idx="48">
                  <c:v>6405.5067170490747</c:v>
                </c:pt>
                <c:pt idx="49">
                  <c:v>3492.2163274601203</c:v>
                </c:pt>
                <c:pt idx="50">
                  <c:v>2661.04078657941</c:v>
                </c:pt>
                <c:pt idx="51">
                  <c:v>5711.7994560804736</c:v>
                </c:pt>
                <c:pt idx="52">
                  <c:v>4476.3591425314416</c:v>
                </c:pt>
                <c:pt idx="53">
                  <c:v>4469.6351732776966</c:v>
                </c:pt>
                <c:pt idx="54">
                  <c:v>5167.4296069548209</c:v>
                </c:pt>
                <c:pt idx="55">
                  <c:v>5050.338932323627</c:v>
                </c:pt>
                <c:pt idx="56">
                  <c:v>6022.2150520666637</c:v>
                </c:pt>
                <c:pt idx="57">
                  <c:v>5030.7397321408052</c:v>
                </c:pt>
                <c:pt idx="58">
                  <c:v>4956.980937394891</c:v>
                </c:pt>
                <c:pt idx="59">
                  <c:v>5624.9825679255755</c:v>
                </c:pt>
                <c:pt idx="60">
                  <c:v>5228.7235202657184</c:v>
                </c:pt>
                <c:pt idx="61">
                  <c:v>5518.9799411193744</c:v>
                </c:pt>
                <c:pt idx="62">
                  <c:v>4710.4180686657592</c:v>
                </c:pt>
                <c:pt idx="63">
                  <c:v>4272.7614362466729</c:v>
                </c:pt>
                <c:pt idx="64">
                  <c:v>4135.5130141330137</c:v>
                </c:pt>
                <c:pt idx="65">
                  <c:v>3183.3196429784562</c:v>
                </c:pt>
                <c:pt idx="66">
                  <c:v>3377.2411364855398</c:v>
                </c:pt>
                <c:pt idx="67">
                  <c:v>4167.1600481784044</c:v>
                </c:pt>
                <c:pt idx="68">
                  <c:v>3444.1177434231831</c:v>
                </c:pt>
                <c:pt idx="69">
                  <c:v>1708.4337785160358</c:v>
                </c:pt>
                <c:pt idx="70">
                  <c:v>6115.8963254456585</c:v>
                </c:pt>
                <c:pt idx="71">
                  <c:v>5234.9730255462346</c:v>
                </c:pt>
                <c:pt idx="72">
                  <c:v>5432.2637333802904</c:v>
                </c:pt>
                <c:pt idx="73">
                  <c:v>3850.73908366452</c:v>
                </c:pt>
                <c:pt idx="74">
                  <c:v>4516.7784163068382</c:v>
                </c:pt>
                <c:pt idx="75">
                  <c:v>4306.5584051017449</c:v>
                </c:pt>
                <c:pt idx="76">
                  <c:v>5399.5606304214953</c:v>
                </c:pt>
                <c:pt idx="77">
                  <c:v>4558.4393397442636</c:v>
                </c:pt>
                <c:pt idx="78">
                  <c:v>4846.6392820384908</c:v>
                </c:pt>
                <c:pt idx="79">
                  <c:v>5167.0773049685668</c:v>
                </c:pt>
                <c:pt idx="80">
                  <c:v>6550.9059001104661</c:v>
                </c:pt>
                <c:pt idx="81">
                  <c:v>6122.1845535262646</c:v>
                </c:pt>
                <c:pt idx="82">
                  <c:v>4080.6094127189467</c:v>
                </c:pt>
                <c:pt idx="83">
                  <c:v>3641.435419068368</c:v>
                </c:pt>
                <c:pt idx="84">
                  <c:v>3353.5359815274228</c:v>
                </c:pt>
                <c:pt idx="85">
                  <c:v>4874.5428688771417</c:v>
                </c:pt>
                <c:pt idx="86">
                  <c:v>6247.6335854148247</c:v>
                </c:pt>
                <c:pt idx="87">
                  <c:v>4780.2244933979537</c:v>
                </c:pt>
                <c:pt idx="88">
                  <c:v>2929.2002562209304</c:v>
                </c:pt>
                <c:pt idx="89">
                  <c:v>3467.7544886783094</c:v>
                </c:pt>
                <c:pt idx="90">
                  <c:v>4509.1000262870593</c:v>
                </c:pt>
                <c:pt idx="91">
                  <c:v>3547.82842291513</c:v>
                </c:pt>
                <c:pt idx="92">
                  <c:v>4075.0871021792836</c:v>
                </c:pt>
                <c:pt idx="93">
                  <c:v>4414.1287551998585</c:v>
                </c:pt>
                <c:pt idx="94">
                  <c:v>4032.42019799429</c:v>
                </c:pt>
                <c:pt idx="95">
                  <c:v>4268.353149786979</c:v>
                </c:pt>
                <c:pt idx="96">
                  <c:v>4417.0653544480019</c:v>
                </c:pt>
                <c:pt idx="97">
                  <c:v>5704.8018503284466</c:v>
                </c:pt>
                <c:pt idx="98">
                  <c:v>5374.4734624339753</c:v>
                </c:pt>
                <c:pt idx="99">
                  <c:v>4472.6756921195029</c:v>
                </c:pt>
                <c:pt idx="100">
                  <c:v>4287.3244388422372</c:v>
                </c:pt>
                <c:pt idx="101">
                  <c:v>4474.0476314099988</c:v>
                </c:pt>
                <c:pt idx="102">
                  <c:v>4454.629058587404</c:v>
                </c:pt>
                <c:pt idx="103">
                  <c:v>3489.8488662830896</c:v>
                </c:pt>
                <c:pt idx="104">
                  <c:v>4050.9371541768946</c:v>
                </c:pt>
                <c:pt idx="105">
                  <c:v>3241.1751676287345</c:v>
                </c:pt>
                <c:pt idx="106">
                  <c:v>2787.5150133734192</c:v>
                </c:pt>
                <c:pt idx="107">
                  <c:v>2802.5289031229581</c:v>
                </c:pt>
                <c:pt idx="108">
                  <c:v>2868.080135695694</c:v>
                </c:pt>
                <c:pt idx="109">
                  <c:v>1824.329839560048</c:v>
                </c:pt>
                <c:pt idx="110">
                  <c:v>1806.6225070350017</c:v>
                </c:pt>
                <c:pt idx="111">
                  <c:v>3684.0888710863064</c:v>
                </c:pt>
                <c:pt idx="112">
                  <c:v>3235.6486546336878</c:v>
                </c:pt>
                <c:pt idx="113">
                  <c:v>3285.6043924098026</c:v>
                </c:pt>
                <c:pt idx="114">
                  <c:v>1763.5816057503134</c:v>
                </c:pt>
                <c:pt idx="115">
                  <c:v>3742.7319157099091</c:v>
                </c:pt>
                <c:pt idx="116">
                  <c:v>2984.1393052874564</c:v>
                </c:pt>
                <c:pt idx="117">
                  <c:v>3679.9883909867053</c:v>
                </c:pt>
                <c:pt idx="118">
                  <c:v>3102.3864525178869</c:v>
                </c:pt>
                <c:pt idx="119">
                  <c:v>2872.6101617987233</c:v>
                </c:pt>
                <c:pt idx="120">
                  <c:v>2712.3742219224787</c:v>
                </c:pt>
                <c:pt idx="121">
                  <c:v>3223.9634233621978</c:v>
                </c:pt>
                <c:pt idx="122">
                  <c:v>2559.7017342610138</c:v>
                </c:pt>
                <c:pt idx="123">
                  <c:v>4133.3429197278429</c:v>
                </c:pt>
                <c:pt idx="124">
                  <c:v>3558.7981814307918</c:v>
                </c:pt>
                <c:pt idx="125">
                  <c:v>3015.6065197154094</c:v>
                </c:pt>
                <c:pt idx="126">
                  <c:v>2970.089005868706</c:v>
                </c:pt>
                <c:pt idx="127">
                  <c:v>2704.4013317259996</c:v>
                </c:pt>
                <c:pt idx="128">
                  <c:v>2748.2096121202981</c:v>
                </c:pt>
                <c:pt idx="129">
                  <c:v>2803.0837739061112</c:v>
                </c:pt>
                <c:pt idx="130">
                  <c:v>3034.7903749269349</c:v>
                </c:pt>
                <c:pt idx="131">
                  <c:v>3115.3267374676229</c:v>
                </c:pt>
                <c:pt idx="132">
                  <c:v>3589.8077471018187</c:v>
                </c:pt>
                <c:pt idx="133">
                  <c:v>3484.3801919850343</c:v>
                </c:pt>
                <c:pt idx="134">
                  <c:v>3525.5544533480038</c:v>
                </c:pt>
                <c:pt idx="135">
                  <c:v>3637.7278523342452</c:v>
                </c:pt>
                <c:pt idx="136">
                  <c:v>2960.6802297251638</c:v>
                </c:pt>
                <c:pt idx="137">
                  <c:v>3655.5794046733713</c:v>
                </c:pt>
                <c:pt idx="138">
                  <c:v>3122.8040766637018</c:v>
                </c:pt>
                <c:pt idx="139">
                  <c:v>2383.8670555582444</c:v>
                </c:pt>
                <c:pt idx="140">
                  <c:v>3101.5133135396845</c:v>
                </c:pt>
                <c:pt idx="141">
                  <c:v>3491.0908755419377</c:v>
                </c:pt>
                <c:pt idx="142">
                  <c:v>3463.343126035636</c:v>
                </c:pt>
                <c:pt idx="143">
                  <c:v>2823.6856042392569</c:v>
                </c:pt>
                <c:pt idx="144">
                  <c:v>2760.1512201622149</c:v>
                </c:pt>
                <c:pt idx="145">
                  <c:v>2741.8184748245358</c:v>
                </c:pt>
                <c:pt idx="146">
                  <c:v>3820.7698185379882</c:v>
                </c:pt>
                <c:pt idx="147">
                  <c:v>2481.9098240714943</c:v>
                </c:pt>
                <c:pt idx="148">
                  <c:v>2286.6171644730894</c:v>
                </c:pt>
                <c:pt idx="149">
                  <c:v>3325.0205668558169</c:v>
                </c:pt>
                <c:pt idx="150">
                  <c:v>2917.7851982586703</c:v>
                </c:pt>
                <c:pt idx="151">
                  <c:v>3078.3995882356653</c:v>
                </c:pt>
                <c:pt idx="152">
                  <c:v>3012.1829213555038</c:v>
                </c:pt>
                <c:pt idx="153">
                  <c:v>3478.0322431727109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3-4A64-8461-5F7A21273A5F}"/>
            </c:ext>
          </c:extLst>
        </c:ser>
        <c:ser>
          <c:idx val="0"/>
          <c:order val="1"/>
          <c:tx>
            <c:v>45 degree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523-4A64-8461-5F7A21273A5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3-4A64-8461-5F7A21273A5F}"/>
              </c:ext>
            </c:extLst>
          </c:dPt>
          <c:xVal>
            <c:numLit>
              <c:formatCode>General</c:formatCode>
              <c:ptCount val="2"/>
              <c:pt idx="0">
                <c:v>100</c:v>
              </c:pt>
              <c:pt idx="1">
                <c:v>100000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523-4A64-8461-5F7A2127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logBase val="10"/>
          <c:orientation val="minMax"/>
          <c:max val="1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logBase val="10"/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Pressure Correlation (pb or pdew)</a:t>
            </a:r>
          </a:p>
          <a:p>
            <a:pPr>
              <a:defRPr/>
            </a:pPr>
            <a:r>
              <a:rPr lang="en-US"/>
              <a:t>eq. 25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2505249765335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693413247446"/>
          <c:y val="0.15510704999193412"/>
          <c:w val="0.71877974628171482"/>
          <c:h val="0.65067002041411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Bob!$M$22</c:f>
              <c:strCache>
                <c:ptCount val="1"/>
                <c:pt idx="0">
                  <c:v>Exponential-Rational Polynomial (16- coefficient)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Bob!$K$23:$K$149</c:f>
              <c:numCache>
                <c:formatCode>0.0000</c:formatCode>
                <c:ptCount val="127"/>
                <c:pt idx="0">
                  <c:v>1.1680999999999999</c:v>
                </c:pt>
                <c:pt idx="1">
                  <c:v>1.9055786070768399</c:v>
                </c:pt>
                <c:pt idx="2">
                  <c:v>1.5995999999999999</c:v>
                </c:pt>
                <c:pt idx="3">
                  <c:v>1.7246999999999999</c:v>
                </c:pt>
                <c:pt idx="4">
                  <c:v>1.5277000000000001</c:v>
                </c:pt>
                <c:pt idx="5">
                  <c:v>1.3649</c:v>
                </c:pt>
                <c:pt idx="6">
                  <c:v>1.4986911732675505</c:v>
                </c:pt>
                <c:pt idx="7">
                  <c:v>1.4924999999999999</c:v>
                </c:pt>
                <c:pt idx="8">
                  <c:v>1.6050995510203501</c:v>
                </c:pt>
                <c:pt idx="9">
                  <c:v>1.5653999999999999</c:v>
                </c:pt>
                <c:pt idx="10">
                  <c:v>1.88574002017762</c:v>
                </c:pt>
                <c:pt idx="11">
                  <c:v>1.905</c:v>
                </c:pt>
                <c:pt idx="12">
                  <c:v>2.032</c:v>
                </c:pt>
                <c:pt idx="13">
                  <c:v>1.3082</c:v>
                </c:pt>
                <c:pt idx="14">
                  <c:v>1.6618999999999999</c:v>
                </c:pt>
                <c:pt idx="15">
                  <c:v>1.4198</c:v>
                </c:pt>
                <c:pt idx="16">
                  <c:v>1.4476</c:v>
                </c:pt>
                <c:pt idx="17">
                  <c:v>1.3936999999999999</c:v>
                </c:pt>
                <c:pt idx="18">
                  <c:v>1.5153000000000001</c:v>
                </c:pt>
                <c:pt idx="19">
                  <c:v>2.1372361680955811</c:v>
                </c:pt>
                <c:pt idx="20">
                  <c:v>2.3553999999999999</c:v>
                </c:pt>
                <c:pt idx="21">
                  <c:v>2.2130739781586799</c:v>
                </c:pt>
                <c:pt idx="22">
                  <c:v>2.1920000000000002</c:v>
                </c:pt>
                <c:pt idx="23">
                  <c:v>1.8241000000000001</c:v>
                </c:pt>
                <c:pt idx="24">
                  <c:v>2.4154</c:v>
                </c:pt>
                <c:pt idx="25">
                  <c:v>2.1619999999999999</c:v>
                </c:pt>
                <c:pt idx="26">
                  <c:v>1.901</c:v>
                </c:pt>
                <c:pt idx="27">
                  <c:v>1.9545999999999999</c:v>
                </c:pt>
                <c:pt idx="28">
                  <c:v>2.1732999999999998</c:v>
                </c:pt>
                <c:pt idx="29">
                  <c:v>2.1798999999999999</c:v>
                </c:pt>
                <c:pt idx="30">
                  <c:v>1.7339</c:v>
                </c:pt>
                <c:pt idx="31">
                  <c:v>1.4036</c:v>
                </c:pt>
                <c:pt idx="32">
                  <c:v>1.3705000000000001</c:v>
                </c:pt>
                <c:pt idx="33">
                  <c:v>1.6789000000000001</c:v>
                </c:pt>
                <c:pt idx="34">
                  <c:v>2.2337833825723759</c:v>
                </c:pt>
                <c:pt idx="35">
                  <c:v>1.7010000000000001</c:v>
                </c:pt>
                <c:pt idx="36">
                  <c:v>5.1120000000000001</c:v>
                </c:pt>
                <c:pt idx="37">
                  <c:v>1.8231999999999999</c:v>
                </c:pt>
                <c:pt idx="38">
                  <c:v>1.8395999999999999</c:v>
                </c:pt>
                <c:pt idx="39">
                  <c:v>1.9789000000000001</c:v>
                </c:pt>
                <c:pt idx="40">
                  <c:v>1.7962</c:v>
                </c:pt>
                <c:pt idx="41">
                  <c:v>2.0244</c:v>
                </c:pt>
                <c:pt idx="42">
                  <c:v>1.8481000000000001</c:v>
                </c:pt>
                <c:pt idx="43">
                  <c:v>1.5330965401161434</c:v>
                </c:pt>
                <c:pt idx="44">
                  <c:v>1.3903466158085649</c:v>
                </c:pt>
                <c:pt idx="45">
                  <c:v>2.4142999999999999</c:v>
                </c:pt>
                <c:pt idx="46">
                  <c:v>2.4289999999999998</c:v>
                </c:pt>
                <c:pt idx="47">
                  <c:v>1.9510000000000001</c:v>
                </c:pt>
                <c:pt idx="48">
                  <c:v>1.99082731299834</c:v>
                </c:pt>
                <c:pt idx="49">
                  <c:v>1.5425604341844183</c:v>
                </c:pt>
                <c:pt idx="50">
                  <c:v>1.639</c:v>
                </c:pt>
                <c:pt idx="51">
                  <c:v>2.0020581987014658</c:v>
                </c:pt>
                <c:pt idx="52">
                  <c:v>1.657</c:v>
                </c:pt>
                <c:pt idx="53">
                  <c:v>1.2838000000000001</c:v>
                </c:pt>
                <c:pt idx="54">
                  <c:v>1.9897</c:v>
                </c:pt>
                <c:pt idx="55">
                  <c:v>2.4460000000000002</c:v>
                </c:pt>
                <c:pt idx="56">
                  <c:v>2.14764883740115</c:v>
                </c:pt>
                <c:pt idx="57">
                  <c:v>2.4930187474406478</c:v>
                </c:pt>
                <c:pt idx="58">
                  <c:v>3.1960000000000002</c:v>
                </c:pt>
                <c:pt idx="59">
                  <c:v>3.048</c:v>
                </c:pt>
                <c:pt idx="60">
                  <c:v>2.0635741274033896</c:v>
                </c:pt>
                <c:pt idx="61">
                  <c:v>1.8840719058200459</c:v>
                </c:pt>
                <c:pt idx="62">
                  <c:v>1.7521</c:v>
                </c:pt>
                <c:pt idx="63">
                  <c:v>2.7440000000000002</c:v>
                </c:pt>
                <c:pt idx="64">
                  <c:v>2.6800771815122393</c:v>
                </c:pt>
                <c:pt idx="65">
                  <c:v>2.0310990912762636</c:v>
                </c:pt>
                <c:pt idx="66">
                  <c:v>1.6715649852853085</c:v>
                </c:pt>
                <c:pt idx="67">
                  <c:v>1.9730000000000001</c:v>
                </c:pt>
                <c:pt idx="68">
                  <c:v>2.0019999999999998</c:v>
                </c:pt>
                <c:pt idx="69">
                  <c:v>1.8997852987184269</c:v>
                </c:pt>
                <c:pt idx="70">
                  <c:v>2.1421000000000001</c:v>
                </c:pt>
                <c:pt idx="71">
                  <c:v>2.2797000000000001</c:v>
                </c:pt>
                <c:pt idx="72">
                  <c:v>2.3198206028112054</c:v>
                </c:pt>
                <c:pt idx="73">
                  <c:v>2.14110065649654</c:v>
                </c:pt>
                <c:pt idx="74" formatCode="General">
                  <c:v>2.1539999999999999</c:v>
                </c:pt>
                <c:pt idx="75">
                  <c:v>2.0062134571101491</c:v>
                </c:pt>
                <c:pt idx="76">
                  <c:v>1.6970000000000001</c:v>
                </c:pt>
                <c:pt idx="77">
                  <c:v>1.99739661192361</c:v>
                </c:pt>
                <c:pt idx="78">
                  <c:v>1.5429999999999999</c:v>
                </c:pt>
                <c:pt idx="79">
                  <c:v>1.427</c:v>
                </c:pt>
                <c:pt idx="80">
                  <c:v>1.45</c:v>
                </c:pt>
                <c:pt idx="81">
                  <c:v>1.4550000000000001</c:v>
                </c:pt>
                <c:pt idx="82">
                  <c:v>1.2956000000000001</c:v>
                </c:pt>
                <c:pt idx="83">
                  <c:v>1.2822</c:v>
                </c:pt>
                <c:pt idx="84">
                  <c:v>1.712</c:v>
                </c:pt>
                <c:pt idx="85">
                  <c:v>1.5860000000000001</c:v>
                </c:pt>
                <c:pt idx="86">
                  <c:v>1.6619999999999999</c:v>
                </c:pt>
                <c:pt idx="87">
                  <c:v>1.2887999999999999</c:v>
                </c:pt>
                <c:pt idx="88">
                  <c:v>1.7509999999999999</c:v>
                </c:pt>
                <c:pt idx="89">
                  <c:v>1.488</c:v>
                </c:pt>
                <c:pt idx="90">
                  <c:v>1.7769999999999999</c:v>
                </c:pt>
                <c:pt idx="91">
                  <c:v>1.5229999999999999</c:v>
                </c:pt>
                <c:pt idx="92">
                  <c:v>1.4717</c:v>
                </c:pt>
                <c:pt idx="93">
                  <c:v>1.4186000000000001</c:v>
                </c:pt>
                <c:pt idx="94">
                  <c:v>1.649</c:v>
                </c:pt>
                <c:pt idx="95">
                  <c:v>1.4</c:v>
                </c:pt>
                <c:pt idx="96">
                  <c:v>1.98</c:v>
                </c:pt>
                <c:pt idx="97">
                  <c:v>1.7769999999999999</c:v>
                </c:pt>
                <c:pt idx="98">
                  <c:v>1.6372</c:v>
                </c:pt>
                <c:pt idx="99">
                  <c:v>1.5669999999999999</c:v>
                </c:pt>
                <c:pt idx="100">
                  <c:v>1.5273526321529347</c:v>
                </c:pt>
                <c:pt idx="101">
                  <c:v>1.5162559439861154</c:v>
                </c:pt>
                <c:pt idx="102">
                  <c:v>1.5156247720052562</c:v>
                </c:pt>
                <c:pt idx="103">
                  <c:v>1.4500573550223188</c:v>
                </c:pt>
                <c:pt idx="104">
                  <c:v>1.5479636439197559</c:v>
                </c:pt>
                <c:pt idx="105">
                  <c:v>1.7046470189183824</c:v>
                </c:pt>
                <c:pt idx="106">
                  <c:v>1.69395136437296</c:v>
                </c:pt>
                <c:pt idx="107">
                  <c:v>1.6861166770295233</c:v>
                </c:pt>
                <c:pt idx="108">
                  <c:v>1.9659859874729206</c:v>
                </c:pt>
                <c:pt idx="109">
                  <c:v>1.5015039137706185</c:v>
                </c:pt>
                <c:pt idx="110">
                  <c:v>1.9542207314204327</c:v>
                </c:pt>
                <c:pt idx="111">
                  <c:v>1.60545129758015</c:v>
                </c:pt>
                <c:pt idx="112">
                  <c:v>1.3793</c:v>
                </c:pt>
                <c:pt idx="113">
                  <c:v>2.008</c:v>
                </c:pt>
                <c:pt idx="114">
                  <c:v>2.4543779368789083</c:v>
                </c:pt>
                <c:pt idx="115">
                  <c:v>2.6244769978515015</c:v>
                </c:pt>
                <c:pt idx="116">
                  <c:v>1.9114061086963996</c:v>
                </c:pt>
                <c:pt idx="117">
                  <c:v>1.9198054319023261</c:v>
                </c:pt>
                <c:pt idx="118">
                  <c:v>1.8679349568299397</c:v>
                </c:pt>
                <c:pt idx="119">
                  <c:v>2.8817680081356842</c:v>
                </c:pt>
                <c:pt idx="120">
                  <c:v>1.6846951018052452</c:v>
                </c:pt>
                <c:pt idx="121">
                  <c:v>1.5865404013686017</c:v>
                </c:pt>
                <c:pt idx="122">
                  <c:v>1.93272514077489</c:v>
                </c:pt>
                <c:pt idx="123">
                  <c:v>1.7486462426644702</c:v>
                </c:pt>
                <c:pt idx="124">
                  <c:v>1.8582176927835234</c:v>
                </c:pt>
                <c:pt idx="125">
                  <c:v>1.8594969644768309</c:v>
                </c:pt>
                <c:pt idx="126">
                  <c:v>2.2355892603576124</c:v>
                </c:pt>
              </c:numCache>
            </c:numRef>
          </c:xVal>
          <c:yVal>
            <c:numRef>
              <c:f>Bob!$M$23:$M$149</c:f>
              <c:numCache>
                <c:formatCode>General</c:formatCode>
                <c:ptCount val="127"/>
                <c:pt idx="0">
                  <c:v>1.0680015418675861</c:v>
                </c:pt>
                <c:pt idx="1">
                  <c:v>1.932458582603195</c:v>
                </c:pt>
                <c:pt idx="2">
                  <c:v>1.601872494580338</c:v>
                </c:pt>
                <c:pt idx="3">
                  <c:v>1.7194821250756362</c:v>
                </c:pt>
                <c:pt idx="4">
                  <c:v>1.5289503320594229</c:v>
                </c:pt>
                <c:pt idx="5">
                  <c:v>1.8367600220443385</c:v>
                </c:pt>
                <c:pt idx="6">
                  <c:v>1.5032035537582458</c:v>
                </c:pt>
                <c:pt idx="7">
                  <c:v>1.4926820799333427</c:v>
                </c:pt>
                <c:pt idx="8">
                  <c:v>1.6357434402870437</c:v>
                </c:pt>
                <c:pt idx="9">
                  <c:v>1.5779274927593387</c:v>
                </c:pt>
                <c:pt idx="10">
                  <c:v>1.907444265586222</c:v>
                </c:pt>
                <c:pt idx="11">
                  <c:v>1.8765515727623678</c:v>
                </c:pt>
                <c:pt idx="12">
                  <c:v>2.0150667430027425</c:v>
                </c:pt>
                <c:pt idx="13">
                  <c:v>1.3146162698501507</c:v>
                </c:pt>
                <c:pt idx="14">
                  <c:v>1.6799228361851353</c:v>
                </c:pt>
                <c:pt idx="15">
                  <c:v>1.4434207600686912</c:v>
                </c:pt>
                <c:pt idx="16">
                  <c:v>1.4558581059413982</c:v>
                </c:pt>
                <c:pt idx="17">
                  <c:v>1.4084890911022772</c:v>
                </c:pt>
                <c:pt idx="18">
                  <c:v>1.5429464424983885</c:v>
                </c:pt>
                <c:pt idx="19">
                  <c:v>2.1333229895771777</c:v>
                </c:pt>
                <c:pt idx="20">
                  <c:v>2.4062742186834103</c:v>
                </c:pt>
                <c:pt idx="21">
                  <c:v>2.212027719918328</c:v>
                </c:pt>
                <c:pt idx="22">
                  <c:v>2.1056353897234366</c:v>
                </c:pt>
                <c:pt idx="23">
                  <c:v>1.8069764566006088</c:v>
                </c:pt>
                <c:pt idx="24">
                  <c:v>2.3520840131513734</c:v>
                </c:pt>
                <c:pt idx="25">
                  <c:v>2.0956153133908226</c:v>
                </c:pt>
                <c:pt idx="26">
                  <c:v>1.8755719662101069</c:v>
                </c:pt>
                <c:pt idx="27">
                  <c:v>1.9057890185641511</c:v>
                </c:pt>
                <c:pt idx="28">
                  <c:v>2.123454954297769</c:v>
                </c:pt>
                <c:pt idx="29">
                  <c:v>2.1459472919211957</c:v>
                </c:pt>
                <c:pt idx="30">
                  <c:v>1.7314668102599198</c:v>
                </c:pt>
                <c:pt idx="31">
                  <c:v>1.4139485586998988</c:v>
                </c:pt>
                <c:pt idx="32">
                  <c:v>1.394003043706965</c:v>
                </c:pt>
                <c:pt idx="33">
                  <c:v>1.6623315797484151</c:v>
                </c:pt>
                <c:pt idx="34">
                  <c:v>2.282011145627215</c:v>
                </c:pt>
                <c:pt idx="35">
                  <c:v>1.7010525541402444</c:v>
                </c:pt>
                <c:pt idx="36">
                  <c:v>5.1179786213197804</c:v>
                </c:pt>
                <c:pt idx="37">
                  <c:v>1.8060767688554253</c:v>
                </c:pt>
                <c:pt idx="38">
                  <c:v>1.8154483677996576</c:v>
                </c:pt>
                <c:pt idx="39">
                  <c:v>1.9363425107454055</c:v>
                </c:pt>
                <c:pt idx="40">
                  <c:v>1.7757592630868146</c:v>
                </c:pt>
                <c:pt idx="41">
                  <c:v>2.0293407881867696</c:v>
                </c:pt>
                <c:pt idx="42">
                  <c:v>1.8314315064980438</c:v>
                </c:pt>
                <c:pt idx="43">
                  <c:v>1.5558163411818711</c:v>
                </c:pt>
                <c:pt idx="44">
                  <c:v>1.3892973574967957</c:v>
                </c:pt>
                <c:pt idx="45">
                  <c:v>2.403070036974273</c:v>
                </c:pt>
                <c:pt idx="46">
                  <c:v>2.406791745843901</c:v>
                </c:pt>
                <c:pt idx="47">
                  <c:v>1.919442961427928</c:v>
                </c:pt>
                <c:pt idx="48">
                  <c:v>2.0073989535908674</c:v>
                </c:pt>
                <c:pt idx="49">
                  <c:v>1.5412950146951629</c:v>
                </c:pt>
                <c:pt idx="50">
                  <c:v>1.6420684348319339</c:v>
                </c:pt>
                <c:pt idx="51">
                  <c:v>1.9306071133632743</c:v>
                </c:pt>
                <c:pt idx="52">
                  <c:v>1.6715057752040008</c:v>
                </c:pt>
                <c:pt idx="53">
                  <c:v>1.2263481070499616</c:v>
                </c:pt>
                <c:pt idx="54">
                  <c:v>1.9914480571849476</c:v>
                </c:pt>
                <c:pt idx="55">
                  <c:v>2.418341743562801</c:v>
                </c:pt>
                <c:pt idx="56">
                  <c:v>2.1826316984879859</c:v>
                </c:pt>
                <c:pt idx="57">
                  <c:v>2.57757632183867</c:v>
                </c:pt>
                <c:pt idx="58">
                  <c:v>3.2380348665286514</c:v>
                </c:pt>
                <c:pt idx="59">
                  <c:v>3.0471281287172096</c:v>
                </c:pt>
                <c:pt idx="60">
                  <c:v>2.0443769874135516</c:v>
                </c:pt>
                <c:pt idx="61">
                  <c:v>1.9000889857049381</c:v>
                </c:pt>
                <c:pt idx="62">
                  <c:v>1.7463340667475593</c:v>
                </c:pt>
                <c:pt idx="63">
                  <c:v>2.6981135143335058</c:v>
                </c:pt>
                <c:pt idx="64">
                  <c:v>2.5965205318696927</c:v>
                </c:pt>
                <c:pt idx="65">
                  <c:v>2.0641907670311261</c:v>
                </c:pt>
                <c:pt idx="66">
                  <c:v>1.7030178522344792</c:v>
                </c:pt>
                <c:pt idx="67">
                  <c:v>1.9881542371453997</c:v>
                </c:pt>
                <c:pt idx="68">
                  <c:v>2.0181707327370502</c:v>
                </c:pt>
                <c:pt idx="69">
                  <c:v>1.9084215617881046</c:v>
                </c:pt>
                <c:pt idx="70">
                  <c:v>2.1437482013281239</c:v>
                </c:pt>
                <c:pt idx="71">
                  <c:v>2.239393031830379</c:v>
                </c:pt>
                <c:pt idx="72">
                  <c:v>2.3037214445047702</c:v>
                </c:pt>
                <c:pt idx="73">
                  <c:v>2.1411020314146452</c:v>
                </c:pt>
                <c:pt idx="74">
                  <c:v>2.0918667373626447</c:v>
                </c:pt>
                <c:pt idx="75">
                  <c:v>1.9413983452439689</c:v>
                </c:pt>
                <c:pt idx="76">
                  <c:v>1.7257636451966465</c:v>
                </c:pt>
                <c:pt idx="77">
                  <c:v>2.0220024307915851</c:v>
                </c:pt>
                <c:pt idx="78">
                  <c:v>1.5814881165389758</c:v>
                </c:pt>
                <c:pt idx="79">
                  <c:v>1.4537870916223017</c:v>
                </c:pt>
                <c:pt idx="80">
                  <c:v>1.4606475090869873</c:v>
                </c:pt>
                <c:pt idx="81">
                  <c:v>1.4785516753598136</c:v>
                </c:pt>
                <c:pt idx="82">
                  <c:v>1.2925190762780285</c:v>
                </c:pt>
                <c:pt idx="83">
                  <c:v>1.2826993873259771</c:v>
                </c:pt>
                <c:pt idx="84">
                  <c:v>1.7388878321479426</c:v>
                </c:pt>
                <c:pt idx="85">
                  <c:v>1.6086181897560343</c:v>
                </c:pt>
                <c:pt idx="86">
                  <c:v>1.6430162626403433</c:v>
                </c:pt>
                <c:pt idx="87">
                  <c:v>1.2890840896730209</c:v>
                </c:pt>
                <c:pt idx="88">
                  <c:v>1.7740787916334944</c:v>
                </c:pt>
                <c:pt idx="89">
                  <c:v>1.514036604310915</c:v>
                </c:pt>
                <c:pt idx="90">
                  <c:v>1.8037868451941033</c:v>
                </c:pt>
                <c:pt idx="91">
                  <c:v>1.5457200560602182</c:v>
                </c:pt>
                <c:pt idx="92">
                  <c:v>1.4737255252274037</c:v>
                </c:pt>
                <c:pt idx="93">
                  <c:v>1.4335507868228139</c:v>
                </c:pt>
                <c:pt idx="94">
                  <c:v>1.6341585409262247</c:v>
                </c:pt>
                <c:pt idx="95">
                  <c:v>1.4113291155631384</c:v>
                </c:pt>
                <c:pt idx="96">
                  <c:v>2.0111037506679792</c:v>
                </c:pt>
                <c:pt idx="97">
                  <c:v>1.8061588023566382</c:v>
                </c:pt>
                <c:pt idx="98">
                  <c:v>1.6205954786291168</c:v>
                </c:pt>
                <c:pt idx="99">
                  <c:v>1.5962754050273105</c:v>
                </c:pt>
                <c:pt idx="100">
                  <c:v>1.5202085286040028</c:v>
                </c:pt>
                <c:pt idx="101">
                  <c:v>1.5181464710107093</c:v>
                </c:pt>
                <c:pt idx="102">
                  <c:v>1.5209564307319041</c:v>
                </c:pt>
                <c:pt idx="103">
                  <c:v>1.4283603168569525</c:v>
                </c:pt>
                <c:pt idx="104">
                  <c:v>1.5471485141716812</c:v>
                </c:pt>
                <c:pt idx="105">
                  <c:v>1.7106700494679883</c:v>
                </c:pt>
                <c:pt idx="106">
                  <c:v>1.7086062184096167</c:v>
                </c:pt>
                <c:pt idx="107">
                  <c:v>1.6825832468181432</c:v>
                </c:pt>
                <c:pt idx="108">
                  <c:v>1.9791820291297058</c:v>
                </c:pt>
                <c:pt idx="109">
                  <c:v>1.5123854762518678</c:v>
                </c:pt>
                <c:pt idx="110">
                  <c:v>1.972412112171928</c:v>
                </c:pt>
                <c:pt idx="111">
                  <c:v>1.6050867693016806</c:v>
                </c:pt>
                <c:pt idx="112">
                  <c:v>1.394363800746717</c:v>
                </c:pt>
                <c:pt idx="113">
                  <c:v>2.0131136988705682</c:v>
                </c:pt>
                <c:pt idx="114">
                  <c:v>2.5330821648820989</c:v>
                </c:pt>
                <c:pt idx="115">
                  <c:v>2.5207913749651816</c:v>
                </c:pt>
                <c:pt idx="116">
                  <c:v>1.9187564470173299</c:v>
                </c:pt>
                <c:pt idx="117">
                  <c:v>1.9098339153672772</c:v>
                </c:pt>
                <c:pt idx="118">
                  <c:v>1.8481629950235523</c:v>
                </c:pt>
                <c:pt idx="119">
                  <c:v>2.9122125070465015</c:v>
                </c:pt>
                <c:pt idx="120">
                  <c:v>1.6706421511955971</c:v>
                </c:pt>
                <c:pt idx="121">
                  <c:v>1.5704871616470009</c:v>
                </c:pt>
                <c:pt idx="122">
                  <c:v>1.9533011510426268</c:v>
                </c:pt>
                <c:pt idx="123">
                  <c:v>1.7915302807592945</c:v>
                </c:pt>
                <c:pt idx="124">
                  <c:v>1.8510809471721519</c:v>
                </c:pt>
                <c:pt idx="125">
                  <c:v>1.8492670820783459</c:v>
                </c:pt>
                <c:pt idx="126">
                  <c:v>2.2091311463074228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B-4DA7-B274-67D09C5445DA}"/>
            </c:ext>
          </c:extLst>
        </c:ser>
        <c:ser>
          <c:idx val="0"/>
          <c:order val="1"/>
          <c:tx>
            <c:v>45 degree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ADB-4DA7-B274-67D09C5445D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15000"/>
                    <a:lumOff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B-4DA7-B274-67D09C5445DA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ADB-4DA7-B274-67D09C54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0607"/>
        <c:axId val="605457695"/>
      </c:scatterChart>
      <c:valAx>
        <c:axId val="605460607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7695"/>
        <c:crosses val="autoZero"/>
        <c:crossBetween val="midCat"/>
      </c:valAx>
      <c:valAx>
        <c:axId val="60545769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9</xdr:col>
      <xdr:colOff>647700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F05B3-E664-4030-896C-F434F569F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28575</xdr:rowOff>
    </xdr:from>
    <xdr:to>
      <xdr:col>15</xdr:col>
      <xdr:colOff>171449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B16BD-6F8E-4954-BE8A-8218157D1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28575</xdr:rowOff>
    </xdr:from>
    <xdr:to>
      <xdr:col>15</xdr:col>
      <xdr:colOff>171449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1444F-8F56-4549-AF1D-8601CA0EA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0</xdr:row>
      <xdr:rowOff>95250</xdr:rowOff>
    </xdr:from>
    <xdr:to>
      <xdr:col>7</xdr:col>
      <xdr:colOff>685799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102A9-A1DC-4F86-8A78-388AD6696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85E2-9343-4879-9C86-5B68845C5971}">
  <dimension ref="A1:T176"/>
  <sheetViews>
    <sheetView workbookViewId="0">
      <selection activeCell="C5" sqref="C5"/>
    </sheetView>
  </sheetViews>
  <sheetFormatPr defaultRowHeight="15" x14ac:dyDescent="0.25"/>
  <cols>
    <col min="1" max="1" width="9.42578125" style="20" bestFit="1" customWidth="1"/>
    <col min="2" max="2" width="32.5703125" style="20" bestFit="1" customWidth="1"/>
    <col min="3" max="3" width="19.140625" style="20" customWidth="1"/>
    <col min="4" max="4" width="27" style="20" customWidth="1"/>
    <col min="5" max="5" width="26.42578125" style="20" customWidth="1"/>
    <col min="6" max="6" width="26.42578125" style="20" bestFit="1" customWidth="1"/>
    <col min="7" max="7" width="18.42578125" bestFit="1" customWidth="1"/>
    <col min="9" max="9" width="11.42578125" customWidth="1"/>
    <col min="11" max="11" width="5" customWidth="1"/>
    <col min="12" max="12" width="29.28515625" bestFit="1" customWidth="1"/>
    <col min="14" max="14" width="18" bestFit="1" customWidth="1"/>
    <col min="15" max="15" width="12" bestFit="1" customWidth="1"/>
    <col min="16" max="16" width="11.140625" bestFit="1" customWidth="1"/>
    <col min="19" max="19" width="18.42578125" bestFit="1" customWidth="1"/>
  </cols>
  <sheetData>
    <row r="1" spans="1:13" x14ac:dyDescent="0.25">
      <c r="A1" s="35" t="s">
        <v>5</v>
      </c>
      <c r="B1" s="36"/>
      <c r="E1"/>
      <c r="F1"/>
      <c r="L1" s="37" t="s">
        <v>6</v>
      </c>
      <c r="M1" s="37"/>
    </row>
    <row r="2" spans="1:13" x14ac:dyDescent="0.25">
      <c r="A2" s="21" t="s">
        <v>7</v>
      </c>
      <c r="B2" s="22">
        <v>9.0210000000000008</v>
      </c>
      <c r="E2"/>
      <c r="F2"/>
      <c r="L2" s="23">
        <v>100</v>
      </c>
      <c r="M2" s="23">
        <v>100</v>
      </c>
    </row>
    <row r="3" spans="1:13" x14ac:dyDescent="0.25">
      <c r="A3" s="21" t="s">
        <v>8</v>
      </c>
      <c r="B3" s="22">
        <v>-0.11899999999999999</v>
      </c>
      <c r="E3"/>
      <c r="F3"/>
      <c r="L3" s="23">
        <v>100000</v>
      </c>
      <c r="M3" s="23">
        <v>100000</v>
      </c>
    </row>
    <row r="4" spans="1:13" x14ac:dyDescent="0.25">
      <c r="A4" s="21" t="s">
        <v>9</v>
      </c>
      <c r="B4" s="22">
        <v>2.2210000000000001</v>
      </c>
      <c r="E4"/>
      <c r="F4"/>
    </row>
    <row r="5" spans="1:13" x14ac:dyDescent="0.25">
      <c r="A5" s="21" t="s">
        <v>10</v>
      </c>
      <c r="B5" s="22">
        <v>-0.53100000000000003</v>
      </c>
      <c r="E5"/>
      <c r="F5"/>
    </row>
    <row r="6" spans="1:13" x14ac:dyDescent="0.25">
      <c r="A6" s="21" t="s">
        <v>11</v>
      </c>
      <c r="B6" s="22">
        <v>0.14399999999999999</v>
      </c>
      <c r="E6"/>
      <c r="F6"/>
    </row>
    <row r="7" spans="1:13" x14ac:dyDescent="0.25">
      <c r="A7" s="21" t="s">
        <v>12</v>
      </c>
      <c r="B7" s="22">
        <v>-1.8419999999999999E-2</v>
      </c>
      <c r="E7"/>
      <c r="F7"/>
    </row>
    <row r="8" spans="1:13" x14ac:dyDescent="0.25">
      <c r="A8" s="21" t="s">
        <v>13</v>
      </c>
      <c r="B8" s="22">
        <v>12.802</v>
      </c>
      <c r="E8"/>
      <c r="F8"/>
    </row>
    <row r="9" spans="1:13" x14ac:dyDescent="0.25">
      <c r="A9" s="21" t="s">
        <v>14</v>
      </c>
      <c r="B9" s="22">
        <v>8.3089999999999993</v>
      </c>
      <c r="E9"/>
      <c r="F9"/>
    </row>
    <row r="10" spans="1:13" x14ac:dyDescent="0.25">
      <c r="E10"/>
      <c r="F10"/>
    </row>
    <row r="11" spans="1:13" x14ac:dyDescent="0.25">
      <c r="E11"/>
      <c r="F11"/>
    </row>
    <row r="12" spans="1:13" x14ac:dyDescent="0.25">
      <c r="E12"/>
      <c r="F12"/>
    </row>
    <row r="13" spans="1:13" x14ac:dyDescent="0.25">
      <c r="E13"/>
      <c r="F13"/>
    </row>
    <row r="14" spans="1:13" x14ac:dyDescent="0.25">
      <c r="E14"/>
      <c r="F14"/>
    </row>
    <row r="15" spans="1:13" x14ac:dyDescent="0.25">
      <c r="E15"/>
      <c r="F15"/>
    </row>
    <row r="16" spans="1:13" x14ac:dyDescent="0.25">
      <c r="E16"/>
      <c r="F16"/>
    </row>
    <row r="17" spans="1:20" x14ac:dyDescent="0.25">
      <c r="E17"/>
      <c r="F17"/>
    </row>
    <row r="18" spans="1:20" x14ac:dyDescent="0.25">
      <c r="D18" s="21"/>
      <c r="E18" s="22"/>
      <c r="F18"/>
    </row>
    <row r="19" spans="1:20" x14ac:dyDescent="0.25">
      <c r="F19" s="21"/>
      <c r="G19" s="22"/>
    </row>
    <row r="20" spans="1:20" x14ac:dyDescent="0.25">
      <c r="F20" s="21"/>
      <c r="G20" s="22"/>
    </row>
    <row r="21" spans="1:20" ht="31.5" x14ac:dyDescent="0.25"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L21" s="21" t="s">
        <v>20</v>
      </c>
      <c r="N21" s="38" t="s">
        <v>21</v>
      </c>
      <c r="O21" s="38"/>
      <c r="P21" s="38"/>
      <c r="Q21" s="38"/>
      <c r="S21" s="38" t="s">
        <v>22</v>
      </c>
      <c r="T21" s="38"/>
    </row>
    <row r="22" spans="1:20" ht="31.5" x14ac:dyDescent="0.25">
      <c r="A22" s="2" t="s">
        <v>23</v>
      </c>
      <c r="B22" s="2" t="s">
        <v>3</v>
      </c>
      <c r="C22" s="5" t="s">
        <v>1</v>
      </c>
      <c r="D22" s="2" t="s">
        <v>4</v>
      </c>
      <c r="E22" s="2" t="s">
        <v>0</v>
      </c>
      <c r="F22" s="2" t="s">
        <v>2</v>
      </c>
      <c r="G22" s="19" t="s">
        <v>24</v>
      </c>
      <c r="H22" s="19" t="s">
        <v>25</v>
      </c>
      <c r="I22" s="19" t="s">
        <v>26</v>
      </c>
      <c r="J22" s="19" t="s">
        <v>27</v>
      </c>
      <c r="L22" s="24" t="s">
        <v>28</v>
      </c>
      <c r="N22" s="19" t="s">
        <v>29</v>
      </c>
      <c r="O22" s="19" t="s">
        <v>30</v>
      </c>
      <c r="P22" s="19" t="s">
        <v>31</v>
      </c>
      <c r="Q22" s="25">
        <f>SUM(P23:P176)</f>
        <v>4.2002610866650887</v>
      </c>
      <c r="S22" t="s">
        <v>32</v>
      </c>
      <c r="T22">
        <f>SUM(S23:S176)*100/COUNT(S23:S176)</f>
        <v>7.9860743944563826</v>
      </c>
    </row>
    <row r="23" spans="1:20" ht="15.75" x14ac:dyDescent="0.3">
      <c r="A23" s="20">
        <v>1</v>
      </c>
      <c r="B23" s="17">
        <v>174</v>
      </c>
      <c r="C23" s="3">
        <v>46.658961138443573</v>
      </c>
      <c r="D23" s="8">
        <v>0.83574909006792664</v>
      </c>
      <c r="E23" s="9">
        <v>1667.7686823505701</v>
      </c>
      <c r="F23" s="4">
        <v>3501</v>
      </c>
      <c r="G23">
        <f t="shared" ref="G23:J54" si="0">LN(B23)</f>
        <v>5.1590552992145291</v>
      </c>
      <c r="H23">
        <f t="shared" si="0"/>
        <v>3.8428650018457171</v>
      </c>
      <c r="I23">
        <f t="shared" si="0"/>
        <v>-0.17942684244360266</v>
      </c>
      <c r="J23">
        <f t="shared" si="0"/>
        <v>7.4192418936558395</v>
      </c>
      <c r="L23">
        <f t="shared" ref="L23:L54" si="1">EXP(
(_C1_exp8+_C2_exp8*G23)/
(1+(_C3_exp8+_C4_exp8*H23)*(_C5_exp8+_C6_exp8*J23)*(_C7_exp8+_C8_exp8*I23)))</f>
        <v>3956.1555698248208</v>
      </c>
      <c r="N23">
        <f t="shared" ref="N23:N86" si="2">LN(F23)</f>
        <v>8.160803920954665</v>
      </c>
      <c r="O23">
        <f t="shared" ref="O23:O86" si="3">LN(L23)</f>
        <v>8.2830280170009463</v>
      </c>
      <c r="P23">
        <f>(N23-O23)^2</f>
        <v>1.4938729654330586E-2</v>
      </c>
      <c r="S23">
        <f>ABS((F23-L23)/L23)</f>
        <v>0.11504996752313638</v>
      </c>
    </row>
    <row r="24" spans="1:20" ht="15.75" x14ac:dyDescent="0.3">
      <c r="A24" s="20">
        <v>2</v>
      </c>
      <c r="B24" s="17">
        <v>159</v>
      </c>
      <c r="C24" s="3">
        <v>42.1</v>
      </c>
      <c r="D24" s="8">
        <f>(3011*1.0461*0.7329+24*1.0283+15*1.3503)/(3011*1.0461+39)</f>
        <v>0.73802749736413975</v>
      </c>
      <c r="E24" s="9">
        <f>(3011*1.0461+39)</f>
        <v>3188.8071</v>
      </c>
      <c r="F24" s="4">
        <v>6415</v>
      </c>
      <c r="G24">
        <f t="shared" si="0"/>
        <v>5.0689042022202315</v>
      </c>
      <c r="H24">
        <f t="shared" si="0"/>
        <v>3.7400477406883357</v>
      </c>
      <c r="I24">
        <f t="shared" si="0"/>
        <v>-0.30377419577477272</v>
      </c>
      <c r="J24">
        <f t="shared" si="0"/>
        <v>8.0674021759989518</v>
      </c>
      <c r="L24">
        <f t="shared" si="1"/>
        <v>4976.2061271332041</v>
      </c>
      <c r="N24">
        <f t="shared" si="2"/>
        <v>8.7663942770497361</v>
      </c>
      <c r="O24">
        <f t="shared" si="3"/>
        <v>8.512423057824158</v>
      </c>
      <c r="P24">
        <f t="shared" ref="P24:P87" si="4">(N24-O24)^2</f>
        <v>6.4501380194926641E-2</v>
      </c>
      <c r="S24">
        <f t="shared" ref="S24:S87" si="5">ABS((F24-L24)/L24)</f>
        <v>0.28913470143884212</v>
      </c>
    </row>
    <row r="25" spans="1:20" ht="15.75" x14ac:dyDescent="0.3">
      <c r="A25" s="20">
        <v>3</v>
      </c>
      <c r="B25" s="17">
        <v>157</v>
      </c>
      <c r="C25" s="3">
        <v>44.23</v>
      </c>
      <c r="D25" s="8">
        <v>0.8500077412459377</v>
      </c>
      <c r="E25" s="9">
        <v>1133.4462691607539</v>
      </c>
      <c r="F25" s="4">
        <v>3265</v>
      </c>
      <c r="G25">
        <f t="shared" si="0"/>
        <v>5.0562458053483077</v>
      </c>
      <c r="H25">
        <f t="shared" si="0"/>
        <v>3.7894032918802352</v>
      </c>
      <c r="I25">
        <f t="shared" si="0"/>
        <v>-0.16250982219108456</v>
      </c>
      <c r="J25">
        <f t="shared" si="0"/>
        <v>7.0330180662309738</v>
      </c>
      <c r="L25">
        <f t="shared" si="1"/>
        <v>3422.2463736965233</v>
      </c>
      <c r="N25">
        <f t="shared" si="2"/>
        <v>8.0910150417105307</v>
      </c>
      <c r="O25">
        <f t="shared" si="3"/>
        <v>8.1380524488495283</v>
      </c>
      <c r="P25">
        <f t="shared" si="4"/>
        <v>2.2125176703598243E-3</v>
      </c>
      <c r="S25">
        <f t="shared" si="5"/>
        <v>4.5948291422009561E-2</v>
      </c>
    </row>
    <row r="26" spans="1:20" ht="15.75" x14ac:dyDescent="0.3">
      <c r="A26" s="20">
        <v>4</v>
      </c>
      <c r="B26" s="17">
        <v>190</v>
      </c>
      <c r="C26" s="3">
        <v>51.48</v>
      </c>
      <c r="D26" s="8">
        <f>(7899*1.0611*0.742+23*0.9619+19*1.4441)/(7899*1.0611+41)</f>
        <v>0.74427240214750523</v>
      </c>
      <c r="E26" s="9">
        <f>(7899*1.0611+41)</f>
        <v>8422.6288999999997</v>
      </c>
      <c r="F26" s="4">
        <v>5575</v>
      </c>
      <c r="G26">
        <f t="shared" si="0"/>
        <v>5.2470240721604862</v>
      </c>
      <c r="H26">
        <f t="shared" si="0"/>
        <v>3.941193382727926</v>
      </c>
      <c r="I26">
        <f t="shared" si="0"/>
        <v>-0.2953481792402905</v>
      </c>
      <c r="J26">
        <f t="shared" si="0"/>
        <v>9.0386772794081818</v>
      </c>
      <c r="L26">
        <f t="shared" si="1"/>
        <v>5738.2396047891307</v>
      </c>
      <c r="N26">
        <f t="shared" si="2"/>
        <v>8.6260475963283199</v>
      </c>
      <c r="O26">
        <f t="shared" si="3"/>
        <v>8.6549077532137773</v>
      </c>
      <c r="P26">
        <f t="shared" si="4"/>
        <v>8.3290865545321421E-4</v>
      </c>
      <c r="S26">
        <f t="shared" si="5"/>
        <v>2.8447680130486538E-2</v>
      </c>
    </row>
    <row r="27" spans="1:20" ht="15.75" x14ac:dyDescent="0.3">
      <c r="A27" s="20">
        <v>5</v>
      </c>
      <c r="B27" s="17">
        <v>153</v>
      </c>
      <c r="C27" s="3">
        <v>45.07</v>
      </c>
      <c r="D27" s="8">
        <v>0.84958189781021909</v>
      </c>
      <c r="E27" s="9">
        <v>1371</v>
      </c>
      <c r="F27" s="4">
        <v>3415</v>
      </c>
      <c r="G27">
        <f t="shared" si="0"/>
        <v>5.0304379213924353</v>
      </c>
      <c r="H27">
        <f t="shared" si="0"/>
        <v>3.8082168367025568</v>
      </c>
      <c r="I27">
        <f t="shared" si="0"/>
        <v>-0.16301093544200598</v>
      </c>
      <c r="J27">
        <f t="shared" si="0"/>
        <v>7.2232956795623142</v>
      </c>
      <c r="L27">
        <f t="shared" si="1"/>
        <v>3705.6630758025162</v>
      </c>
      <c r="N27">
        <f t="shared" si="2"/>
        <v>8.1359327720048906</v>
      </c>
      <c r="O27">
        <f t="shared" si="3"/>
        <v>8.2176174895452956</v>
      </c>
      <c r="P27">
        <f t="shared" si="4"/>
        <v>6.6723930796557416E-3</v>
      </c>
      <c r="S27">
        <f t="shared" si="5"/>
        <v>7.8437534621133578E-2</v>
      </c>
    </row>
    <row r="28" spans="1:20" ht="15.75" x14ac:dyDescent="0.3">
      <c r="A28" s="20">
        <v>6</v>
      </c>
      <c r="B28" s="17">
        <v>156</v>
      </c>
      <c r="C28" s="3">
        <v>41.5</v>
      </c>
      <c r="D28" s="8">
        <v>0.84233779366700712</v>
      </c>
      <c r="E28" s="9">
        <v>979</v>
      </c>
      <c r="F28" s="4">
        <v>2965</v>
      </c>
      <c r="G28">
        <f t="shared" si="0"/>
        <v>5.0498560072495371</v>
      </c>
      <c r="H28">
        <f t="shared" si="0"/>
        <v>3.7256934272366524</v>
      </c>
      <c r="I28">
        <f t="shared" si="0"/>
        <v>-0.17157416506395443</v>
      </c>
      <c r="J28">
        <f t="shared" si="0"/>
        <v>6.8865316425305103</v>
      </c>
      <c r="L28">
        <f t="shared" si="1"/>
        <v>3100.9039423268359</v>
      </c>
      <c r="N28">
        <f t="shared" si="2"/>
        <v>7.9946323114318254</v>
      </c>
      <c r="O28">
        <f t="shared" si="3"/>
        <v>8.039448942266862</v>
      </c>
      <c r="P28">
        <f t="shared" si="4"/>
        <v>2.0085303994039549E-3</v>
      </c>
      <c r="S28">
        <f t="shared" si="5"/>
        <v>4.3827201633616947E-2</v>
      </c>
    </row>
    <row r="29" spans="1:20" ht="15.75" x14ac:dyDescent="0.3">
      <c r="A29" s="20">
        <v>7</v>
      </c>
      <c r="B29" s="17">
        <v>135</v>
      </c>
      <c r="C29" s="3">
        <v>43.13</v>
      </c>
      <c r="D29" s="8">
        <f>(1607*1.0505*0.7748+19*0.8601+40*1.4479)/(1607*1.0505+60)</f>
        <v>0.79068527552071366</v>
      </c>
      <c r="E29" s="9">
        <f>(1607*1.0505+60)</f>
        <v>1748.1534999999999</v>
      </c>
      <c r="F29" s="4">
        <v>4215</v>
      </c>
      <c r="G29">
        <f t="shared" si="0"/>
        <v>4.9052747784384296</v>
      </c>
      <c r="H29">
        <f t="shared" si="0"/>
        <v>3.7642188106597518</v>
      </c>
      <c r="I29">
        <f t="shared" si="0"/>
        <v>-0.23485527215944599</v>
      </c>
      <c r="J29">
        <f t="shared" si="0"/>
        <v>7.4663153670053095</v>
      </c>
      <c r="L29">
        <f t="shared" si="1"/>
        <v>4054.8549254217883</v>
      </c>
      <c r="N29">
        <f t="shared" si="2"/>
        <v>8.3464048704359559</v>
      </c>
      <c r="O29">
        <f t="shared" si="3"/>
        <v>8.3076701891947859</v>
      </c>
      <c r="P29">
        <f t="shared" si="4"/>
        <v>1.5003755308550444E-3</v>
      </c>
      <c r="S29">
        <f t="shared" si="5"/>
        <v>3.9494649629555699E-2</v>
      </c>
    </row>
    <row r="30" spans="1:20" ht="15.75" x14ac:dyDescent="0.3">
      <c r="A30" s="20">
        <v>8</v>
      </c>
      <c r="B30" s="17">
        <v>132</v>
      </c>
      <c r="C30" s="3">
        <v>39.19</v>
      </c>
      <c r="D30" s="8">
        <v>0.81936949846468798</v>
      </c>
      <c r="E30" s="9">
        <v>977</v>
      </c>
      <c r="F30" s="4">
        <v>2915.0250000000001</v>
      </c>
      <c r="G30">
        <f t="shared" si="0"/>
        <v>4.8828019225863706</v>
      </c>
      <c r="H30">
        <f t="shared" si="0"/>
        <v>3.6684216122115401</v>
      </c>
      <c r="I30">
        <f t="shared" si="0"/>
        <v>-0.19922013879373077</v>
      </c>
      <c r="J30">
        <f t="shared" si="0"/>
        <v>6.8844866520427823</v>
      </c>
      <c r="L30">
        <f t="shared" si="1"/>
        <v>3042.2500270125597</v>
      </c>
      <c r="N30">
        <f t="shared" si="2"/>
        <v>7.977633675077147</v>
      </c>
      <c r="O30">
        <f t="shared" si="3"/>
        <v>8.0203526610960481</v>
      </c>
      <c r="P30">
        <f t="shared" si="4"/>
        <v>1.8249117664830596E-3</v>
      </c>
      <c r="S30">
        <f t="shared" si="5"/>
        <v>4.1819385613579084E-2</v>
      </c>
    </row>
    <row r="31" spans="1:20" ht="15.75" x14ac:dyDescent="0.3">
      <c r="A31" s="20">
        <v>9</v>
      </c>
      <c r="B31" s="17">
        <v>90</v>
      </c>
      <c r="C31" s="3">
        <v>42.1</v>
      </c>
      <c r="D31" s="8">
        <v>1.2951339285714287</v>
      </c>
      <c r="E31" s="9">
        <v>224</v>
      </c>
      <c r="F31" s="4">
        <v>325.02499999999998</v>
      </c>
      <c r="G31">
        <f t="shared" si="0"/>
        <v>4.499809670330265</v>
      </c>
      <c r="H31">
        <f t="shared" si="0"/>
        <v>3.7400477406883357</v>
      </c>
      <c r="I31">
        <f t="shared" si="0"/>
        <v>0.25861410955032482</v>
      </c>
      <c r="J31">
        <f t="shared" si="0"/>
        <v>5.4116460518550396</v>
      </c>
      <c r="L31">
        <f t="shared" si="1"/>
        <v>1544.0016593020646</v>
      </c>
      <c r="N31">
        <f t="shared" si="2"/>
        <v>5.7839021024482324</v>
      </c>
      <c r="O31">
        <f t="shared" si="3"/>
        <v>7.342132805261647</v>
      </c>
      <c r="P31">
        <f t="shared" si="4"/>
        <v>2.428082923190388</v>
      </c>
      <c r="S31">
        <f t="shared" si="5"/>
        <v>0.78949180653930051</v>
      </c>
    </row>
    <row r="32" spans="1:20" ht="15.75" x14ac:dyDescent="0.3">
      <c r="A32" s="20">
        <v>10</v>
      </c>
      <c r="B32" s="17">
        <v>155</v>
      </c>
      <c r="C32" s="3">
        <v>42.65</v>
      </c>
      <c r="D32" s="8">
        <v>0.86946729910714293</v>
      </c>
      <c r="E32" s="9">
        <v>895</v>
      </c>
      <c r="F32" s="4">
        <v>2515</v>
      </c>
      <c r="G32">
        <f t="shared" si="0"/>
        <v>5.0434251169192468</v>
      </c>
      <c r="H32">
        <f t="shared" si="0"/>
        <v>3.753027273937688</v>
      </c>
      <c r="I32">
        <f t="shared" si="0"/>
        <v>-0.13987455474247895</v>
      </c>
      <c r="J32">
        <f t="shared" si="0"/>
        <v>6.7968237182748554</v>
      </c>
      <c r="L32">
        <f t="shared" si="1"/>
        <v>3042.304123636532</v>
      </c>
      <c r="N32">
        <f t="shared" si="2"/>
        <v>7.8300280825338398</v>
      </c>
      <c r="O32">
        <f t="shared" si="3"/>
        <v>8.0203704427190345</v>
      </c>
      <c r="P32">
        <f t="shared" si="4"/>
        <v>3.6230214080870425E-2</v>
      </c>
      <c r="S32">
        <f t="shared" si="5"/>
        <v>0.17332393548026817</v>
      </c>
    </row>
    <row r="33" spans="1:19" ht="15.75" x14ac:dyDescent="0.3">
      <c r="A33" s="20">
        <v>11</v>
      </c>
      <c r="B33" s="17">
        <v>157</v>
      </c>
      <c r="C33" s="3">
        <v>42</v>
      </c>
      <c r="D33" s="8">
        <v>0.85150169491525418</v>
      </c>
      <c r="E33" s="9">
        <v>1179</v>
      </c>
      <c r="F33" s="4">
        <v>3162</v>
      </c>
      <c r="G33">
        <f t="shared" si="0"/>
        <v>5.0562458053483077</v>
      </c>
      <c r="H33">
        <f t="shared" si="0"/>
        <v>3.7376696182833684</v>
      </c>
      <c r="I33">
        <f t="shared" si="0"/>
        <v>-0.16075378837608542</v>
      </c>
      <c r="J33">
        <f t="shared" si="0"/>
        <v>7.0724219005373712</v>
      </c>
      <c r="L33">
        <f t="shared" si="1"/>
        <v>3352.3609795789193</v>
      </c>
      <c r="N33">
        <f t="shared" si="2"/>
        <v>8.058960017769417</v>
      </c>
      <c r="O33">
        <f t="shared" si="3"/>
        <v>8.117420146608902</v>
      </c>
      <c r="P33">
        <f t="shared" si="4"/>
        <v>3.4175866639291901E-3</v>
      </c>
      <c r="S33">
        <f t="shared" si="5"/>
        <v>5.6784153239616234E-2</v>
      </c>
    </row>
    <row r="34" spans="1:19" ht="15.75" x14ac:dyDescent="0.3">
      <c r="A34" s="20">
        <v>12</v>
      </c>
      <c r="B34" s="17">
        <v>157</v>
      </c>
      <c r="C34" s="3">
        <v>42.8</v>
      </c>
      <c r="D34" s="8">
        <v>0.8712595864661653</v>
      </c>
      <c r="E34" s="9">
        <v>1064</v>
      </c>
      <c r="F34" s="4">
        <v>2915</v>
      </c>
      <c r="G34">
        <f t="shared" si="0"/>
        <v>5.0562458053483077</v>
      </c>
      <c r="H34">
        <f t="shared" si="0"/>
        <v>3.7565381025877511</v>
      </c>
      <c r="I34">
        <f t="shared" si="0"/>
        <v>-0.13781531385038742</v>
      </c>
      <c r="J34">
        <f t="shared" si="0"/>
        <v>6.9697906699015899</v>
      </c>
      <c r="L34">
        <f t="shared" si="1"/>
        <v>3249.3904879068405</v>
      </c>
      <c r="N34">
        <f t="shared" si="2"/>
        <v>7.9776250987845927</v>
      </c>
      <c r="O34">
        <f t="shared" si="3"/>
        <v>8.0862227155530384</v>
      </c>
      <c r="P34">
        <f t="shared" si="4"/>
        <v>1.17934423677862E-2</v>
      </c>
      <c r="S34">
        <f t="shared" si="5"/>
        <v>0.1029086806129739</v>
      </c>
    </row>
    <row r="35" spans="1:19" ht="15.75" x14ac:dyDescent="0.3">
      <c r="A35" s="20">
        <v>13</v>
      </c>
      <c r="B35" s="17">
        <v>144</v>
      </c>
      <c r="C35" s="3">
        <v>45.6</v>
      </c>
      <c r="D35" s="8">
        <v>0.77204269293924499</v>
      </c>
      <c r="E35" s="9">
        <v>1827</v>
      </c>
      <c r="F35" s="4">
        <v>3981</v>
      </c>
      <c r="G35">
        <f t="shared" si="0"/>
        <v>4.9698132995760007</v>
      </c>
      <c r="H35">
        <f t="shared" si="0"/>
        <v>3.8199077165203406</v>
      </c>
      <c r="I35">
        <f t="shared" si="0"/>
        <v>-0.25871542875167214</v>
      </c>
      <c r="J35">
        <f t="shared" si="0"/>
        <v>7.5104305563780063</v>
      </c>
      <c r="L35">
        <f t="shared" si="1"/>
        <v>4158.2545759353443</v>
      </c>
      <c r="N35">
        <f t="shared" si="2"/>
        <v>8.2892883230003171</v>
      </c>
      <c r="O35">
        <f t="shared" si="3"/>
        <v>8.3328506921174252</v>
      </c>
      <c r="P35">
        <f t="shared" si="4"/>
        <v>1.8976800030951727E-3</v>
      </c>
      <c r="S35">
        <f t="shared" si="5"/>
        <v>4.2627158269999188E-2</v>
      </c>
    </row>
    <row r="36" spans="1:19" ht="15.75" x14ac:dyDescent="0.3">
      <c r="A36" s="20">
        <v>14</v>
      </c>
      <c r="B36" s="17">
        <v>164</v>
      </c>
      <c r="C36" s="3">
        <v>47.66</v>
      </c>
      <c r="D36" s="8">
        <v>0.79283404776485</v>
      </c>
      <c r="E36" s="9">
        <v>1633</v>
      </c>
      <c r="F36" s="4">
        <v>3765.0250000000001</v>
      </c>
      <c r="G36">
        <f t="shared" si="0"/>
        <v>5.0998664278241987</v>
      </c>
      <c r="H36">
        <f t="shared" si="0"/>
        <v>3.8640924716705958</v>
      </c>
      <c r="I36">
        <f t="shared" si="0"/>
        <v>-0.23214135066646036</v>
      </c>
      <c r="J36">
        <f t="shared" si="0"/>
        <v>7.3981740929704651</v>
      </c>
      <c r="L36">
        <f t="shared" si="1"/>
        <v>4008.7059674338939</v>
      </c>
      <c r="N36">
        <f t="shared" si="2"/>
        <v>8.2335097803181903</v>
      </c>
      <c r="O36">
        <f t="shared" si="3"/>
        <v>8.2962237668332612</v>
      </c>
      <c r="P36">
        <f t="shared" si="4"/>
        <v>3.9330441046125054E-3</v>
      </c>
      <c r="S36">
        <f t="shared" si="5"/>
        <v>6.0787937407612382E-2</v>
      </c>
    </row>
    <row r="37" spans="1:19" ht="15.75" x14ac:dyDescent="0.3">
      <c r="A37" s="20">
        <v>15</v>
      </c>
      <c r="B37" s="17">
        <v>165</v>
      </c>
      <c r="C37" s="3">
        <v>44.5</v>
      </c>
      <c r="D37" s="8">
        <v>0.80648070107880954</v>
      </c>
      <c r="E37" s="9">
        <v>1921.8963562753036</v>
      </c>
      <c r="F37" s="4">
        <v>4115</v>
      </c>
      <c r="G37">
        <f t="shared" si="0"/>
        <v>5.1059454739005803</v>
      </c>
      <c r="H37">
        <f t="shared" si="0"/>
        <v>3.7954891891721947</v>
      </c>
      <c r="I37">
        <f t="shared" si="0"/>
        <v>-0.21507531092970458</v>
      </c>
      <c r="J37">
        <f t="shared" si="0"/>
        <v>7.5610676631414302</v>
      </c>
      <c r="L37">
        <f t="shared" si="1"/>
        <v>4122.9205796754613</v>
      </c>
      <c r="N37">
        <f t="shared" si="2"/>
        <v>8.3223941131111694</v>
      </c>
      <c r="O37">
        <f t="shared" si="3"/>
        <v>8.3243170697698456</v>
      </c>
      <c r="P37">
        <f t="shared" si="4"/>
        <v>3.6977623111473504E-6</v>
      </c>
      <c r="S37">
        <f t="shared" si="5"/>
        <v>1.9211089620564106E-3</v>
      </c>
    </row>
    <row r="38" spans="1:19" ht="15.75" x14ac:dyDescent="0.3">
      <c r="A38" s="20">
        <v>16</v>
      </c>
      <c r="B38" s="17">
        <v>142</v>
      </c>
      <c r="C38" s="3">
        <v>38.86</v>
      </c>
      <c r="D38" s="8">
        <v>0.92616719858156027</v>
      </c>
      <c r="E38" s="9">
        <v>564</v>
      </c>
      <c r="F38" s="4">
        <v>2115</v>
      </c>
      <c r="G38">
        <f t="shared" si="0"/>
        <v>4.9558270576012609</v>
      </c>
      <c r="H38">
        <f t="shared" si="0"/>
        <v>3.6599654439492939</v>
      </c>
      <c r="I38">
        <f t="shared" si="0"/>
        <v>-7.6700500611673508E-2</v>
      </c>
      <c r="J38">
        <f t="shared" si="0"/>
        <v>6.3350542514980592</v>
      </c>
      <c r="L38">
        <f t="shared" si="1"/>
        <v>2251.8067002388248</v>
      </c>
      <c r="N38">
        <f t="shared" si="2"/>
        <v>7.6568100914803781</v>
      </c>
      <c r="O38">
        <f t="shared" si="3"/>
        <v>7.7194881508681226</v>
      </c>
      <c r="P38">
        <f t="shared" si="4"/>
        <v>3.9285391286136275E-3</v>
      </c>
      <c r="S38">
        <f t="shared" si="5"/>
        <v>6.0754193610097686E-2</v>
      </c>
    </row>
    <row r="39" spans="1:19" ht="15.75" x14ac:dyDescent="0.3">
      <c r="A39" s="20">
        <v>17</v>
      </c>
      <c r="B39" s="17">
        <v>170</v>
      </c>
      <c r="C39" s="3">
        <v>41.82</v>
      </c>
      <c r="D39" s="8">
        <v>0.88517026618550887</v>
      </c>
      <c r="E39" s="9">
        <v>1226</v>
      </c>
      <c r="F39" s="4">
        <v>3365</v>
      </c>
      <c r="G39">
        <f t="shared" si="0"/>
        <v>5.1357984370502621</v>
      </c>
      <c r="H39">
        <f t="shared" si="0"/>
        <v>3.7333746940004877</v>
      </c>
      <c r="I39">
        <f t="shared" si="0"/>
        <v>-0.12197526130894877</v>
      </c>
      <c r="J39">
        <f t="shared" si="0"/>
        <v>7.111512116496157</v>
      </c>
      <c r="L39">
        <f t="shared" si="1"/>
        <v>3337.8170740406504</v>
      </c>
      <c r="N39">
        <f t="shared" si="2"/>
        <v>8.1211832420788284</v>
      </c>
      <c r="O39">
        <f t="shared" si="3"/>
        <v>8.1130723016538351</v>
      </c>
      <c r="P39">
        <f t="shared" si="4"/>
        <v>6.5787354577790061E-5</v>
      </c>
      <c r="S39">
        <f t="shared" si="5"/>
        <v>8.1439232157929156E-3</v>
      </c>
    </row>
    <row r="40" spans="1:19" ht="15.75" x14ac:dyDescent="0.3">
      <c r="A40" s="20">
        <v>18</v>
      </c>
      <c r="B40" s="17">
        <v>138</v>
      </c>
      <c r="C40" s="3">
        <v>39.520000000000003</v>
      </c>
      <c r="D40" s="8">
        <v>0.8846938679245282</v>
      </c>
      <c r="E40" s="9">
        <v>848</v>
      </c>
      <c r="F40" s="4">
        <v>2865</v>
      </c>
      <c r="G40">
        <f t="shared" si="0"/>
        <v>4.9272536851572051</v>
      </c>
      <c r="H40">
        <f t="shared" si="0"/>
        <v>3.6768068728796672</v>
      </c>
      <c r="I40">
        <f t="shared" si="0"/>
        <v>-0.12251360576523194</v>
      </c>
      <c r="J40">
        <f t="shared" si="0"/>
        <v>6.7428806357919031</v>
      </c>
      <c r="L40">
        <f t="shared" si="1"/>
        <v>2799.7595773412245</v>
      </c>
      <c r="N40">
        <f t="shared" si="2"/>
        <v>7.9603236291488395</v>
      </c>
      <c r="O40">
        <f t="shared" si="3"/>
        <v>7.937288827241388</v>
      </c>
      <c r="P40">
        <f t="shared" si="4"/>
        <v>5.3060209891553367E-4</v>
      </c>
      <c r="S40">
        <f t="shared" si="5"/>
        <v>2.3302151794308962E-2</v>
      </c>
    </row>
    <row r="41" spans="1:19" ht="15.75" x14ac:dyDescent="0.3">
      <c r="A41" s="20">
        <v>19</v>
      </c>
      <c r="B41" s="17">
        <v>149</v>
      </c>
      <c r="C41" s="3">
        <v>39.229999999999997</v>
      </c>
      <c r="D41" s="8">
        <v>0.89454904761904763</v>
      </c>
      <c r="E41" s="9">
        <v>840</v>
      </c>
      <c r="F41" s="4">
        <v>2835</v>
      </c>
      <c r="G41">
        <f t="shared" si="0"/>
        <v>5.0039463059454592</v>
      </c>
      <c r="H41">
        <f t="shared" si="0"/>
        <v>3.6694417602214613</v>
      </c>
      <c r="I41">
        <f t="shared" si="0"/>
        <v>-0.11143554509496585</v>
      </c>
      <c r="J41">
        <f t="shared" si="0"/>
        <v>6.7334018918373593</v>
      </c>
      <c r="L41">
        <f t="shared" si="1"/>
        <v>2735.3083059251203</v>
      </c>
      <c r="N41">
        <f t="shared" si="2"/>
        <v>7.9497972161618522</v>
      </c>
      <c r="O41">
        <f t="shared" si="3"/>
        <v>7.9139994346181881</v>
      </c>
      <c r="P41">
        <f t="shared" si="4"/>
        <v>1.281481163447897E-3</v>
      </c>
      <c r="S41">
        <f t="shared" si="5"/>
        <v>3.6446236740089358E-2</v>
      </c>
    </row>
    <row r="42" spans="1:19" ht="15.75" x14ac:dyDescent="0.3">
      <c r="A42" s="20">
        <v>20</v>
      </c>
      <c r="B42" s="17">
        <v>156</v>
      </c>
      <c r="C42" s="3">
        <v>40.68</v>
      </c>
      <c r="D42" s="8">
        <v>0.89798317631224767</v>
      </c>
      <c r="E42" s="9">
        <v>743</v>
      </c>
      <c r="F42" s="4">
        <v>2615</v>
      </c>
      <c r="G42">
        <f t="shared" si="0"/>
        <v>5.0498560072495371</v>
      </c>
      <c r="H42">
        <f t="shared" si="0"/>
        <v>3.7057365711803594</v>
      </c>
      <c r="I42">
        <f t="shared" si="0"/>
        <v>-0.10760394547431049</v>
      </c>
      <c r="J42">
        <f t="shared" si="0"/>
        <v>6.6106960447177592</v>
      </c>
      <c r="L42">
        <f t="shared" si="1"/>
        <v>2673.2017045723037</v>
      </c>
      <c r="N42">
        <f t="shared" si="2"/>
        <v>7.8690193764990228</v>
      </c>
      <c r="O42">
        <f t="shared" si="3"/>
        <v>7.8910321732890774</v>
      </c>
      <c r="P42">
        <f t="shared" si="4"/>
        <v>4.8456322252023469E-4</v>
      </c>
      <c r="S42">
        <f t="shared" si="5"/>
        <v>2.1772283203603457E-2</v>
      </c>
    </row>
    <row r="43" spans="1:19" ht="15.75" x14ac:dyDescent="0.3">
      <c r="A43" s="20">
        <v>21</v>
      </c>
      <c r="B43" s="17">
        <v>164</v>
      </c>
      <c r="C43" s="3">
        <v>40.47</v>
      </c>
      <c r="D43" s="8">
        <v>0.86339910857758939</v>
      </c>
      <c r="E43" s="9">
        <v>975</v>
      </c>
      <c r="F43" s="4">
        <v>2965</v>
      </c>
      <c r="G43">
        <f t="shared" si="0"/>
        <v>5.0998664278241987</v>
      </c>
      <c r="H43">
        <f t="shared" si="0"/>
        <v>3.7005609588877744</v>
      </c>
      <c r="I43">
        <f t="shared" si="0"/>
        <v>-0.14687822831717731</v>
      </c>
      <c r="J43">
        <f t="shared" si="0"/>
        <v>6.8824374709978473</v>
      </c>
      <c r="L43">
        <f t="shared" si="1"/>
        <v>2996.7092480046767</v>
      </c>
      <c r="N43">
        <f t="shared" si="2"/>
        <v>7.9946323114318254</v>
      </c>
      <c r="O43">
        <f t="shared" si="3"/>
        <v>8.0052700482643466</v>
      </c>
      <c r="P43">
        <f t="shared" si="4"/>
        <v>1.1316144491797876E-4</v>
      </c>
      <c r="S43">
        <f t="shared" si="5"/>
        <v>1.0581356207910382E-2</v>
      </c>
    </row>
    <row r="44" spans="1:19" ht="15.75" x14ac:dyDescent="0.3">
      <c r="A44" s="20">
        <v>22</v>
      </c>
      <c r="B44" s="17">
        <v>170</v>
      </c>
      <c r="C44" s="3">
        <v>46.5</v>
      </c>
      <c r="D44" s="8">
        <v>0.78740556732153377</v>
      </c>
      <c r="E44" s="9">
        <v>2124</v>
      </c>
      <c r="F44" s="4">
        <v>4280</v>
      </c>
      <c r="G44">
        <f t="shared" si="0"/>
        <v>5.1357984370502621</v>
      </c>
      <c r="H44">
        <f t="shared" si="0"/>
        <v>3.8394523125933104</v>
      </c>
      <c r="I44">
        <f t="shared" si="0"/>
        <v>-0.23901182998500695</v>
      </c>
      <c r="J44">
        <f t="shared" si="0"/>
        <v>7.6610563823618296</v>
      </c>
      <c r="L44">
        <f t="shared" si="1"/>
        <v>4282.5794270732586</v>
      </c>
      <c r="N44">
        <f t="shared" si="2"/>
        <v>8.3617082885758425</v>
      </c>
      <c r="O44">
        <f t="shared" si="3"/>
        <v>8.3623107769202143</v>
      </c>
      <c r="P44">
        <f t="shared" si="4"/>
        <v>3.6299220510389796E-7</v>
      </c>
      <c r="S44">
        <f t="shared" si="5"/>
        <v>6.0230688471348535E-4</v>
      </c>
    </row>
    <row r="45" spans="1:19" ht="15.75" x14ac:dyDescent="0.3">
      <c r="A45" s="20">
        <v>23</v>
      </c>
      <c r="B45" s="17">
        <v>161</v>
      </c>
      <c r="C45" s="3">
        <v>47.21</v>
      </c>
      <c r="D45" s="8">
        <f>(4380*1.1125*0.7706+34*0.9715+65*1.4022)/(4380*1.1125+99)</f>
        <v>0.78023133705435699</v>
      </c>
      <c r="E45" s="9">
        <f>(4380*1.1125+99)</f>
        <v>4971.75</v>
      </c>
      <c r="F45" s="4">
        <v>5187</v>
      </c>
      <c r="G45">
        <f t="shared" si="0"/>
        <v>5.0814043649844631</v>
      </c>
      <c r="H45">
        <f t="shared" si="0"/>
        <v>3.8546057345581954</v>
      </c>
      <c r="I45">
        <f t="shared" si="0"/>
        <v>-0.24816481730429896</v>
      </c>
      <c r="J45">
        <f t="shared" si="0"/>
        <v>8.5115271697896109</v>
      </c>
      <c r="L45">
        <f t="shared" si="1"/>
        <v>5555.3786367176908</v>
      </c>
      <c r="N45">
        <f t="shared" si="2"/>
        <v>8.5539107743514009</v>
      </c>
      <c r="O45">
        <f t="shared" si="3"/>
        <v>8.6225218611761729</v>
      </c>
      <c r="P45">
        <f t="shared" si="4"/>
        <v>4.7074812352764037E-3</v>
      </c>
      <c r="S45">
        <f t="shared" si="5"/>
        <v>6.6310266285529301E-2</v>
      </c>
    </row>
    <row r="46" spans="1:19" ht="15.75" x14ac:dyDescent="0.3">
      <c r="A46" s="20">
        <v>24</v>
      </c>
      <c r="B46" s="17">
        <v>167</v>
      </c>
      <c r="C46" s="3">
        <v>47.52</v>
      </c>
      <c r="D46" s="8">
        <v>0.80427641371235392</v>
      </c>
      <c r="E46" s="9">
        <v>2645</v>
      </c>
      <c r="F46" s="4">
        <v>4375</v>
      </c>
      <c r="G46">
        <f t="shared" si="0"/>
        <v>5.1179938124167554</v>
      </c>
      <c r="H46">
        <f t="shared" si="0"/>
        <v>3.8611506750543896</v>
      </c>
      <c r="I46">
        <f t="shared" si="0"/>
        <v>-0.21781227073851878</v>
      </c>
      <c r="J46">
        <f t="shared" si="0"/>
        <v>7.8804263442923999</v>
      </c>
      <c r="L46">
        <f t="shared" si="1"/>
        <v>4583.7411071496163</v>
      </c>
      <c r="N46">
        <f t="shared" si="2"/>
        <v>8.3836617987917155</v>
      </c>
      <c r="O46">
        <f t="shared" si="3"/>
        <v>8.4302707793017593</v>
      </c>
      <c r="P46">
        <f t="shared" si="4"/>
        <v>2.1723970641856433E-3</v>
      </c>
      <c r="S46">
        <f t="shared" si="5"/>
        <v>4.5539462694353869E-2</v>
      </c>
    </row>
    <row r="47" spans="1:19" ht="15.75" x14ac:dyDescent="0.3">
      <c r="A47" s="20">
        <v>25</v>
      </c>
      <c r="B47" s="17">
        <v>157</v>
      </c>
      <c r="C47" s="3">
        <v>47.57</v>
      </c>
      <c r="D47" s="8">
        <f>(3845*1.1132*0.738+57*0.934+52*1.3185)/(3845*1.1132+109)</f>
        <v>0.74742255791075196</v>
      </c>
      <c r="E47" s="9">
        <f>(3845*1.1132+109)</f>
        <v>4389.2539999999999</v>
      </c>
      <c r="F47" s="4">
        <v>5183</v>
      </c>
      <c r="G47">
        <f t="shared" si="0"/>
        <v>5.0562458053483077</v>
      </c>
      <c r="H47">
        <f t="shared" si="0"/>
        <v>3.8622023104441903</v>
      </c>
      <c r="I47">
        <f t="shared" si="0"/>
        <v>-0.29112458054148521</v>
      </c>
      <c r="J47">
        <f t="shared" si="0"/>
        <v>8.3869145599663266</v>
      </c>
      <c r="L47">
        <f t="shared" si="1"/>
        <v>5314.8276226722764</v>
      </c>
      <c r="N47">
        <f t="shared" si="2"/>
        <v>8.5531393181897073</v>
      </c>
      <c r="O47">
        <f t="shared" si="3"/>
        <v>8.5782558580153569</v>
      </c>
      <c r="P47">
        <f t="shared" si="4"/>
        <v>6.3084057281344514E-4</v>
      </c>
      <c r="S47">
        <f t="shared" si="5"/>
        <v>2.4803743795926533E-2</v>
      </c>
    </row>
    <row r="48" spans="1:19" ht="15.75" x14ac:dyDescent="0.3">
      <c r="A48" s="20">
        <v>26</v>
      </c>
      <c r="B48" s="17">
        <v>148</v>
      </c>
      <c r="C48" s="3">
        <v>47.6</v>
      </c>
      <c r="D48" s="8">
        <v>0.80163309653155035</v>
      </c>
      <c r="E48" s="9">
        <v>2393</v>
      </c>
      <c r="F48" s="4">
        <v>4088</v>
      </c>
      <c r="G48">
        <f t="shared" si="0"/>
        <v>4.9972122737641147</v>
      </c>
      <c r="H48">
        <f t="shared" si="0"/>
        <v>3.8628327612373745</v>
      </c>
      <c r="I48">
        <f t="shared" si="0"/>
        <v>-0.22110426141560494</v>
      </c>
      <c r="J48">
        <f t="shared" si="0"/>
        <v>7.780303087908373</v>
      </c>
      <c r="L48">
        <f t="shared" si="1"/>
        <v>4516.8411624114233</v>
      </c>
      <c r="N48">
        <f t="shared" si="2"/>
        <v>8.3158111318835406</v>
      </c>
      <c r="O48">
        <f t="shared" si="3"/>
        <v>8.4155681706376999</v>
      </c>
      <c r="P48">
        <f t="shared" si="4"/>
        <v>9.9514667809988428E-3</v>
      </c>
      <c r="S48">
        <f t="shared" si="5"/>
        <v>9.4942714829156449E-2</v>
      </c>
    </row>
    <row r="49" spans="1:19" ht="15.75" x14ac:dyDescent="0.3">
      <c r="A49" s="20">
        <v>27</v>
      </c>
      <c r="B49" s="17">
        <v>143</v>
      </c>
      <c r="C49" s="3">
        <v>45.352893388326464</v>
      </c>
      <c r="D49" s="8">
        <v>0.8055714285714286</v>
      </c>
      <c r="E49" s="9">
        <v>2261</v>
      </c>
      <c r="F49" s="4">
        <v>4328.6499999999996</v>
      </c>
      <c r="G49">
        <f t="shared" si="0"/>
        <v>4.962844630259907</v>
      </c>
      <c r="H49">
        <f t="shared" si="0"/>
        <v>3.8144739758120703</v>
      </c>
      <c r="I49">
        <f t="shared" si="0"/>
        <v>-0.21620340423026821</v>
      </c>
      <c r="J49">
        <f t="shared" si="0"/>
        <v>7.7235624722779699</v>
      </c>
      <c r="L49">
        <f t="shared" si="1"/>
        <v>4443.1542767744986</v>
      </c>
      <c r="N49">
        <f t="shared" si="2"/>
        <v>8.3730109940925868</v>
      </c>
      <c r="O49">
        <f t="shared" si="3"/>
        <v>8.3991198258924786</v>
      </c>
      <c r="P49">
        <f t="shared" si="4"/>
        <v>6.8167109795504513E-4</v>
      </c>
      <c r="S49">
        <f t="shared" si="5"/>
        <v>2.5770943262772138E-2</v>
      </c>
    </row>
    <row r="50" spans="1:19" ht="15.75" x14ac:dyDescent="0.3">
      <c r="A50" s="20">
        <v>28</v>
      </c>
      <c r="B50" s="17">
        <v>142</v>
      </c>
      <c r="C50" s="3">
        <v>44.32</v>
      </c>
      <c r="D50" s="8">
        <v>0.83444602876798013</v>
      </c>
      <c r="E50" s="9">
        <v>1598</v>
      </c>
      <c r="F50" s="4">
        <v>3565</v>
      </c>
      <c r="G50">
        <f t="shared" si="0"/>
        <v>4.9558270576012609</v>
      </c>
      <c r="H50">
        <f t="shared" si="0"/>
        <v>3.7914360424390283</v>
      </c>
      <c r="I50">
        <f t="shared" si="0"/>
        <v>-0.18098721290527789</v>
      </c>
      <c r="J50">
        <f t="shared" si="0"/>
        <v>7.37650812632622</v>
      </c>
      <c r="L50">
        <f t="shared" si="1"/>
        <v>3918.5643848820655</v>
      </c>
      <c r="N50">
        <f t="shared" si="2"/>
        <v>8.1789193328483965</v>
      </c>
      <c r="O50">
        <f t="shared" si="3"/>
        <v>8.2734806373601177</v>
      </c>
      <c r="P50">
        <f t="shared" si="4"/>
        <v>8.9418403109584807E-3</v>
      </c>
      <c r="S50">
        <f t="shared" si="5"/>
        <v>9.0228040209349908E-2</v>
      </c>
    </row>
    <row r="51" spans="1:19" ht="15.75" x14ac:dyDescent="0.3">
      <c r="A51" s="20">
        <v>29</v>
      </c>
      <c r="B51" s="17">
        <v>151</v>
      </c>
      <c r="C51" s="3">
        <v>46.13</v>
      </c>
      <c r="D51" s="8">
        <v>0.86693904456452753</v>
      </c>
      <c r="E51" s="9">
        <v>2689</v>
      </c>
      <c r="F51" s="4">
        <v>4451</v>
      </c>
      <c r="G51">
        <f t="shared" si="0"/>
        <v>5.0172798368149243</v>
      </c>
      <c r="H51">
        <f t="shared" si="0"/>
        <v>3.8314634975697293</v>
      </c>
      <c r="I51">
        <f t="shared" si="0"/>
        <v>-0.14278661082713617</v>
      </c>
      <c r="J51">
        <f t="shared" si="0"/>
        <v>7.8969246562688644</v>
      </c>
      <c r="L51">
        <f t="shared" si="1"/>
        <v>4678.3247181445868</v>
      </c>
      <c r="N51">
        <f t="shared" si="2"/>
        <v>8.4008840690158539</v>
      </c>
      <c r="O51">
        <f t="shared" si="3"/>
        <v>8.4506953586180735</v>
      </c>
      <c r="P51">
        <f t="shared" si="4"/>
        <v>2.4811645718361892E-3</v>
      </c>
      <c r="S51">
        <f t="shared" si="5"/>
        <v>4.8591051677734601E-2</v>
      </c>
    </row>
    <row r="52" spans="1:19" ht="15.75" x14ac:dyDescent="0.3">
      <c r="A52" s="20">
        <v>30</v>
      </c>
      <c r="B52" s="17">
        <v>162</v>
      </c>
      <c r="C52" s="3">
        <v>44.89</v>
      </c>
      <c r="D52" s="8">
        <v>0.84604101208844851</v>
      </c>
      <c r="E52" s="9">
        <v>2072</v>
      </c>
      <c r="F52" s="4">
        <v>3995</v>
      </c>
      <c r="G52">
        <f t="shared" si="0"/>
        <v>5.0875963352323836</v>
      </c>
      <c r="H52">
        <f t="shared" si="0"/>
        <v>3.804215052793841</v>
      </c>
      <c r="I52">
        <f t="shared" si="0"/>
        <v>-0.16718744290499665</v>
      </c>
      <c r="J52">
        <f t="shared" si="0"/>
        <v>7.6362696033793735</v>
      </c>
      <c r="L52">
        <f t="shared" si="1"/>
        <v>4236.957628760545</v>
      </c>
      <c r="N52">
        <f t="shared" si="2"/>
        <v>8.2927988582003742</v>
      </c>
      <c r="O52">
        <f t="shared" si="3"/>
        <v>8.3516007502840246</v>
      </c>
      <c r="P52">
        <f t="shared" si="4"/>
        <v>3.4576625126172661E-3</v>
      </c>
      <c r="S52">
        <f t="shared" si="5"/>
        <v>5.7106454668824698E-2</v>
      </c>
    </row>
    <row r="53" spans="1:19" ht="15.75" x14ac:dyDescent="0.3">
      <c r="A53" s="20">
        <v>31</v>
      </c>
      <c r="B53" s="17">
        <v>140</v>
      </c>
      <c r="C53" s="3">
        <v>44.12</v>
      </c>
      <c r="D53" s="8">
        <v>0.83418704954954959</v>
      </c>
      <c r="E53" s="9">
        <v>1776</v>
      </c>
      <c r="F53" s="4">
        <v>3955</v>
      </c>
      <c r="G53">
        <f t="shared" si="0"/>
        <v>4.9416424226093039</v>
      </c>
      <c r="H53">
        <f t="shared" si="0"/>
        <v>3.7869131943853018</v>
      </c>
      <c r="I53">
        <f t="shared" si="0"/>
        <v>-0.18129762173496636</v>
      </c>
      <c r="J53">
        <f t="shared" si="0"/>
        <v>7.4821189235521155</v>
      </c>
      <c r="L53">
        <f t="shared" si="1"/>
        <v>4068.5236515368642</v>
      </c>
      <c r="N53">
        <f t="shared" si="2"/>
        <v>8.2827358802017539</v>
      </c>
      <c r="O53">
        <f t="shared" si="3"/>
        <v>8.3110354734507386</v>
      </c>
      <c r="P53">
        <f t="shared" si="4"/>
        <v>8.0086697805797913E-4</v>
      </c>
      <c r="S53">
        <f t="shared" si="5"/>
        <v>2.790291055429437E-2</v>
      </c>
    </row>
    <row r="54" spans="1:19" ht="15.75" x14ac:dyDescent="0.3">
      <c r="A54" s="20">
        <v>32</v>
      </c>
      <c r="B54" s="17">
        <v>147</v>
      </c>
      <c r="C54" s="3">
        <v>43.8</v>
      </c>
      <c r="D54" s="8">
        <v>0.84211125419932797</v>
      </c>
      <c r="E54" s="9">
        <v>1786</v>
      </c>
      <c r="F54" s="4">
        <v>3865</v>
      </c>
      <c r="G54">
        <f t="shared" si="0"/>
        <v>4.990432586778736</v>
      </c>
      <c r="H54">
        <f t="shared" si="0"/>
        <v>3.7796338173824005</v>
      </c>
      <c r="I54">
        <f t="shared" si="0"/>
        <v>-0.1718431425902642</v>
      </c>
      <c r="J54">
        <f t="shared" si="0"/>
        <v>7.4877337614364441</v>
      </c>
      <c r="L54">
        <f t="shared" si="1"/>
        <v>4041.274859851831</v>
      </c>
      <c r="N54">
        <f t="shared" si="2"/>
        <v>8.2597169610215229</v>
      </c>
      <c r="O54">
        <f t="shared" si="3"/>
        <v>8.3043154805460748</v>
      </c>
      <c r="P54">
        <f t="shared" si="4"/>
        <v>1.9890279437818426E-3</v>
      </c>
      <c r="S54">
        <f t="shared" si="5"/>
        <v>4.36186267860766E-2</v>
      </c>
    </row>
    <row r="55" spans="1:19" ht="15.75" x14ac:dyDescent="0.3">
      <c r="A55" s="20">
        <v>33</v>
      </c>
      <c r="B55" s="17">
        <v>146</v>
      </c>
      <c r="C55" s="3">
        <v>46.89</v>
      </c>
      <c r="D55" s="8">
        <v>0.8427257117437722</v>
      </c>
      <c r="E55" s="9">
        <v>2247</v>
      </c>
      <c r="F55" s="4">
        <v>4217</v>
      </c>
      <c r="G55">
        <f t="shared" ref="G55:J86" si="6">LN(B55)</f>
        <v>4.9836066217083363</v>
      </c>
      <c r="H55">
        <f t="shared" si="6"/>
        <v>3.8478044331014951</v>
      </c>
      <c r="I55">
        <f t="shared" si="6"/>
        <v>-0.17111374552205322</v>
      </c>
      <c r="J55">
        <f t="shared" si="6"/>
        <v>7.7173512721853292</v>
      </c>
      <c r="L55">
        <f t="shared" ref="L55:L86" si="7">EXP(
(_C1_exp8+_C2_exp8*G55)/
(1+(_C3_exp8+_C4_exp8*H55)*(_C5_exp8+_C6_exp8*J55)*(_C7_exp8+_C8_exp8*I55)))</f>
        <v>4431.8770692556718</v>
      </c>
      <c r="N55">
        <f t="shared" si="2"/>
        <v>8.3468792537465593</v>
      </c>
      <c r="O55">
        <f t="shared" si="3"/>
        <v>8.3965784909611383</v>
      </c>
      <c r="P55">
        <f t="shared" si="4"/>
        <v>2.4700141797109969E-3</v>
      </c>
      <c r="S55">
        <f t="shared" si="5"/>
        <v>4.8484438060408599E-2</v>
      </c>
    </row>
    <row r="56" spans="1:19" ht="15.75" x14ac:dyDescent="0.3">
      <c r="A56" s="20">
        <v>34</v>
      </c>
      <c r="B56" s="17">
        <v>158</v>
      </c>
      <c r="C56" s="3">
        <v>47.32</v>
      </c>
      <c r="D56" s="8">
        <v>0.82779175398633253</v>
      </c>
      <c r="E56" s="9">
        <v>2196</v>
      </c>
      <c r="F56" s="4">
        <v>4145</v>
      </c>
      <c r="G56">
        <f t="shared" si="6"/>
        <v>5.0625950330269669</v>
      </c>
      <c r="H56">
        <f t="shared" si="6"/>
        <v>3.8569330391101859</v>
      </c>
      <c r="I56">
        <f t="shared" si="6"/>
        <v>-0.18899366107694993</v>
      </c>
      <c r="J56">
        <f t="shared" si="6"/>
        <v>7.6943928026294213</v>
      </c>
      <c r="L56">
        <f t="shared" si="7"/>
        <v>4365.9895751006979</v>
      </c>
      <c r="N56">
        <f t="shared" si="2"/>
        <v>8.3296580675693956</v>
      </c>
      <c r="O56">
        <f t="shared" si="3"/>
        <v>8.3816001493609775</v>
      </c>
      <c r="P56">
        <f t="shared" si="4"/>
        <v>2.6979798608433823E-3</v>
      </c>
      <c r="S56">
        <f t="shared" si="5"/>
        <v>5.0616148137642085E-2</v>
      </c>
    </row>
    <row r="57" spans="1:19" ht="15.75" x14ac:dyDescent="0.3">
      <c r="A57" s="20">
        <v>35</v>
      </c>
      <c r="B57" s="17">
        <v>140</v>
      </c>
      <c r="C57" s="3">
        <v>43.88</v>
      </c>
      <c r="D57" s="8">
        <v>0.80935814432989683</v>
      </c>
      <c r="E57" s="9">
        <v>1455</v>
      </c>
      <c r="F57" s="4">
        <v>3465</v>
      </c>
      <c r="G57">
        <f t="shared" si="6"/>
        <v>4.9416424226093039</v>
      </c>
      <c r="H57">
        <f t="shared" si="6"/>
        <v>3.7814586354070294</v>
      </c>
      <c r="I57">
        <f t="shared" si="6"/>
        <v>-0.21151375984944043</v>
      </c>
      <c r="J57">
        <f t="shared" si="6"/>
        <v>7.2827611796055933</v>
      </c>
      <c r="L57">
        <f t="shared" si="7"/>
        <v>3796.7205315321439</v>
      </c>
      <c r="N57">
        <f t="shared" si="2"/>
        <v>8.1504679116240037</v>
      </c>
      <c r="O57">
        <f t="shared" si="3"/>
        <v>8.2418929550821733</v>
      </c>
      <c r="P57">
        <f t="shared" si="4"/>
        <v>8.3585385713281987E-3</v>
      </c>
      <c r="S57">
        <f t="shared" si="5"/>
        <v>8.7370278843852664E-2</v>
      </c>
    </row>
    <row r="58" spans="1:19" ht="15.75" x14ac:dyDescent="0.3">
      <c r="A58" s="20">
        <v>36</v>
      </c>
      <c r="B58" s="17">
        <v>149</v>
      </c>
      <c r="C58" s="3">
        <v>40.659999999999997</v>
      </c>
      <c r="D58" s="8">
        <v>0.88659053876478311</v>
      </c>
      <c r="E58" s="9">
        <v>761</v>
      </c>
      <c r="F58" s="4">
        <v>2515</v>
      </c>
      <c r="G58">
        <f t="shared" si="6"/>
        <v>5.0039463059454592</v>
      </c>
      <c r="H58">
        <f t="shared" si="6"/>
        <v>3.7052448082002005</v>
      </c>
      <c r="I58">
        <f t="shared" si="6"/>
        <v>-0.12037202809651597</v>
      </c>
      <c r="J58">
        <f t="shared" si="6"/>
        <v>6.6346333578616861</v>
      </c>
      <c r="L58">
        <f t="shared" si="7"/>
        <v>2723.9851403755629</v>
      </c>
      <c r="N58">
        <f t="shared" si="2"/>
        <v>7.8300280825338398</v>
      </c>
      <c r="O58">
        <f t="shared" si="3"/>
        <v>7.9098512121794737</v>
      </c>
      <c r="P58">
        <f t="shared" si="4"/>
        <v>6.3717320264236911E-3</v>
      </c>
      <c r="S58">
        <f t="shared" si="5"/>
        <v>7.6720367258225772E-2</v>
      </c>
    </row>
    <row r="59" spans="1:19" ht="15.75" x14ac:dyDescent="0.3">
      <c r="A59" s="20">
        <v>37</v>
      </c>
      <c r="B59" s="17">
        <v>157</v>
      </c>
      <c r="C59" s="3">
        <v>40.619999999999997</v>
      </c>
      <c r="D59" s="8">
        <v>0.91650691642651272</v>
      </c>
      <c r="E59" s="9">
        <v>694</v>
      </c>
      <c r="F59" s="4">
        <v>2215</v>
      </c>
      <c r="G59">
        <f t="shared" si="6"/>
        <v>5.0562458053483077</v>
      </c>
      <c r="H59">
        <f t="shared" si="6"/>
        <v>3.7042605561522386</v>
      </c>
      <c r="I59">
        <f t="shared" si="6"/>
        <v>-8.7185665166190529E-2</v>
      </c>
      <c r="J59">
        <f t="shared" si="6"/>
        <v>6.5424719605068047</v>
      </c>
      <c r="L59">
        <f t="shared" si="7"/>
        <v>2574.3771821791383</v>
      </c>
      <c r="N59">
        <f t="shared" si="2"/>
        <v>7.7030076824792362</v>
      </c>
      <c r="O59">
        <f t="shared" si="3"/>
        <v>7.8533629128439362</v>
      </c>
      <c r="P59">
        <f t="shared" si="4"/>
        <v>2.2606695298022006E-2</v>
      </c>
      <c r="S59">
        <f t="shared" si="5"/>
        <v>0.13959771888396541</v>
      </c>
    </row>
    <row r="60" spans="1:19" ht="15.75" x14ac:dyDescent="0.3">
      <c r="A60" s="20">
        <v>38</v>
      </c>
      <c r="B60" s="17">
        <v>169</v>
      </c>
      <c r="C60" s="3">
        <v>43.95</v>
      </c>
      <c r="D60" s="8">
        <v>0.92319242033006776</v>
      </c>
      <c r="E60" s="9">
        <v>1193</v>
      </c>
      <c r="F60" s="4">
        <v>3165</v>
      </c>
      <c r="G60">
        <f t="shared" si="6"/>
        <v>5.1298987149230735</v>
      </c>
      <c r="H60">
        <f t="shared" si="6"/>
        <v>3.7830526241311859</v>
      </c>
      <c r="I60">
        <f t="shared" si="6"/>
        <v>-7.9917593476403939E-2</v>
      </c>
      <c r="J60">
        <f t="shared" si="6"/>
        <v>7.0842264220979159</v>
      </c>
      <c r="L60">
        <f t="shared" si="7"/>
        <v>3387.1673637399185</v>
      </c>
      <c r="N60">
        <f t="shared" si="2"/>
        <v>8.0599083345782763</v>
      </c>
      <c r="O60">
        <f t="shared" si="3"/>
        <v>8.1277492651605634</v>
      </c>
      <c r="P60">
        <f t="shared" si="4"/>
        <v>4.602391862270701E-3</v>
      </c>
      <c r="S60">
        <f t="shared" si="5"/>
        <v>6.5590902332801737E-2</v>
      </c>
    </row>
    <row r="61" spans="1:19" ht="15.75" x14ac:dyDescent="0.3">
      <c r="A61" s="20">
        <v>39</v>
      </c>
      <c r="B61" s="17">
        <v>165</v>
      </c>
      <c r="C61" s="3">
        <v>41.67</v>
      </c>
      <c r="D61" s="8">
        <v>0.77590107505608719</v>
      </c>
      <c r="E61" s="9">
        <v>2539</v>
      </c>
      <c r="F61" s="4">
        <v>5655</v>
      </c>
      <c r="G61">
        <f t="shared" si="6"/>
        <v>5.1059454739005803</v>
      </c>
      <c r="H61">
        <f t="shared" si="6"/>
        <v>3.7297814454343623</v>
      </c>
      <c r="I61">
        <f t="shared" si="6"/>
        <v>-0.25373024752308615</v>
      </c>
      <c r="J61">
        <f t="shared" si="6"/>
        <v>7.8395255817046783</v>
      </c>
      <c r="L61">
        <f t="shared" si="7"/>
        <v>4546.6416443490443</v>
      </c>
      <c r="N61">
        <f t="shared" si="2"/>
        <v>8.6402953885502214</v>
      </c>
      <c r="O61">
        <f t="shared" si="3"/>
        <v>8.4221441392719072</v>
      </c>
      <c r="P61">
        <f t="shared" si="4"/>
        <v>4.7589967561689178E-2</v>
      </c>
      <c r="S61">
        <f t="shared" si="5"/>
        <v>0.24377517349063971</v>
      </c>
    </row>
    <row r="62" spans="1:19" ht="15.75" x14ac:dyDescent="0.3">
      <c r="A62" s="20">
        <v>40</v>
      </c>
      <c r="B62" s="17">
        <v>165</v>
      </c>
      <c r="C62" s="3">
        <v>41.31</v>
      </c>
      <c r="D62" s="8">
        <v>0.80779518026477171</v>
      </c>
      <c r="E62" s="9">
        <v>1311</v>
      </c>
      <c r="F62" s="4">
        <v>3865</v>
      </c>
      <c r="G62">
        <f t="shared" si="6"/>
        <v>5.1059454739005803</v>
      </c>
      <c r="H62">
        <f t="shared" si="6"/>
        <v>3.7211046014086731</v>
      </c>
      <c r="I62">
        <f t="shared" si="6"/>
        <v>-0.21344674236632644</v>
      </c>
      <c r="J62">
        <f t="shared" si="6"/>
        <v>7.1785454837636999</v>
      </c>
      <c r="L62">
        <f t="shared" si="7"/>
        <v>3477.0977079503195</v>
      </c>
      <c r="N62">
        <f t="shared" si="2"/>
        <v>8.2597169610215229</v>
      </c>
      <c r="O62">
        <f t="shared" si="3"/>
        <v>8.1539532328354394</v>
      </c>
      <c r="P62">
        <f t="shared" si="4"/>
        <v>1.118596619981975E-2</v>
      </c>
      <c r="S62">
        <f t="shared" si="5"/>
        <v>0.1115592153659499</v>
      </c>
    </row>
    <row r="63" spans="1:19" ht="15.75" x14ac:dyDescent="0.3">
      <c r="A63" s="20">
        <v>41</v>
      </c>
      <c r="B63" s="17">
        <v>176</v>
      </c>
      <c r="C63" s="3">
        <v>52.3</v>
      </c>
      <c r="D63" s="8">
        <v>0.75817891207484189</v>
      </c>
      <c r="E63" s="9">
        <v>7104</v>
      </c>
      <c r="F63" s="4">
        <v>4820</v>
      </c>
      <c r="G63">
        <f t="shared" si="6"/>
        <v>5.1704839950381514</v>
      </c>
      <c r="H63">
        <f t="shared" si="6"/>
        <v>3.9569963710708773</v>
      </c>
      <c r="I63">
        <f t="shared" si="6"/>
        <v>-0.27683588942987397</v>
      </c>
      <c r="J63">
        <f t="shared" si="6"/>
        <v>8.8684132846720054</v>
      </c>
      <c r="L63">
        <f t="shared" si="7"/>
        <v>5516.9599868412351</v>
      </c>
      <c r="N63">
        <f t="shared" si="2"/>
        <v>8.4805292070446452</v>
      </c>
      <c r="O63">
        <f t="shared" si="3"/>
        <v>8.6155822605437979</v>
      </c>
      <c r="P63">
        <f t="shared" si="4"/>
        <v>1.8239327259445017E-2</v>
      </c>
      <c r="S63">
        <f t="shared" si="5"/>
        <v>0.12633044076875449</v>
      </c>
    </row>
    <row r="64" spans="1:19" ht="15.75" x14ac:dyDescent="0.3">
      <c r="A64" s="20">
        <v>42</v>
      </c>
      <c r="B64" s="17">
        <v>149</v>
      </c>
      <c r="C64" s="3">
        <v>44.41</v>
      </c>
      <c r="D64" s="8">
        <v>0.82023585858585857</v>
      </c>
      <c r="E64" s="9">
        <v>1583</v>
      </c>
      <c r="F64" s="4">
        <v>3815</v>
      </c>
      <c r="G64">
        <f t="shared" si="6"/>
        <v>5.0039463059454592</v>
      </c>
      <c r="H64">
        <f t="shared" si="6"/>
        <v>3.7934646693040106</v>
      </c>
      <c r="I64">
        <f t="shared" si="6"/>
        <v>-0.19816334766033408</v>
      </c>
      <c r="J64">
        <f t="shared" si="6"/>
        <v>7.3670770598810122</v>
      </c>
      <c r="L64">
        <f t="shared" si="7"/>
        <v>3894.648440295688</v>
      </c>
      <c r="N64">
        <f t="shared" si="2"/>
        <v>8.2466959437185565</v>
      </c>
      <c r="O64">
        <f t="shared" si="3"/>
        <v>8.2673586950003504</v>
      </c>
      <c r="P64">
        <f t="shared" si="4"/>
        <v>4.269492905332732E-4</v>
      </c>
      <c r="S64">
        <f t="shared" si="5"/>
        <v>2.0450739397068915E-2</v>
      </c>
    </row>
    <row r="65" spans="1:19" ht="15.75" x14ac:dyDescent="0.3">
      <c r="A65" s="20">
        <v>43</v>
      </c>
      <c r="B65" s="17">
        <v>152</v>
      </c>
      <c r="C65" s="3">
        <v>46.69</v>
      </c>
      <c r="D65" s="8">
        <v>0.82400711082639333</v>
      </c>
      <c r="E65" s="9">
        <v>1562</v>
      </c>
      <c r="F65" s="4">
        <v>3565</v>
      </c>
      <c r="G65">
        <f t="shared" si="6"/>
        <v>5.0238805208462765</v>
      </c>
      <c r="H65">
        <f t="shared" si="6"/>
        <v>3.8435300089828455</v>
      </c>
      <c r="I65">
        <f t="shared" si="6"/>
        <v>-0.19357611946621928</v>
      </c>
      <c r="J65">
        <f t="shared" si="6"/>
        <v>7.3537223303996315</v>
      </c>
      <c r="L65">
        <f t="shared" si="7"/>
        <v>3946.3060381570967</v>
      </c>
      <c r="N65">
        <f t="shared" si="2"/>
        <v>8.1789193328483965</v>
      </c>
      <c r="O65">
        <f t="shared" si="3"/>
        <v>8.2805352401279428</v>
      </c>
      <c r="P65">
        <f t="shared" si="4"/>
        <v>1.0325792612245369E-2</v>
      </c>
      <c r="S65">
        <f t="shared" si="5"/>
        <v>9.662353463472502E-2</v>
      </c>
    </row>
    <row r="66" spans="1:19" ht="15.75" x14ac:dyDescent="0.3">
      <c r="A66" s="20">
        <v>44</v>
      </c>
      <c r="B66" s="17">
        <v>129</v>
      </c>
      <c r="C66" s="3">
        <v>46.91</v>
      </c>
      <c r="D66" s="8">
        <v>0.84911701807228912</v>
      </c>
      <c r="E66" s="9">
        <v>1992</v>
      </c>
      <c r="F66" s="4">
        <v>4271</v>
      </c>
      <c r="G66">
        <f t="shared" si="6"/>
        <v>4.8598124043616719</v>
      </c>
      <c r="H66">
        <f t="shared" si="6"/>
        <v>3.8482308723403666</v>
      </c>
      <c r="I66">
        <f t="shared" si="6"/>
        <v>-0.163558271694698</v>
      </c>
      <c r="J66">
        <f t="shared" si="6"/>
        <v>7.5968944381445436</v>
      </c>
      <c r="L66">
        <f t="shared" si="7"/>
        <v>4330.8007719982979</v>
      </c>
      <c r="N66">
        <f t="shared" si="2"/>
        <v>8.3596032708414665</v>
      </c>
      <c r="O66">
        <f t="shared" si="3"/>
        <v>8.3735077396943929</v>
      </c>
      <c r="P66">
        <f t="shared" si="4"/>
        <v>1.9333425408200037E-4</v>
      </c>
      <c r="S66">
        <f t="shared" si="5"/>
        <v>1.3808248207803136E-2</v>
      </c>
    </row>
    <row r="67" spans="1:19" ht="15.75" x14ac:dyDescent="0.3">
      <c r="A67" s="20">
        <v>45</v>
      </c>
      <c r="B67" s="17">
        <v>189</v>
      </c>
      <c r="C67" s="3">
        <v>49.47</v>
      </c>
      <c r="D67" s="8">
        <f>(9000*1.0501*0.7561+14*0.8875+25*1.3218)/(9000*1.0501+39)</f>
        <v>0.75778411679785873</v>
      </c>
      <c r="E67" s="9">
        <f>(9000*1.0501+39)</f>
        <v>9489.9</v>
      </c>
      <c r="F67" s="4">
        <v>5335</v>
      </c>
      <c r="G67">
        <f t="shared" si="6"/>
        <v>5.2417470150596426</v>
      </c>
      <c r="H67">
        <f t="shared" si="6"/>
        <v>3.9013664252396172</v>
      </c>
      <c r="I67">
        <f t="shared" si="6"/>
        <v>-0.27735674024007073</v>
      </c>
      <c r="J67">
        <f t="shared" si="6"/>
        <v>9.1579833541406561</v>
      </c>
      <c r="L67">
        <f t="shared" si="7"/>
        <v>6219.3837466565401</v>
      </c>
      <c r="N67">
        <f t="shared" si="2"/>
        <v>8.5820441637358531</v>
      </c>
      <c r="O67">
        <f t="shared" si="3"/>
        <v>8.7354261047246293</v>
      </c>
      <c r="P67">
        <f t="shared" si="4"/>
        <v>2.3526019821484431E-2</v>
      </c>
      <c r="S67">
        <f t="shared" si="5"/>
        <v>0.14219797051950256</v>
      </c>
    </row>
    <row r="68" spans="1:19" ht="15.75" x14ac:dyDescent="0.3">
      <c r="A68" s="20">
        <v>46</v>
      </c>
      <c r="B68" s="17">
        <v>143</v>
      </c>
      <c r="C68" s="3">
        <v>44.76</v>
      </c>
      <c r="D68" s="8">
        <v>0.83229050097592716</v>
      </c>
      <c r="E68" s="9">
        <v>1537</v>
      </c>
      <c r="F68" s="4">
        <v>3615</v>
      </c>
      <c r="G68">
        <f t="shared" si="6"/>
        <v>4.962844630259907</v>
      </c>
      <c r="H68">
        <f t="shared" si="6"/>
        <v>3.8013148834437245</v>
      </c>
      <c r="I68">
        <f t="shared" si="6"/>
        <v>-0.18357373927619999</v>
      </c>
      <c r="J68">
        <f t="shared" si="6"/>
        <v>7.3375877435385961</v>
      </c>
      <c r="L68">
        <f t="shared" si="7"/>
        <v>3879.9492041005419</v>
      </c>
      <c r="N68">
        <f t="shared" si="2"/>
        <v>8.1928471345928653</v>
      </c>
      <c r="O68">
        <f t="shared" si="3"/>
        <v>8.2635773408049573</v>
      </c>
      <c r="P68">
        <f t="shared" si="4"/>
        <v>5.0027620708050615E-3</v>
      </c>
      <c r="S68">
        <f t="shared" si="5"/>
        <v>6.8286771337245644E-2</v>
      </c>
    </row>
    <row r="69" spans="1:19" ht="15.75" x14ac:dyDescent="0.3">
      <c r="A69" s="20">
        <v>47</v>
      </c>
      <c r="B69" s="17">
        <v>169</v>
      </c>
      <c r="C69" s="3">
        <v>46.98</v>
      </c>
      <c r="D69" s="8">
        <v>0.83751465827147997</v>
      </c>
      <c r="E69" s="9">
        <v>1902.8279498619736</v>
      </c>
      <c r="F69" s="4">
        <v>3992</v>
      </c>
      <c r="G69">
        <f t="shared" si="6"/>
        <v>5.1298987149230735</v>
      </c>
      <c r="H69">
        <f t="shared" si="6"/>
        <v>3.8497219792307669</v>
      </c>
      <c r="I69">
        <f t="shared" si="6"/>
        <v>-0.17731651302237358</v>
      </c>
      <c r="J69">
        <f t="shared" si="6"/>
        <v>7.5510964532572542</v>
      </c>
      <c r="L69">
        <f t="shared" si="7"/>
        <v>4140.8514063563925</v>
      </c>
      <c r="N69">
        <f t="shared" si="2"/>
        <v>8.2920476374313541</v>
      </c>
      <c r="O69">
        <f t="shared" si="3"/>
        <v>8.3286566993848083</v>
      </c>
      <c r="P69">
        <f t="shared" si="4"/>
        <v>1.3402234171118522E-3</v>
      </c>
      <c r="S69">
        <f t="shared" si="5"/>
        <v>3.5947053334949172E-2</v>
      </c>
    </row>
    <row r="70" spans="1:19" ht="15.75" x14ac:dyDescent="0.3">
      <c r="A70" s="20">
        <v>48</v>
      </c>
      <c r="B70" s="17">
        <v>154</v>
      </c>
      <c r="C70" s="3">
        <v>44.43</v>
      </c>
      <c r="D70" s="8">
        <v>0.8241312228429547</v>
      </c>
      <c r="E70" s="9">
        <v>1611</v>
      </c>
      <c r="F70" s="4">
        <v>3865</v>
      </c>
      <c r="G70">
        <f t="shared" si="6"/>
        <v>5.0369526024136295</v>
      </c>
      <c r="H70">
        <f t="shared" si="6"/>
        <v>3.7939149169478172</v>
      </c>
      <c r="I70">
        <f t="shared" si="6"/>
        <v>-0.19342551072876016</v>
      </c>
      <c r="J70">
        <f t="shared" si="6"/>
        <v>7.384610383176974</v>
      </c>
      <c r="L70">
        <f t="shared" si="7"/>
        <v>3901.7989163438178</v>
      </c>
      <c r="N70">
        <f t="shared" si="2"/>
        <v>8.2597169610215229</v>
      </c>
      <c r="O70">
        <f t="shared" si="3"/>
        <v>8.2691929863707472</v>
      </c>
      <c r="P70">
        <f t="shared" si="4"/>
        <v>8.9795056419141809E-5</v>
      </c>
      <c r="S70">
        <f t="shared" si="5"/>
        <v>9.4312693023914911E-3</v>
      </c>
    </row>
    <row r="71" spans="1:19" ht="15.75" x14ac:dyDescent="0.3">
      <c r="A71" s="20">
        <v>49</v>
      </c>
      <c r="B71" s="17">
        <v>145</v>
      </c>
      <c r="C71" s="3">
        <v>48.64</v>
      </c>
      <c r="D71" s="8">
        <f>(6523*1.0697*0.7366+14*0.9432+39*1.248)/(6523*1.0697+53)</f>
        <v>0.73984820463692058</v>
      </c>
      <c r="E71" s="9">
        <f>(6523*1.0697+53)</f>
        <v>7030.6531000000004</v>
      </c>
      <c r="F71" s="4">
        <v>6058</v>
      </c>
      <c r="G71">
        <f t="shared" si="6"/>
        <v>4.9767337424205742</v>
      </c>
      <c r="H71">
        <f t="shared" si="6"/>
        <v>3.8844462376579116</v>
      </c>
      <c r="I71">
        <f t="shared" si="6"/>
        <v>-0.30131024269475187</v>
      </c>
      <c r="J71">
        <f t="shared" si="6"/>
        <v>8.8580348823388189</v>
      </c>
      <c r="L71">
        <f t="shared" si="7"/>
        <v>6007.1819141424021</v>
      </c>
      <c r="N71">
        <f t="shared" si="2"/>
        <v>8.7091349915871827</v>
      </c>
      <c r="O71">
        <f t="shared" si="3"/>
        <v>8.7007110180843785</v>
      </c>
      <c r="P71">
        <f t="shared" si="4"/>
        <v>7.0963329575947538E-5</v>
      </c>
      <c r="S71">
        <f t="shared" si="5"/>
        <v>8.4595550099722267E-3</v>
      </c>
    </row>
    <row r="72" spans="1:19" ht="15.75" x14ac:dyDescent="0.3">
      <c r="A72" s="20">
        <v>50</v>
      </c>
      <c r="B72" s="17">
        <v>129</v>
      </c>
      <c r="C72" s="3">
        <v>38.78</v>
      </c>
      <c r="D72" s="8">
        <v>0.83125307414104888</v>
      </c>
      <c r="E72" s="9">
        <v>1106</v>
      </c>
      <c r="F72" s="4">
        <v>3365</v>
      </c>
      <c r="G72">
        <f t="shared" si="6"/>
        <v>4.8598124043616719</v>
      </c>
      <c r="H72">
        <f t="shared" si="6"/>
        <v>3.6579046498145056</v>
      </c>
      <c r="I72">
        <f t="shared" si="6"/>
        <v>-0.1848209888041159</v>
      </c>
      <c r="J72">
        <f t="shared" si="6"/>
        <v>7.0085051820822803</v>
      </c>
      <c r="L72">
        <f t="shared" si="7"/>
        <v>3182.1959069115728</v>
      </c>
      <c r="N72">
        <f t="shared" si="2"/>
        <v>8.1211832420788284</v>
      </c>
      <c r="O72">
        <f t="shared" si="3"/>
        <v>8.0653267742280583</v>
      </c>
      <c r="P72">
        <f t="shared" si="4"/>
        <v>3.1199450007641061E-3</v>
      </c>
      <c r="S72">
        <f t="shared" si="5"/>
        <v>5.744589536156014E-2</v>
      </c>
    </row>
    <row r="73" spans="1:19" ht="15.75" x14ac:dyDescent="0.3">
      <c r="A73" s="20">
        <v>51</v>
      </c>
      <c r="B73" s="17">
        <v>137</v>
      </c>
      <c r="C73" s="3">
        <v>37.92</v>
      </c>
      <c r="D73" s="8">
        <v>0.8440983240223463</v>
      </c>
      <c r="E73" s="9">
        <v>716</v>
      </c>
      <c r="F73" s="4">
        <v>2415</v>
      </c>
      <c r="G73">
        <f t="shared" si="6"/>
        <v>4.9199809258281251</v>
      </c>
      <c r="H73">
        <f t="shared" si="6"/>
        <v>3.6354786773868213</v>
      </c>
      <c r="I73">
        <f t="shared" si="6"/>
        <v>-0.16948629351469657</v>
      </c>
      <c r="J73">
        <f t="shared" si="6"/>
        <v>6.5736801669606457</v>
      </c>
      <c r="L73">
        <f t="shared" si="7"/>
        <v>2542.1476801647759</v>
      </c>
      <c r="N73">
        <f t="shared" si="2"/>
        <v>7.7894545660866727</v>
      </c>
      <c r="O73">
        <f t="shared" si="3"/>
        <v>7.840764546114122</v>
      </c>
      <c r="P73">
        <f t="shared" si="4"/>
        <v>2.6327140504172402E-3</v>
      </c>
      <c r="S73">
        <f t="shared" si="5"/>
        <v>5.001585122565913E-2</v>
      </c>
    </row>
    <row r="74" spans="1:19" ht="15.75" x14ac:dyDescent="0.3">
      <c r="A74" s="20">
        <v>52</v>
      </c>
      <c r="B74" s="17">
        <v>192</v>
      </c>
      <c r="C74" s="3">
        <v>51.74</v>
      </c>
      <c r="D74" s="8">
        <f>(7889*1.0674*0.7451+26*0.9251+21*1.3754)/(7889*1.0674+47)</f>
        <v>0.7472158355451255</v>
      </c>
      <c r="E74" s="9">
        <f>(7889*1.0674+47)</f>
        <v>8467.7186000000002</v>
      </c>
      <c r="F74" s="4">
        <v>5435</v>
      </c>
      <c r="G74">
        <f t="shared" si="6"/>
        <v>5.2574953720277815</v>
      </c>
      <c r="H74">
        <f t="shared" si="6"/>
        <v>3.946231176757883</v>
      </c>
      <c r="I74">
        <f t="shared" si="6"/>
        <v>-0.29140119911069867</v>
      </c>
      <c r="J74">
        <f t="shared" si="6"/>
        <v>9.0440164007153481</v>
      </c>
      <c r="L74">
        <f t="shared" si="7"/>
        <v>5710.3781325849768</v>
      </c>
      <c r="N74">
        <f t="shared" si="2"/>
        <v>8.6006147995553093</v>
      </c>
      <c r="O74">
        <f t="shared" si="3"/>
        <v>8.6500405233269415</v>
      </c>
      <c r="P74">
        <f t="shared" si="4"/>
        <v>2.4429021703496917E-3</v>
      </c>
      <c r="S74">
        <f t="shared" si="5"/>
        <v>4.8224150168549085E-2</v>
      </c>
    </row>
    <row r="75" spans="1:19" ht="15.75" x14ac:dyDescent="0.3">
      <c r="A75" s="20">
        <v>53</v>
      </c>
      <c r="B75" s="17">
        <v>177</v>
      </c>
      <c r="C75" s="3">
        <v>47.68</v>
      </c>
      <c r="D75" s="8">
        <v>0.78466681175390973</v>
      </c>
      <c r="E75" s="9">
        <v>2583</v>
      </c>
      <c r="F75" s="4">
        <v>4535</v>
      </c>
      <c r="G75">
        <f t="shared" si="6"/>
        <v>5.1761497325738288</v>
      </c>
      <c r="H75">
        <f t="shared" si="6"/>
        <v>3.8645120227570944</v>
      </c>
      <c r="I75">
        <f t="shared" si="6"/>
        <v>-0.24249609492701327</v>
      </c>
      <c r="J75">
        <f t="shared" si="6"/>
        <v>7.8567067930958405</v>
      </c>
      <c r="L75">
        <f t="shared" si="7"/>
        <v>4519.1967231551007</v>
      </c>
      <c r="N75">
        <f t="shared" si="2"/>
        <v>8.4195803625492367</v>
      </c>
      <c r="O75">
        <f t="shared" si="3"/>
        <v>8.4160895409167686</v>
      </c>
      <c r="P75">
        <f t="shared" si="4"/>
        <v>1.2185835669706939E-5</v>
      </c>
      <c r="S75">
        <f t="shared" si="5"/>
        <v>3.4969216462580016E-3</v>
      </c>
    </row>
    <row r="76" spans="1:19" ht="15.75" x14ac:dyDescent="0.3">
      <c r="A76" s="20">
        <v>54</v>
      </c>
      <c r="B76" s="17">
        <v>176</v>
      </c>
      <c r="C76" s="3">
        <v>48.11</v>
      </c>
      <c r="D76" s="8">
        <v>0.79100877299711558</v>
      </c>
      <c r="E76" s="9">
        <v>2592.8721580424876</v>
      </c>
      <c r="F76" s="4">
        <v>4575</v>
      </c>
      <c r="G76">
        <f t="shared" si="6"/>
        <v>5.1704839950381514</v>
      </c>
      <c r="H76">
        <f t="shared" si="6"/>
        <v>3.8734900557113625</v>
      </c>
      <c r="I76">
        <f t="shared" si="6"/>
        <v>-0.2344462202556144</v>
      </c>
      <c r="J76">
        <f t="shared" si="6"/>
        <v>7.8605214816014897</v>
      </c>
      <c r="L76">
        <f t="shared" si="7"/>
        <v>4525.9120784124325</v>
      </c>
      <c r="N76">
        <f t="shared" si="2"/>
        <v>8.4283619777096224</v>
      </c>
      <c r="O76">
        <f t="shared" si="3"/>
        <v>8.4175744001127146</v>
      </c>
      <c r="P76">
        <f t="shared" si="4"/>
        <v>1.1637183040930573E-4</v>
      </c>
      <c r="S76">
        <f t="shared" si="5"/>
        <v>1.0845973305956536E-2</v>
      </c>
    </row>
    <row r="77" spans="1:19" ht="15.75" x14ac:dyDescent="0.3">
      <c r="A77" s="20">
        <v>55</v>
      </c>
      <c r="B77" s="17">
        <v>180</v>
      </c>
      <c r="C77" s="3">
        <v>47.23</v>
      </c>
      <c r="D77" s="8">
        <f>(3708*1.0517*0.7831+10*0.8186+12*0.9849+13*1.2101)/(3780*1.0517+34)</f>
        <v>0.77058261934750771</v>
      </c>
      <c r="E77" s="9">
        <f>(3780*1.0517+34)</f>
        <v>4009.4260000000004</v>
      </c>
      <c r="F77" s="4">
        <v>5238</v>
      </c>
      <c r="G77">
        <f t="shared" si="6"/>
        <v>5.1929568508902104</v>
      </c>
      <c r="H77">
        <f t="shared" si="6"/>
        <v>3.8550292839080256</v>
      </c>
      <c r="I77">
        <f t="shared" si="6"/>
        <v>-0.26060840174531336</v>
      </c>
      <c r="J77">
        <f t="shared" si="6"/>
        <v>8.2964033679101625</v>
      </c>
      <c r="L77">
        <f t="shared" si="7"/>
        <v>5127.9591959440577</v>
      </c>
      <c r="N77">
        <f t="shared" si="2"/>
        <v>8.5636950250676573</v>
      </c>
      <c r="O77">
        <f t="shared" si="3"/>
        <v>8.542463041459655</v>
      </c>
      <c r="P77">
        <f t="shared" si="4"/>
        <v>4.5079712793048176E-4</v>
      </c>
      <c r="S77">
        <f t="shared" si="5"/>
        <v>2.1458985895008432E-2</v>
      </c>
    </row>
    <row r="78" spans="1:19" ht="15.75" x14ac:dyDescent="0.3">
      <c r="A78" s="20">
        <v>56</v>
      </c>
      <c r="B78" s="17">
        <v>182</v>
      </c>
      <c r="C78" s="3">
        <v>48.62</v>
      </c>
      <c r="D78" s="8">
        <v>0.77850099024655151</v>
      </c>
      <c r="E78" s="9">
        <f>(3692*1.0563+41)</f>
        <v>3940.8596000000002</v>
      </c>
      <c r="F78" s="4">
        <v>5055</v>
      </c>
      <c r="G78">
        <f t="shared" si="6"/>
        <v>5.2040066870767951</v>
      </c>
      <c r="H78">
        <f t="shared" si="6"/>
        <v>3.8840349688879772</v>
      </c>
      <c r="I78">
        <f t="shared" si="6"/>
        <v>-0.25038501571589172</v>
      </c>
      <c r="J78">
        <f t="shared" si="6"/>
        <v>8.2791541510846347</v>
      </c>
      <c r="L78">
        <f t="shared" si="7"/>
        <v>5038.9461260595699</v>
      </c>
      <c r="N78">
        <f t="shared" si="2"/>
        <v>8.5281331314545721</v>
      </c>
      <c r="O78">
        <f t="shared" si="3"/>
        <v>8.5249522372282414</v>
      </c>
      <c r="P78">
        <f t="shared" si="4"/>
        <v>1.011808807910412E-5</v>
      </c>
      <c r="S78">
        <f t="shared" si="5"/>
        <v>3.1859586387330838E-3</v>
      </c>
    </row>
    <row r="79" spans="1:19" ht="15.75" x14ac:dyDescent="0.3">
      <c r="A79" s="20">
        <v>57</v>
      </c>
      <c r="B79" s="17">
        <v>195</v>
      </c>
      <c r="C79" s="3">
        <v>52.72</v>
      </c>
      <c r="D79" s="8">
        <f>(11314*1.0606*0.7582+9*0.7775+21*0.9886+9*1.1347)/(11314*1.0606+39)</f>
        <v>0.75889780374647986</v>
      </c>
      <c r="E79" s="9">
        <f>(11314*1.0606+39)</f>
        <v>12038.6284</v>
      </c>
      <c r="F79" s="4">
        <v>5210</v>
      </c>
      <c r="G79">
        <f t="shared" si="6"/>
        <v>5.2729995585637468</v>
      </c>
      <c r="H79">
        <f t="shared" si="6"/>
        <v>3.9649948901942516</v>
      </c>
      <c r="I79">
        <f t="shared" si="6"/>
        <v>-0.27588815657239923</v>
      </c>
      <c r="J79">
        <f t="shared" si="6"/>
        <v>9.3958757921076241</v>
      </c>
      <c r="L79">
        <f t="shared" si="7"/>
        <v>6007.6732565800794</v>
      </c>
      <c r="N79">
        <f t="shared" si="2"/>
        <v>8.5583351347474128</v>
      </c>
      <c r="O79">
        <f t="shared" si="3"/>
        <v>8.7007928072413794</v>
      </c>
      <c r="P79">
        <f t="shared" si="4"/>
        <v>2.0294188452398238E-2</v>
      </c>
      <c r="S79">
        <f t="shared" si="5"/>
        <v>0.1327757390444636</v>
      </c>
    </row>
    <row r="80" spans="1:19" ht="15.75" x14ac:dyDescent="0.3">
      <c r="A80" s="20">
        <v>58</v>
      </c>
      <c r="B80" s="17">
        <v>182</v>
      </c>
      <c r="C80" s="3">
        <v>50.99</v>
      </c>
      <c r="D80" s="8">
        <f>(3422*1.1688*0.7252+175*0.9668+52*1.4082+221.5793)/(3422*1.1688+249)</f>
        <v>0.79190871783342287</v>
      </c>
      <c r="E80" s="9">
        <f>(3422*1.1688+249)</f>
        <v>4248.6336000000001</v>
      </c>
      <c r="F80" s="4">
        <v>5019</v>
      </c>
      <c r="G80">
        <f t="shared" si="6"/>
        <v>5.2040066870767951</v>
      </c>
      <c r="H80">
        <f t="shared" si="6"/>
        <v>3.9316295350670645</v>
      </c>
      <c r="I80">
        <f t="shared" si="6"/>
        <v>-0.23330914907093886</v>
      </c>
      <c r="J80">
        <f t="shared" si="6"/>
        <v>8.3543527043420127</v>
      </c>
      <c r="L80">
        <f t="shared" si="7"/>
        <v>5032.9784971967292</v>
      </c>
      <c r="N80">
        <f t="shared" si="2"/>
        <v>8.5209859896549336</v>
      </c>
      <c r="O80">
        <f t="shared" si="3"/>
        <v>8.5237672344041755</v>
      </c>
      <c r="P80">
        <f t="shared" si="4"/>
        <v>7.7353223551856774E-6</v>
      </c>
      <c r="S80">
        <f t="shared" si="5"/>
        <v>2.7773806712098953E-3</v>
      </c>
    </row>
    <row r="81" spans="1:19" ht="15.75" x14ac:dyDescent="0.3">
      <c r="A81" s="20">
        <v>59</v>
      </c>
      <c r="B81" s="17">
        <v>184</v>
      </c>
      <c r="C81" s="3">
        <v>52.67</v>
      </c>
      <c r="D81" s="8">
        <v>0.74776942167439542</v>
      </c>
      <c r="E81" s="9">
        <f>3444*1.1903+272</f>
        <v>4371.3931999999995</v>
      </c>
      <c r="F81" s="4">
        <v>4786</v>
      </c>
      <c r="G81">
        <f t="shared" si="6"/>
        <v>5.2149357576089859</v>
      </c>
      <c r="H81">
        <f t="shared" si="6"/>
        <v>3.9640460334952978</v>
      </c>
      <c r="I81">
        <f t="shared" si="6"/>
        <v>-0.29066060832306528</v>
      </c>
      <c r="J81">
        <f t="shared" si="6"/>
        <v>8.3828370473491542</v>
      </c>
      <c r="L81">
        <f t="shared" si="7"/>
        <v>4950.4337174016719</v>
      </c>
      <c r="N81">
        <f t="shared" si="2"/>
        <v>8.4734502684683193</v>
      </c>
      <c r="O81">
        <f t="shared" si="3"/>
        <v>8.5072304714014617</v>
      </c>
      <c r="P81">
        <f t="shared" si="4"/>
        <v>1.1411021102042847E-3</v>
      </c>
      <c r="S81">
        <f t="shared" si="5"/>
        <v>3.3216022431258402E-2</v>
      </c>
    </row>
    <row r="82" spans="1:19" ht="15.75" x14ac:dyDescent="0.3">
      <c r="A82" s="20">
        <v>60</v>
      </c>
      <c r="B82" s="17">
        <v>182</v>
      </c>
      <c r="C82" s="3">
        <v>51.08</v>
      </c>
      <c r="D82" s="8">
        <v>0.76577585543240156</v>
      </c>
      <c r="E82" s="9">
        <f>6022*1.0868+73</f>
        <v>6617.7096000000001</v>
      </c>
      <c r="F82" s="4">
        <v>5326</v>
      </c>
      <c r="G82">
        <f t="shared" si="6"/>
        <v>5.2040066870767951</v>
      </c>
      <c r="H82">
        <f t="shared" si="6"/>
        <v>3.9333930311643384</v>
      </c>
      <c r="I82">
        <f t="shared" si="6"/>
        <v>-0.26686576899121256</v>
      </c>
      <c r="J82">
        <f t="shared" si="6"/>
        <v>8.7975046071924048</v>
      </c>
      <c r="L82">
        <f t="shared" si="7"/>
        <v>5539.7780870947399</v>
      </c>
      <c r="N82">
        <f t="shared" si="2"/>
        <v>8.5803557663738772</v>
      </c>
      <c r="O82">
        <f t="shared" si="3"/>
        <v>8.6197097224579533</v>
      </c>
      <c r="P82">
        <f t="shared" si="4"/>
        <v>1.5487338594673905E-3</v>
      </c>
      <c r="S82">
        <f t="shared" si="5"/>
        <v>3.8589648129182176E-2</v>
      </c>
    </row>
    <row r="83" spans="1:19" ht="15.75" x14ac:dyDescent="0.3">
      <c r="A83" s="20">
        <v>61</v>
      </c>
      <c r="B83" s="17">
        <v>186</v>
      </c>
      <c r="C83" s="3">
        <v>51.01</v>
      </c>
      <c r="D83" s="8">
        <f>(4400*1.1237*0.7604+75.8464+42*1.295+12*1.3607)/(4400*1.1237+129)</f>
        <v>0.76995460766998858</v>
      </c>
      <c r="E83" s="9">
        <f>(4400*1.1237+129)</f>
        <v>5073.28</v>
      </c>
      <c r="F83" s="4">
        <v>5217</v>
      </c>
      <c r="G83">
        <f t="shared" si="6"/>
        <v>5.2257466737132017</v>
      </c>
      <c r="H83">
        <f t="shared" si="6"/>
        <v>3.932021691934835</v>
      </c>
      <c r="I83">
        <f t="shared" si="6"/>
        <v>-0.26142371695002753</v>
      </c>
      <c r="J83">
        <f t="shared" si="6"/>
        <v>8.5317428302087368</v>
      </c>
      <c r="L83">
        <f t="shared" si="7"/>
        <v>5210.4339737688051</v>
      </c>
      <c r="N83">
        <f t="shared" si="2"/>
        <v>8.5596778030223923</v>
      </c>
      <c r="O83">
        <f t="shared" si="3"/>
        <v>8.5584184275872595</v>
      </c>
      <c r="P83">
        <f t="shared" si="4"/>
        <v>1.5860264866161338E-6</v>
      </c>
      <c r="S83">
        <f t="shared" si="5"/>
        <v>1.260168781381861E-3</v>
      </c>
    </row>
    <row r="84" spans="1:19" ht="15.75" x14ac:dyDescent="0.3">
      <c r="A84" s="20">
        <v>62</v>
      </c>
      <c r="B84" s="17">
        <v>203</v>
      </c>
      <c r="C84" s="3">
        <v>54.78</v>
      </c>
      <c r="D84" s="8">
        <f>(10226*1.0717*0.7267+59*1.0275+32*1.5444)/(10226*1.0717+91)</f>
        <v>0.73067400800973437</v>
      </c>
      <c r="E84" s="9">
        <f>(10226*1.0717+91)</f>
        <v>11050.2042</v>
      </c>
      <c r="F84" s="4">
        <v>5179</v>
      </c>
      <c r="G84">
        <f t="shared" si="6"/>
        <v>5.3132059790417872</v>
      </c>
      <c r="H84">
        <f t="shared" si="6"/>
        <v>4.0033251638349325</v>
      </c>
      <c r="I84">
        <f t="shared" si="6"/>
        <v>-0.31378787217423793</v>
      </c>
      <c r="J84">
        <f t="shared" si="6"/>
        <v>9.3102041864131611</v>
      </c>
      <c r="L84">
        <f t="shared" si="7"/>
        <v>5534.7131446532148</v>
      </c>
      <c r="N84">
        <f t="shared" si="2"/>
        <v>8.5523672664238912</v>
      </c>
      <c r="O84">
        <f t="shared" si="3"/>
        <v>8.618795018082162</v>
      </c>
      <c r="P84">
        <f t="shared" si="4"/>
        <v>4.412646190372892E-3</v>
      </c>
      <c r="S84">
        <f t="shared" si="5"/>
        <v>6.4269481607524673E-2</v>
      </c>
    </row>
    <row r="85" spans="1:19" ht="15.75" x14ac:dyDescent="0.3">
      <c r="A85" s="20">
        <v>63</v>
      </c>
      <c r="B85" s="17">
        <v>157</v>
      </c>
      <c r="C85" s="3">
        <v>46.15</v>
      </c>
      <c r="D85" s="8">
        <f>(2213*0.7641*1.1661+19*0.939+15*1.247+29*1.457)/(2213*1.1661+63)</f>
        <v>0.77569817675981945</v>
      </c>
      <c r="E85" s="9">
        <f>(2213*1.1661+63)</f>
        <v>2643.5792999999999</v>
      </c>
      <c r="F85" s="4">
        <v>4756.0249999999996</v>
      </c>
      <c r="G85">
        <f t="shared" si="6"/>
        <v>5.0562458053483077</v>
      </c>
      <c r="H85">
        <f t="shared" si="6"/>
        <v>3.8318969609488613</v>
      </c>
      <c r="I85">
        <f t="shared" si="6"/>
        <v>-0.25399178193306576</v>
      </c>
      <c r="J85">
        <f t="shared" si="6"/>
        <v>7.8798890733341391</v>
      </c>
      <c r="L85">
        <f t="shared" si="7"/>
        <v>4622.0398435765228</v>
      </c>
      <c r="N85">
        <f t="shared" si="2"/>
        <v>8.467167514314939</v>
      </c>
      <c r="O85">
        <f t="shared" si="3"/>
        <v>8.4385914112161498</v>
      </c>
      <c r="P85">
        <f t="shared" si="4"/>
        <v>8.1659366831263072E-4</v>
      </c>
      <c r="S85">
        <f t="shared" si="5"/>
        <v>2.8988317054359156E-2</v>
      </c>
    </row>
    <row r="86" spans="1:19" ht="15.75" x14ac:dyDescent="0.3">
      <c r="A86" s="20">
        <v>64</v>
      </c>
      <c r="B86" s="17">
        <v>143</v>
      </c>
      <c r="C86" s="3">
        <v>44.34</v>
      </c>
      <c r="D86" s="8">
        <v>0.69889205702647672</v>
      </c>
      <c r="E86" s="9">
        <v>1964</v>
      </c>
      <c r="F86" s="4">
        <v>5249.65</v>
      </c>
      <c r="G86">
        <f t="shared" si="6"/>
        <v>4.962844630259907</v>
      </c>
      <c r="H86">
        <f t="shared" si="6"/>
        <v>3.7918872041881655</v>
      </c>
      <c r="I86">
        <f t="shared" si="6"/>
        <v>-0.35825897352789821</v>
      </c>
      <c r="J86">
        <f t="shared" si="6"/>
        <v>7.5827384889144112</v>
      </c>
      <c r="L86">
        <f t="shared" si="7"/>
        <v>4258.6896945205835</v>
      </c>
      <c r="N86">
        <f t="shared" si="2"/>
        <v>8.5659166866966814</v>
      </c>
      <c r="O86">
        <f t="shared" si="3"/>
        <v>8.3567168085040535</v>
      </c>
      <c r="P86">
        <f t="shared" si="4"/>
        <v>4.3764589035810333E-2</v>
      </c>
      <c r="S86">
        <f t="shared" si="5"/>
        <v>0.23269136202960009</v>
      </c>
    </row>
    <row r="87" spans="1:19" ht="15.75" x14ac:dyDescent="0.3">
      <c r="A87" s="20">
        <v>65</v>
      </c>
      <c r="B87" s="17">
        <v>165</v>
      </c>
      <c r="C87" s="3">
        <v>45.91</v>
      </c>
      <c r="D87" s="8">
        <v>0.76893049792531121</v>
      </c>
      <c r="E87" s="9">
        <v>1928</v>
      </c>
      <c r="F87" s="4">
        <v>4315.0249999999996</v>
      </c>
      <c r="G87">
        <f t="shared" ref="G87:J118" si="8">LN(B87)</f>
        <v>5.1059454739005803</v>
      </c>
      <c r="H87">
        <f t="shared" si="8"/>
        <v>3.8266829582611308</v>
      </c>
      <c r="I87">
        <f t="shared" si="8"/>
        <v>-0.26275469337203305</v>
      </c>
      <c r="J87">
        <f t="shared" si="8"/>
        <v>7.564238475170491</v>
      </c>
      <c r="L87">
        <f t="shared" ref="L87:L118" si="9">EXP(
(_C1_exp8+_C2_exp8*G87)/
(1+(_C3_exp8+_C4_exp8*H87)*(_C5_exp8+_C6_exp8*J87)*(_C7_exp8+_C8_exp8*I87)))</f>
        <v>4168.5020303114788</v>
      </c>
      <c r="N87">
        <f t="shared" ref="N87:N150" si="10">LN(F87)</f>
        <v>8.3698583972435028</v>
      </c>
      <c r="O87">
        <f t="shared" ref="O87:O150" si="11">LN(L87)</f>
        <v>8.3353120249109978</v>
      </c>
      <c r="P87">
        <f t="shared" si="4"/>
        <v>1.193451841336068E-3</v>
      </c>
      <c r="S87">
        <f t="shared" si="5"/>
        <v>3.5150029584505756E-2</v>
      </c>
    </row>
    <row r="88" spans="1:19" ht="15.75" x14ac:dyDescent="0.3">
      <c r="A88" s="20">
        <v>66</v>
      </c>
      <c r="B88" s="17">
        <v>147</v>
      </c>
      <c r="C88" s="3">
        <v>41.15</v>
      </c>
      <c r="D88" s="8">
        <v>0.85086647116324532</v>
      </c>
      <c r="E88" s="9">
        <v>1022</v>
      </c>
      <c r="F88" s="4">
        <v>2965</v>
      </c>
      <c r="G88">
        <f t="shared" si="8"/>
        <v>4.990432586778736</v>
      </c>
      <c r="H88">
        <f t="shared" si="8"/>
        <v>3.7172239271230789</v>
      </c>
      <c r="I88">
        <f t="shared" si="8"/>
        <v>-0.16150007087143284</v>
      </c>
      <c r="J88">
        <f t="shared" si="8"/>
        <v>6.9295167707636498</v>
      </c>
      <c r="L88">
        <f t="shared" si="9"/>
        <v>3146.2627658990382</v>
      </c>
      <c r="N88">
        <f t="shared" si="10"/>
        <v>7.9946323114318254</v>
      </c>
      <c r="O88">
        <f t="shared" si="11"/>
        <v>8.0539706039380086</v>
      </c>
      <c r="P88">
        <f t="shared" ref="P88:P151" si="12">(N88-O88)^2</f>
        <v>3.5210329575493531E-3</v>
      </c>
      <c r="S88">
        <f t="shared" ref="S88:S151" si="13">ABS((F88-L88)/L88)</f>
        <v>5.7612087541977032E-2</v>
      </c>
    </row>
    <row r="89" spans="1:19" ht="15.75" x14ac:dyDescent="0.3">
      <c r="A89" s="20">
        <v>67</v>
      </c>
      <c r="B89" s="17">
        <v>157.9</v>
      </c>
      <c r="C89" s="3">
        <v>42.3</v>
      </c>
      <c r="D89" s="8">
        <v>0.8476117647058824</v>
      </c>
      <c r="E89" s="9">
        <v>1190</v>
      </c>
      <c r="F89" s="4">
        <v>3169.6959999999999</v>
      </c>
      <c r="G89">
        <f t="shared" si="8"/>
        <v>5.0619619212615961</v>
      </c>
      <c r="H89">
        <f t="shared" si="8"/>
        <v>3.7447870860522321</v>
      </c>
      <c r="I89">
        <f t="shared" si="8"/>
        <v>-0.16533257266322196</v>
      </c>
      <c r="J89">
        <f t="shared" si="8"/>
        <v>7.0817085861055746</v>
      </c>
      <c r="L89">
        <f t="shared" si="9"/>
        <v>3381.0345814880079</v>
      </c>
      <c r="N89">
        <f t="shared" si="10"/>
        <v>8.0613909632190897</v>
      </c>
      <c r="O89">
        <f t="shared" si="11"/>
        <v>8.1259370308389585</v>
      </c>
      <c r="P89">
        <f t="shared" si="12"/>
        <v>4.1661948451886767E-3</v>
      </c>
      <c r="S89">
        <f t="shared" si="13"/>
        <v>6.2507074800458556E-2</v>
      </c>
    </row>
    <row r="90" spans="1:19" ht="15.75" x14ac:dyDescent="0.3">
      <c r="A90" s="20">
        <v>68</v>
      </c>
      <c r="B90" s="17">
        <v>147</v>
      </c>
      <c r="C90" s="3">
        <v>45.53</v>
      </c>
      <c r="D90" s="8">
        <v>0.82734391819160391</v>
      </c>
      <c r="E90" s="9">
        <v>1858</v>
      </c>
      <c r="F90" s="4">
        <v>4115.0249999999996</v>
      </c>
      <c r="G90">
        <f t="shared" si="8"/>
        <v>4.990432586778736</v>
      </c>
      <c r="H90">
        <f t="shared" si="8"/>
        <v>3.8183714493466909</v>
      </c>
      <c r="I90">
        <f t="shared" si="8"/>
        <v>-0.18953480802119774</v>
      </c>
      <c r="J90">
        <f t="shared" si="8"/>
        <v>7.5272559193737836</v>
      </c>
      <c r="L90">
        <f t="shared" si="9"/>
        <v>4148.0032678719335</v>
      </c>
      <c r="N90">
        <f t="shared" si="10"/>
        <v>8.3224001884268581</v>
      </c>
      <c r="O90">
        <f t="shared" si="11"/>
        <v>8.3303823571677995</v>
      </c>
      <c r="P90">
        <f t="shared" si="12"/>
        <v>6.3715017808861627E-5</v>
      </c>
      <c r="S90">
        <f t="shared" si="13"/>
        <v>7.9503958271597182E-3</v>
      </c>
    </row>
    <row r="91" spans="1:19" ht="15.75" x14ac:dyDescent="0.3">
      <c r="A91" s="20">
        <v>69</v>
      </c>
      <c r="B91" s="17">
        <v>156</v>
      </c>
      <c r="C91" s="3">
        <v>42.3</v>
      </c>
      <c r="D91" s="8">
        <v>0.86626456310679611</v>
      </c>
      <c r="E91" s="9">
        <v>1235</v>
      </c>
      <c r="F91" s="4">
        <v>3005.6959999999999</v>
      </c>
      <c r="G91">
        <f t="shared" si="8"/>
        <v>5.0498560072495371</v>
      </c>
      <c r="H91">
        <f t="shared" si="8"/>
        <v>3.7447870860522321</v>
      </c>
      <c r="I91">
        <f t="shared" si="8"/>
        <v>-0.14356491695204146</v>
      </c>
      <c r="J91">
        <f t="shared" si="8"/>
        <v>7.1188262490620779</v>
      </c>
      <c r="L91">
        <f t="shared" si="9"/>
        <v>3419.8291777373129</v>
      </c>
      <c r="N91">
        <f t="shared" si="10"/>
        <v>8.0082644341276374</v>
      </c>
      <c r="O91">
        <f t="shared" si="11"/>
        <v>8.137345880779181</v>
      </c>
      <c r="P91">
        <f t="shared" si="12"/>
        <v>1.6662019869655278E-2</v>
      </c>
      <c r="S91">
        <f t="shared" si="13"/>
        <v>0.12109762102542181</v>
      </c>
    </row>
    <row r="92" spans="1:19" ht="15.75" x14ac:dyDescent="0.3">
      <c r="A92" s="20">
        <v>70</v>
      </c>
      <c r="B92" s="17">
        <v>157</v>
      </c>
      <c r="C92" s="3">
        <v>43.65</v>
      </c>
      <c r="D92" s="8">
        <v>0.82463204747774488</v>
      </c>
      <c r="E92" s="9">
        <v>338</v>
      </c>
      <c r="F92" s="4">
        <v>1265.0250000000001</v>
      </c>
      <c r="G92">
        <f t="shared" si="8"/>
        <v>5.0562458053483077</v>
      </c>
      <c r="H92">
        <f t="shared" si="8"/>
        <v>3.7762032822856111</v>
      </c>
      <c r="I92">
        <f t="shared" si="8"/>
        <v>-0.19281799519368123</v>
      </c>
      <c r="J92">
        <f t="shared" si="8"/>
        <v>5.8230458954830189</v>
      </c>
      <c r="L92">
        <f t="shared" si="9"/>
        <v>2281.4449827217522</v>
      </c>
      <c r="N92">
        <f t="shared" si="10"/>
        <v>7.1428471638121884</v>
      </c>
      <c r="O92">
        <f t="shared" si="11"/>
        <v>7.7325642855563173</v>
      </c>
      <c r="P92">
        <f t="shared" si="12"/>
        <v>0.34776628367817963</v>
      </c>
      <c r="S92">
        <f t="shared" si="13"/>
        <v>0.44551588594924973</v>
      </c>
    </row>
    <row r="93" spans="1:19" ht="15.75" x14ac:dyDescent="0.3">
      <c r="A93" s="20">
        <v>71</v>
      </c>
      <c r="B93" s="17">
        <v>170</v>
      </c>
      <c r="C93" s="3">
        <v>51.27</v>
      </c>
      <c r="D93" s="8">
        <f>(7187*1.2099*0.7258+263*1.2356)/(7187*1.2099+263)</f>
        <v>0.74076641538459465</v>
      </c>
      <c r="E93" s="9">
        <f>(7187*1.2099+263)</f>
        <v>8958.5512999999992</v>
      </c>
      <c r="F93" s="4">
        <v>5276</v>
      </c>
      <c r="G93">
        <f t="shared" si="8"/>
        <v>5.1357984370502621</v>
      </c>
      <c r="H93">
        <f t="shared" si="8"/>
        <v>3.9371057857956093</v>
      </c>
      <c r="I93">
        <f t="shared" si="8"/>
        <v>-0.3000699322818059</v>
      </c>
      <c r="J93">
        <f t="shared" si="8"/>
        <v>9.1003638076286464</v>
      </c>
      <c r="L93">
        <f t="shared" si="9"/>
        <v>5917.7887667745836</v>
      </c>
      <c r="N93">
        <f t="shared" si="10"/>
        <v>8.5709235138372044</v>
      </c>
      <c r="O93">
        <f t="shared" si="11"/>
        <v>8.6857181389764921</v>
      </c>
      <c r="P93">
        <f t="shared" si="12"/>
        <v>1.3177805960869591E-2</v>
      </c>
      <c r="S93">
        <f t="shared" si="13"/>
        <v>0.10845077309584041</v>
      </c>
    </row>
    <row r="94" spans="1:19" ht="15.75" x14ac:dyDescent="0.3">
      <c r="A94" s="20">
        <v>72</v>
      </c>
      <c r="B94" s="17">
        <v>174</v>
      </c>
      <c r="C94" s="3">
        <v>48.39</v>
      </c>
      <c r="D94" s="8">
        <f>(3423*1.1713*0.7514+106*0.8642+95*1.4455)/(3423*1.1713+201)</f>
        <v>0.76990110248294918</v>
      </c>
      <c r="E94" s="9">
        <f>3423*1.1713+201</f>
        <v>4210.3598999999995</v>
      </c>
      <c r="F94" s="4">
        <v>4925</v>
      </c>
      <c r="G94">
        <f t="shared" si="8"/>
        <v>5.1590552992145291</v>
      </c>
      <c r="H94">
        <f t="shared" si="8"/>
        <v>3.8792931808052273</v>
      </c>
      <c r="I94">
        <f t="shared" si="8"/>
        <v>-0.26149321071714887</v>
      </c>
      <c r="J94">
        <f t="shared" si="8"/>
        <v>8.3453034099584933</v>
      </c>
      <c r="L94">
        <f t="shared" si="9"/>
        <v>5163.5182364649672</v>
      </c>
      <c r="N94">
        <f t="shared" si="10"/>
        <v>8.5020795536061886</v>
      </c>
      <c r="O94">
        <f t="shared" si="11"/>
        <v>8.5493734549082561</v>
      </c>
      <c r="P94">
        <f t="shared" si="12"/>
        <v>2.2367131003696978E-3</v>
      </c>
      <c r="S94">
        <f t="shared" si="13"/>
        <v>4.6192968736033922E-2</v>
      </c>
    </row>
    <row r="95" spans="1:19" ht="15.75" x14ac:dyDescent="0.3">
      <c r="A95" s="20">
        <v>73</v>
      </c>
      <c r="B95" s="17">
        <v>178</v>
      </c>
      <c r="C95" s="3">
        <v>49.47</v>
      </c>
      <c r="D95" s="8">
        <f>(4003*1.2158*0.7362+288*1.2696)/(4003*1.2158+288)</f>
        <v>0.7660009209739167</v>
      </c>
      <c r="E95" s="9">
        <f>(4003*1.2158+288)</f>
        <v>5154.8473999999997</v>
      </c>
      <c r="F95" s="4">
        <v>4884</v>
      </c>
      <c r="G95">
        <f t="shared" si="8"/>
        <v>5.181783550292085</v>
      </c>
      <c r="H95">
        <f t="shared" si="8"/>
        <v>3.9013664252396172</v>
      </c>
      <c r="I95">
        <f t="shared" si="8"/>
        <v>-0.26657190692645039</v>
      </c>
      <c r="J95">
        <f t="shared" si="8"/>
        <v>8.5476927936850657</v>
      </c>
      <c r="L95">
        <f t="shared" si="9"/>
        <v>5361.4803245629055</v>
      </c>
      <c r="N95">
        <f t="shared" si="10"/>
        <v>8.4937198352305945</v>
      </c>
      <c r="O95">
        <f t="shared" si="11"/>
        <v>8.5869953958899501</v>
      </c>
      <c r="P95">
        <f t="shared" si="12"/>
        <v>8.7003302163171266E-3</v>
      </c>
      <c r="S95">
        <f t="shared" si="13"/>
        <v>8.905755419364185E-2</v>
      </c>
    </row>
    <row r="96" spans="1:19" ht="15.75" x14ac:dyDescent="0.3">
      <c r="A96" s="20">
        <v>74</v>
      </c>
      <c r="B96" s="17">
        <v>174</v>
      </c>
      <c r="C96" s="3">
        <v>48.3</v>
      </c>
      <c r="D96" s="8">
        <v>0.83123413677130042</v>
      </c>
      <c r="E96" s="9">
        <v>1784</v>
      </c>
      <c r="F96" s="4">
        <v>3815</v>
      </c>
      <c r="G96">
        <f t="shared" si="8"/>
        <v>5.1590552992145291</v>
      </c>
      <c r="H96">
        <f t="shared" si="8"/>
        <v>3.8774315606585268</v>
      </c>
      <c r="I96">
        <f t="shared" si="8"/>
        <v>-0.18484377077756503</v>
      </c>
      <c r="J96">
        <f t="shared" si="8"/>
        <v>7.486613313139955</v>
      </c>
      <c r="L96">
        <f t="shared" si="9"/>
        <v>4082.6818194057578</v>
      </c>
      <c r="N96">
        <f t="shared" si="10"/>
        <v>8.2466959437185565</v>
      </c>
      <c r="O96">
        <f t="shared" si="11"/>
        <v>8.314509360143358</v>
      </c>
      <c r="P96">
        <f t="shared" si="12"/>
        <v>4.5986594472035283E-3</v>
      </c>
      <c r="S96">
        <f t="shared" si="13"/>
        <v>6.5565192500041405E-2</v>
      </c>
    </row>
    <row r="97" spans="1:19" ht="15.75" x14ac:dyDescent="0.3">
      <c r="A97" s="20">
        <v>75</v>
      </c>
      <c r="B97" s="17">
        <v>174</v>
      </c>
      <c r="C97" s="3">
        <v>47.5</v>
      </c>
      <c r="D97" s="8">
        <v>0.79573762906309753</v>
      </c>
      <c r="E97" s="9">
        <v>2615</v>
      </c>
      <c r="F97" s="4">
        <v>4374</v>
      </c>
      <c r="G97">
        <f t="shared" si="8"/>
        <v>5.1590552992145291</v>
      </c>
      <c r="H97">
        <f t="shared" si="8"/>
        <v>3.8607297110405954</v>
      </c>
      <c r="I97">
        <f t="shared" si="8"/>
        <v>-0.22848575920141692</v>
      </c>
      <c r="J97">
        <f t="shared" si="8"/>
        <v>7.8690193764990228</v>
      </c>
      <c r="L97">
        <f t="shared" si="9"/>
        <v>4545.7320226713136</v>
      </c>
      <c r="N97">
        <f t="shared" si="10"/>
        <v>8.3834332012367128</v>
      </c>
      <c r="O97">
        <f t="shared" si="11"/>
        <v>8.4219440547364322</v>
      </c>
      <c r="P97">
        <f t="shared" si="12"/>
        <v>1.4830858372768491E-3</v>
      </c>
      <c r="S97">
        <f t="shared" si="13"/>
        <v>3.7778738785044966E-2</v>
      </c>
    </row>
    <row r="98" spans="1:19" ht="15.75" x14ac:dyDescent="0.3">
      <c r="A98" s="20">
        <v>76</v>
      </c>
      <c r="B98" s="17">
        <v>169</v>
      </c>
      <c r="C98" s="3">
        <v>46.200069761207317</v>
      </c>
      <c r="D98" s="8">
        <v>0.81640797824116051</v>
      </c>
      <c r="E98" s="9">
        <v>2206</v>
      </c>
      <c r="F98" s="4">
        <v>4161</v>
      </c>
      <c r="G98">
        <f t="shared" si="8"/>
        <v>5.1298987149230735</v>
      </c>
      <c r="H98">
        <f t="shared" si="8"/>
        <v>3.8329813080693955</v>
      </c>
      <c r="I98">
        <f t="shared" si="8"/>
        <v>-0.20284107562829787</v>
      </c>
      <c r="J98">
        <f t="shared" si="8"/>
        <v>7.6989361998134473</v>
      </c>
      <c r="L98">
        <f t="shared" si="9"/>
        <v>4327.598946518885</v>
      </c>
      <c r="N98">
        <f t="shared" si="10"/>
        <v>8.3335107089829421</v>
      </c>
      <c r="O98">
        <f t="shared" si="11"/>
        <v>8.3727681513802814</v>
      </c>
      <c r="P98">
        <f t="shared" si="12"/>
        <v>1.5411467835804134E-3</v>
      </c>
      <c r="S98">
        <f t="shared" si="13"/>
        <v>3.8496854393796583E-2</v>
      </c>
    </row>
    <row r="99" spans="1:19" ht="15.75" x14ac:dyDescent="0.3">
      <c r="A99" s="20">
        <v>77</v>
      </c>
      <c r="B99" s="17">
        <v>173</v>
      </c>
      <c r="C99" s="3">
        <v>53.3</v>
      </c>
      <c r="D99" s="8">
        <f>(5372*1.1437*0.708+126*0.8667+11*0.8733+25*1.0918+44*1.501)/(5372*1.1437+205)</f>
        <v>0.71855441174552726</v>
      </c>
      <c r="E99" s="9">
        <f>(5372*1.1437+205)</f>
        <v>6348.9564</v>
      </c>
      <c r="F99" s="4">
        <v>5490</v>
      </c>
      <c r="G99">
        <f t="shared" si="8"/>
        <v>5.1532915944977793</v>
      </c>
      <c r="H99">
        <f t="shared" si="8"/>
        <v>3.9759363311717988</v>
      </c>
      <c r="I99">
        <f t="shared" si="8"/>
        <v>-0.33051384669153294</v>
      </c>
      <c r="J99">
        <f t="shared" si="8"/>
        <v>8.7560457319236864</v>
      </c>
      <c r="L99">
        <f t="shared" si="9"/>
        <v>5278.0906168527126</v>
      </c>
      <c r="N99">
        <f t="shared" si="10"/>
        <v>8.6106835345035755</v>
      </c>
      <c r="O99">
        <f t="shared" si="11"/>
        <v>8.5713196857019263</v>
      </c>
      <c r="P99">
        <f t="shared" si="12"/>
        <v>1.5495125924791012E-3</v>
      </c>
      <c r="S99">
        <f t="shared" si="13"/>
        <v>4.0148871728475061E-2</v>
      </c>
    </row>
    <row r="100" spans="1:19" ht="15.75" x14ac:dyDescent="0.3">
      <c r="A100" s="20">
        <v>78</v>
      </c>
      <c r="B100" s="17">
        <v>175</v>
      </c>
      <c r="C100" s="3">
        <v>50.2</v>
      </c>
      <c r="D100" s="8">
        <v>0.77762717770034839</v>
      </c>
      <c r="E100" s="9">
        <v>2870</v>
      </c>
      <c r="F100" s="4">
        <v>4633</v>
      </c>
      <c r="G100">
        <f t="shared" si="8"/>
        <v>5.1647859739235145</v>
      </c>
      <c r="H100">
        <f t="shared" si="8"/>
        <v>3.9160150266976834</v>
      </c>
      <c r="I100">
        <f t="shared" si="8"/>
        <v>-0.25150807570033801</v>
      </c>
      <c r="J100">
        <f t="shared" si="8"/>
        <v>7.9620673087536664</v>
      </c>
      <c r="L100">
        <f t="shared" si="9"/>
        <v>4630.6922737553723</v>
      </c>
      <c r="N100">
        <f t="shared" si="10"/>
        <v>8.4409598854166479</v>
      </c>
      <c r="O100">
        <f t="shared" si="11"/>
        <v>8.4404616550730296</v>
      </c>
      <c r="P100">
        <f t="shared" si="12"/>
        <v>2.4823347530199821E-7</v>
      </c>
      <c r="S100">
        <f t="shared" si="13"/>
        <v>4.9835448097184721E-4</v>
      </c>
    </row>
    <row r="101" spans="1:19" ht="15.75" x14ac:dyDescent="0.3">
      <c r="A101" s="20">
        <v>79</v>
      </c>
      <c r="B101" s="17">
        <v>205</v>
      </c>
      <c r="C101" s="3">
        <v>47.6</v>
      </c>
      <c r="D101" s="8">
        <v>0.7799001584786055</v>
      </c>
      <c r="E101" s="9">
        <v>3786</v>
      </c>
      <c r="F101" s="4">
        <v>4618</v>
      </c>
      <c r="G101">
        <f t="shared" si="8"/>
        <v>5.3230099791384085</v>
      </c>
      <c r="H101">
        <f t="shared" si="8"/>
        <v>3.8628327612373745</v>
      </c>
      <c r="I101">
        <f t="shared" si="8"/>
        <v>-0.24858936944195423</v>
      </c>
      <c r="J101">
        <f t="shared" si="8"/>
        <v>8.2390653317692681</v>
      </c>
      <c r="L101">
        <f t="shared" si="9"/>
        <v>4954.2673963275811</v>
      </c>
      <c r="N101">
        <f t="shared" si="10"/>
        <v>8.4377169899144402</v>
      </c>
      <c r="O101">
        <f t="shared" si="11"/>
        <v>8.5080045844359358</v>
      </c>
      <c r="P101">
        <f t="shared" si="12"/>
        <v>4.9403459436181754E-3</v>
      </c>
      <c r="S101">
        <f t="shared" si="13"/>
        <v>6.7874292892798629E-2</v>
      </c>
    </row>
    <row r="102" spans="1:19" ht="15.75" x14ac:dyDescent="0.3">
      <c r="A102" s="20">
        <v>80</v>
      </c>
      <c r="B102" s="17">
        <v>165</v>
      </c>
      <c r="C102" s="3">
        <v>49.45</v>
      </c>
      <c r="D102" s="8">
        <v>0.81859073191566978</v>
      </c>
      <c r="E102" s="9">
        <v>3878</v>
      </c>
      <c r="F102" s="4">
        <v>4856</v>
      </c>
      <c r="G102">
        <f t="shared" si="8"/>
        <v>5.1059454739005803</v>
      </c>
      <c r="H102">
        <f t="shared" si="8"/>
        <v>3.9009620580687212</v>
      </c>
      <c r="I102">
        <f t="shared" si="8"/>
        <v>-0.2001710368598186</v>
      </c>
      <c r="J102">
        <f t="shared" si="8"/>
        <v>8.2630748358025965</v>
      </c>
      <c r="L102">
        <f t="shared" si="9"/>
        <v>5064.5604626346794</v>
      </c>
      <c r="N102">
        <f t="shared" si="10"/>
        <v>8.4879703327393337</v>
      </c>
      <c r="O102">
        <f t="shared" si="11"/>
        <v>8.5300226335756157</v>
      </c>
      <c r="P102">
        <f t="shared" si="12"/>
        <v>1.7683960056251711E-3</v>
      </c>
      <c r="S102">
        <f t="shared" si="13"/>
        <v>4.1180367807512039E-2</v>
      </c>
    </row>
    <row r="103" spans="1:19" ht="15.75" x14ac:dyDescent="0.3">
      <c r="A103" s="20">
        <v>81</v>
      </c>
      <c r="B103" s="17">
        <v>173</v>
      </c>
      <c r="C103" s="3">
        <v>50.63</v>
      </c>
      <c r="D103" s="8">
        <f>(8735*1.0801*0.8086+36*0.8771+29*1.416)/(8735*1.0801+65)</f>
        <v>0.81071382001707748</v>
      </c>
      <c r="E103" s="9">
        <f>(8735*1.0801+65)</f>
        <v>9499.6735000000008</v>
      </c>
      <c r="F103" s="4">
        <v>5098</v>
      </c>
      <c r="G103">
        <f t="shared" si="8"/>
        <v>5.1532915944977793</v>
      </c>
      <c r="H103">
        <f t="shared" si="8"/>
        <v>3.9245442859818178</v>
      </c>
      <c r="I103">
        <f t="shared" si="8"/>
        <v>-0.20984016011628639</v>
      </c>
      <c r="J103">
        <f t="shared" si="8"/>
        <v>9.1590127085769719</v>
      </c>
      <c r="L103">
        <f t="shared" si="9"/>
        <v>6216.1324929963694</v>
      </c>
      <c r="N103">
        <f t="shared" si="10"/>
        <v>8.53660358493606</v>
      </c>
      <c r="O103">
        <f t="shared" si="11"/>
        <v>8.7349032066524313</v>
      </c>
      <c r="P103">
        <f t="shared" si="12"/>
        <v>3.9322739972855944E-2</v>
      </c>
      <c r="S103">
        <f t="shared" si="13"/>
        <v>0.17987591066569991</v>
      </c>
    </row>
    <row r="104" spans="1:19" ht="15.75" x14ac:dyDescent="0.3">
      <c r="A104" s="20">
        <v>82</v>
      </c>
      <c r="B104" s="17">
        <v>184</v>
      </c>
      <c r="C104" s="3">
        <v>54.68</v>
      </c>
      <c r="D104" s="8">
        <f>(13859*1.0736*0.7393+30*1.0133+28*1.3807)/(13859*1.0736+58)</f>
        <v>0.74105263846427649</v>
      </c>
      <c r="E104" s="9">
        <f>(13859*1.0736+58)</f>
        <v>14937.022400000002</v>
      </c>
      <c r="F104" s="4">
        <v>4695</v>
      </c>
      <c r="G104">
        <f t="shared" si="8"/>
        <v>5.2149357576089859</v>
      </c>
      <c r="H104">
        <f t="shared" si="8"/>
        <v>4.001498011855749</v>
      </c>
      <c r="I104">
        <f t="shared" si="8"/>
        <v>-0.29968361914526198</v>
      </c>
      <c r="J104">
        <f t="shared" si="8"/>
        <v>9.6115981349409552</v>
      </c>
      <c r="L104">
        <f t="shared" si="9"/>
        <v>5914.4188166219001</v>
      </c>
      <c r="N104">
        <f t="shared" si="10"/>
        <v>8.4542533916423626</v>
      </c>
      <c r="O104">
        <f t="shared" si="11"/>
        <v>8.6851485157307788</v>
      </c>
      <c r="P104">
        <f t="shared" si="12"/>
        <v>5.3312558327805154E-2</v>
      </c>
      <c r="S104">
        <f t="shared" si="13"/>
        <v>0.20617728544939054</v>
      </c>
    </row>
    <row r="105" spans="1:19" ht="15.75" x14ac:dyDescent="0.3">
      <c r="A105" s="20">
        <v>83</v>
      </c>
      <c r="B105" s="17">
        <v>165</v>
      </c>
      <c r="C105" s="3">
        <v>46.8</v>
      </c>
      <c r="D105" s="8">
        <v>0.81186086770028443</v>
      </c>
      <c r="E105" s="9">
        <v>1925</v>
      </c>
      <c r="F105" s="4">
        <v>3658</v>
      </c>
      <c r="G105">
        <f t="shared" si="8"/>
        <v>5.1059454739005803</v>
      </c>
      <c r="H105">
        <f t="shared" si="8"/>
        <v>3.8458832029236012</v>
      </c>
      <c r="I105">
        <f t="shared" si="8"/>
        <v>-0.20842629869841844</v>
      </c>
      <c r="J105">
        <f t="shared" si="8"/>
        <v>7.5626812467218842</v>
      </c>
      <c r="L105">
        <f t="shared" si="9"/>
        <v>4170.9710921001524</v>
      </c>
      <c r="N105">
        <f t="shared" si="10"/>
        <v>8.2046718289508114</v>
      </c>
      <c r="O105">
        <f t="shared" si="11"/>
        <v>8.3359041634848801</v>
      </c>
      <c r="P105">
        <f t="shared" si="12"/>
        <v>1.7221925627261717E-2</v>
      </c>
      <c r="S105">
        <f t="shared" si="13"/>
        <v>0.12298600991786376</v>
      </c>
    </row>
    <row r="106" spans="1:19" ht="15.75" x14ac:dyDescent="0.3">
      <c r="A106" s="20">
        <v>84</v>
      </c>
      <c r="B106" s="17">
        <v>185</v>
      </c>
      <c r="C106" s="3">
        <v>45.82</v>
      </c>
      <c r="D106" s="8">
        <v>0.84594531668754847</v>
      </c>
      <c r="E106" s="9">
        <v>1573</v>
      </c>
      <c r="F106" s="4">
        <v>3515</v>
      </c>
      <c r="G106">
        <f t="shared" si="8"/>
        <v>5.2203558250783244</v>
      </c>
      <c r="H106">
        <f t="shared" si="8"/>
        <v>3.8247206770253497</v>
      </c>
      <c r="I106">
        <f t="shared" si="8"/>
        <v>-0.16730055895017334</v>
      </c>
      <c r="J106">
        <f t="shared" si="8"/>
        <v>7.3607399030582776</v>
      </c>
      <c r="L106">
        <f t="shared" si="9"/>
        <v>3824.5736064795797</v>
      </c>
      <c r="N106">
        <f t="shared" si="10"/>
        <v>8.1647948042447656</v>
      </c>
      <c r="O106">
        <f t="shared" si="11"/>
        <v>8.2492022646166134</v>
      </c>
      <c r="P106">
        <f t="shared" si="12"/>
        <v>7.1246193664250695E-3</v>
      </c>
      <c r="S106">
        <f t="shared" si="13"/>
        <v>8.0943299392931309E-2</v>
      </c>
    </row>
    <row r="107" spans="1:19" ht="15.75" x14ac:dyDescent="0.3">
      <c r="A107" s="20">
        <v>85</v>
      </c>
      <c r="B107" s="17">
        <v>190</v>
      </c>
      <c r="C107" s="3">
        <v>45.31</v>
      </c>
      <c r="D107" s="8">
        <v>0.8405067484662575</v>
      </c>
      <c r="E107" s="9">
        <v>1303</v>
      </c>
      <c r="F107" s="4">
        <v>3515</v>
      </c>
      <c r="G107">
        <f t="shared" si="8"/>
        <v>5.2470240721604862</v>
      </c>
      <c r="H107">
        <f t="shared" si="8"/>
        <v>3.8135277586790468</v>
      </c>
      <c r="I107">
        <f t="shared" si="8"/>
        <v>-0.17375029705652975</v>
      </c>
      <c r="J107">
        <f t="shared" si="8"/>
        <v>7.1724245771248452</v>
      </c>
      <c r="L107">
        <f t="shared" si="9"/>
        <v>3569.4547041762289</v>
      </c>
      <c r="N107">
        <f t="shared" si="10"/>
        <v>8.1647948042447656</v>
      </c>
      <c r="O107">
        <f t="shared" si="11"/>
        <v>8.1801681191789157</v>
      </c>
      <c r="P107">
        <f t="shared" si="12"/>
        <v>2.3633881206456473E-4</v>
      </c>
      <c r="S107">
        <f t="shared" si="13"/>
        <v>1.5255748759752412E-2</v>
      </c>
    </row>
    <row r="108" spans="1:19" ht="15.75" x14ac:dyDescent="0.3">
      <c r="A108" s="20">
        <v>86</v>
      </c>
      <c r="B108" s="17">
        <v>171</v>
      </c>
      <c r="C108" s="3">
        <v>47.73</v>
      </c>
      <c r="D108" s="8">
        <v>0.82248795518505935</v>
      </c>
      <c r="E108" s="9">
        <v>3198</v>
      </c>
      <c r="F108" s="4">
        <v>4815</v>
      </c>
      <c r="G108">
        <f t="shared" si="8"/>
        <v>5.1416635565026603</v>
      </c>
      <c r="H108">
        <f t="shared" si="8"/>
        <v>3.8655601310178049</v>
      </c>
      <c r="I108">
        <f t="shared" si="8"/>
        <v>-0.19542144060174027</v>
      </c>
      <c r="J108">
        <f t="shared" si="8"/>
        <v>8.0702808933938996</v>
      </c>
      <c r="L108">
        <f t="shared" si="9"/>
        <v>4834.1828211077554</v>
      </c>
      <c r="N108">
        <f t="shared" si="10"/>
        <v>8.4794913242322263</v>
      </c>
      <c r="O108">
        <f t="shared" si="11"/>
        <v>8.4834673803885234</v>
      </c>
      <c r="P108">
        <f t="shared" si="12"/>
        <v>1.5809022558028447E-5</v>
      </c>
      <c r="S108">
        <f t="shared" si="13"/>
        <v>3.9681621108735169E-3</v>
      </c>
    </row>
    <row r="109" spans="1:19" ht="15.75" x14ac:dyDescent="0.3">
      <c r="A109" s="20">
        <v>87</v>
      </c>
      <c r="B109" s="17">
        <v>181</v>
      </c>
      <c r="C109" s="3">
        <v>51.15</v>
      </c>
      <c r="D109" s="8">
        <f>(14468*1.0403*0.6844+28*0.9129+11*1.3494)/(14468*1.0403+39)</f>
        <v>0.68530874387752616</v>
      </c>
      <c r="E109" s="9">
        <f>(14468*1.0403+39)</f>
        <v>15090.0604</v>
      </c>
      <c r="F109" s="4">
        <v>7295</v>
      </c>
      <c r="G109">
        <f t="shared" si="8"/>
        <v>5.1984970312658261</v>
      </c>
      <c r="H109">
        <f t="shared" si="8"/>
        <v>3.9347624923976356</v>
      </c>
      <c r="I109">
        <f t="shared" si="8"/>
        <v>-0.37788582127501658</v>
      </c>
      <c r="J109">
        <f t="shared" si="8"/>
        <v>9.6217915544046466</v>
      </c>
      <c r="L109">
        <f t="shared" si="9"/>
        <v>6459.0005410519552</v>
      </c>
      <c r="N109">
        <f t="shared" si="10"/>
        <v>8.8949444609568857</v>
      </c>
      <c r="O109">
        <f t="shared" si="11"/>
        <v>8.7732298697996089</v>
      </c>
      <c r="P109">
        <f t="shared" si="12"/>
        <v>1.4814441700583041E-2</v>
      </c>
      <c r="S109">
        <f t="shared" si="13"/>
        <v>0.12943170597906289</v>
      </c>
    </row>
    <row r="110" spans="1:19" ht="15.75" x14ac:dyDescent="0.3">
      <c r="A110" s="20">
        <v>88</v>
      </c>
      <c r="B110" s="17">
        <v>169</v>
      </c>
      <c r="C110" s="3">
        <v>47.84</v>
      </c>
      <c r="D110" s="8">
        <v>0.80864126002039083</v>
      </c>
      <c r="E110" s="9">
        <v>3019.0898226608274</v>
      </c>
      <c r="F110" s="4">
        <v>4735</v>
      </c>
      <c r="G110">
        <f t="shared" si="8"/>
        <v>5.1298987149230735</v>
      </c>
      <c r="H110">
        <f t="shared" si="8"/>
        <v>3.8678621096423762</v>
      </c>
      <c r="I110">
        <f t="shared" si="8"/>
        <v>-0.21239989658656028</v>
      </c>
      <c r="J110">
        <f t="shared" si="8"/>
        <v>8.012710681718973</v>
      </c>
      <c r="L110">
        <f t="shared" si="9"/>
        <v>4753.7404134687831</v>
      </c>
      <c r="N110">
        <f t="shared" si="10"/>
        <v>8.4627370056201787</v>
      </c>
      <c r="O110">
        <f t="shared" si="11"/>
        <v>8.4666870426154102</v>
      </c>
      <c r="P110">
        <f t="shared" si="12"/>
        <v>1.5602792263697047E-5</v>
      </c>
      <c r="S110">
        <f t="shared" si="13"/>
        <v>3.9422458608984754E-3</v>
      </c>
    </row>
    <row r="111" spans="1:19" ht="15.75" x14ac:dyDescent="0.3">
      <c r="A111" s="20">
        <v>89</v>
      </c>
      <c r="B111" s="17">
        <v>155</v>
      </c>
      <c r="C111" s="3">
        <v>40.33</v>
      </c>
      <c r="D111" s="8">
        <v>0.8641896139865074</v>
      </c>
      <c r="E111" s="9">
        <v>897</v>
      </c>
      <c r="F111" s="4">
        <v>2236.6959999999999</v>
      </c>
      <c r="G111">
        <f t="shared" si="8"/>
        <v>5.0434251169192468</v>
      </c>
      <c r="H111">
        <f t="shared" si="8"/>
        <v>3.6970956088852769</v>
      </c>
      <c r="I111">
        <f t="shared" si="8"/>
        <v>-0.14596307362351163</v>
      </c>
      <c r="J111">
        <f t="shared" si="8"/>
        <v>6.799055862058796</v>
      </c>
      <c r="L111">
        <f t="shared" si="9"/>
        <v>2903.8750925796417</v>
      </c>
      <c r="N111">
        <f t="shared" si="10"/>
        <v>7.7127550559657188</v>
      </c>
      <c r="O111">
        <f t="shared" si="11"/>
        <v>7.9738013628225426</v>
      </c>
      <c r="P111">
        <f t="shared" si="12"/>
        <v>6.8145174323587035E-2</v>
      </c>
      <c r="S111">
        <f t="shared" si="13"/>
        <v>0.22975474884732622</v>
      </c>
    </row>
    <row r="112" spans="1:19" ht="15.75" x14ac:dyDescent="0.3">
      <c r="A112" s="20">
        <v>90</v>
      </c>
      <c r="B112" s="17">
        <v>165</v>
      </c>
      <c r="C112" s="3">
        <v>42.16</v>
      </c>
      <c r="D112" s="8">
        <v>0.75937338889354078</v>
      </c>
      <c r="E112" s="9">
        <v>1230</v>
      </c>
      <c r="F112" s="4">
        <v>3314.6959999999999</v>
      </c>
      <c r="G112">
        <f t="shared" si="8"/>
        <v>5.1059454739005803</v>
      </c>
      <c r="H112">
        <f t="shared" si="8"/>
        <v>3.7414719042331068</v>
      </c>
      <c r="I112">
        <f t="shared" si="8"/>
        <v>-0.27526167407714913</v>
      </c>
      <c r="J112">
        <f t="shared" si="8"/>
        <v>7.114769448366463</v>
      </c>
      <c r="L112">
        <f t="shared" si="9"/>
        <v>3475.0795074093198</v>
      </c>
      <c r="N112">
        <f t="shared" si="10"/>
        <v>8.1061211940408029</v>
      </c>
      <c r="O112">
        <f t="shared" si="11"/>
        <v>8.1533726375671733</v>
      </c>
      <c r="P112">
        <f t="shared" si="12"/>
        <v>2.2326989153257761E-3</v>
      </c>
      <c r="S112">
        <f t="shared" si="13"/>
        <v>4.6152471351334982E-2</v>
      </c>
    </row>
    <row r="113" spans="1:19" ht="15.75" x14ac:dyDescent="0.3">
      <c r="A113" s="20">
        <v>91</v>
      </c>
      <c r="B113" s="17">
        <v>148</v>
      </c>
      <c r="C113" s="3">
        <v>44.8</v>
      </c>
      <c r="D113" s="8">
        <v>0.88665790947270184</v>
      </c>
      <c r="E113" s="9">
        <v>2143</v>
      </c>
      <c r="F113" s="4">
        <v>4498</v>
      </c>
      <c r="G113">
        <f t="shared" si="8"/>
        <v>4.9972122737641147</v>
      </c>
      <c r="H113">
        <f t="shared" si="8"/>
        <v>3.8022081394209395</v>
      </c>
      <c r="I113">
        <f t="shared" si="8"/>
        <v>-0.12029604245782206</v>
      </c>
      <c r="J113">
        <f t="shared" si="8"/>
        <v>7.6699619954735772</v>
      </c>
      <c r="L113">
        <f t="shared" si="9"/>
        <v>4324.4824312222781</v>
      </c>
      <c r="N113">
        <f t="shared" si="10"/>
        <v>8.4113881325192619</v>
      </c>
      <c r="O113">
        <f t="shared" si="11"/>
        <v>8.3720477431235096</v>
      </c>
      <c r="P113">
        <f t="shared" si="12"/>
        <v>1.5476662378094152E-3</v>
      </c>
      <c r="S113">
        <f t="shared" si="13"/>
        <v>4.0124470740115506E-2</v>
      </c>
    </row>
    <row r="114" spans="1:19" ht="15.75" x14ac:dyDescent="0.3">
      <c r="A114" s="20">
        <v>92</v>
      </c>
      <c r="B114" s="17">
        <v>154</v>
      </c>
      <c r="C114" s="3">
        <v>44.91</v>
      </c>
      <c r="D114" s="8">
        <v>0.83274397003745326</v>
      </c>
      <c r="E114" s="9">
        <v>1335</v>
      </c>
      <c r="F114" s="4">
        <v>3365</v>
      </c>
      <c r="G114">
        <f t="shared" si="8"/>
        <v>5.0369526024136295</v>
      </c>
      <c r="H114">
        <f t="shared" si="8"/>
        <v>3.8046604870996465</v>
      </c>
      <c r="I114">
        <f t="shared" si="8"/>
        <v>-0.18302904295833708</v>
      </c>
      <c r="J114">
        <f t="shared" si="8"/>
        <v>7.1966865708343501</v>
      </c>
      <c r="L114">
        <f t="shared" si="9"/>
        <v>3673.879359911125</v>
      </c>
      <c r="N114">
        <f t="shared" si="10"/>
        <v>8.1211832420788284</v>
      </c>
      <c r="O114">
        <f t="shared" si="11"/>
        <v>8.2090034290658718</v>
      </c>
      <c r="P114">
        <f t="shared" si="12"/>
        <v>7.7123852424392696E-3</v>
      </c>
      <c r="S114">
        <f t="shared" si="13"/>
        <v>8.4074442748875974E-2</v>
      </c>
    </row>
    <row r="115" spans="1:19" ht="15.75" x14ac:dyDescent="0.3">
      <c r="A115" s="20">
        <v>93</v>
      </c>
      <c r="B115" s="17">
        <v>159</v>
      </c>
      <c r="C115" s="3">
        <v>46.47</v>
      </c>
      <c r="D115" s="8">
        <v>0.83111498405951112</v>
      </c>
      <c r="E115" s="9">
        <v>1882</v>
      </c>
      <c r="F115" s="4">
        <v>3955</v>
      </c>
      <c r="G115">
        <f t="shared" si="8"/>
        <v>5.0689042022202315</v>
      </c>
      <c r="H115">
        <f t="shared" si="8"/>
        <v>3.8388069430968867</v>
      </c>
      <c r="I115">
        <f t="shared" si="8"/>
        <v>-0.1849871253960387</v>
      </c>
      <c r="J115">
        <f t="shared" si="8"/>
        <v>7.5400903201453247</v>
      </c>
      <c r="L115">
        <f t="shared" si="9"/>
        <v>4147.3172006932882</v>
      </c>
      <c r="N115">
        <f t="shared" si="10"/>
        <v>8.2827358802017539</v>
      </c>
      <c r="O115">
        <f t="shared" si="11"/>
        <v>8.3302169465166234</v>
      </c>
      <c r="P115">
        <f t="shared" si="12"/>
        <v>2.2544516583970333E-3</v>
      </c>
      <c r="S115">
        <f t="shared" si="13"/>
        <v>4.6371471336009558E-2</v>
      </c>
    </row>
    <row r="116" spans="1:19" ht="15.75" x14ac:dyDescent="0.3">
      <c r="A116" s="20">
        <v>94</v>
      </c>
      <c r="B116" s="17">
        <v>148</v>
      </c>
      <c r="C116" s="3">
        <v>44.56</v>
      </c>
      <c r="D116" s="8">
        <v>0.88824140253969686</v>
      </c>
      <c r="E116" s="9">
        <v>2038</v>
      </c>
      <c r="F116" s="4">
        <v>4349</v>
      </c>
      <c r="G116">
        <f t="shared" si="8"/>
        <v>4.9972122737641147</v>
      </c>
      <c r="H116">
        <f t="shared" si="8"/>
        <v>3.7968365956190286</v>
      </c>
      <c r="I116">
        <f t="shared" si="8"/>
        <v>-0.11851172322753732</v>
      </c>
      <c r="J116">
        <f t="shared" si="8"/>
        <v>7.6197242137826704</v>
      </c>
      <c r="L116">
        <f t="shared" si="9"/>
        <v>4241.3052567560972</v>
      </c>
      <c r="N116">
        <f t="shared" si="10"/>
        <v>8.3777012125976391</v>
      </c>
      <c r="O116">
        <f t="shared" si="11"/>
        <v>8.3526263444264437</v>
      </c>
      <c r="P116">
        <f t="shared" si="12"/>
        <v>6.2874901380282906E-4</v>
      </c>
      <c r="S116">
        <f t="shared" si="13"/>
        <v>2.5391886866042664E-2</v>
      </c>
    </row>
    <row r="117" spans="1:19" ht="15.75" x14ac:dyDescent="0.3">
      <c r="A117" s="20">
        <v>95</v>
      </c>
      <c r="B117" s="17">
        <v>154</v>
      </c>
      <c r="C117" s="3">
        <v>45.09</v>
      </c>
      <c r="D117" s="8">
        <v>0.84009799161896836</v>
      </c>
      <c r="E117" s="9">
        <v>1759</v>
      </c>
      <c r="F117" s="4">
        <v>3915</v>
      </c>
      <c r="G117">
        <f t="shared" si="8"/>
        <v>5.0369526024136295</v>
      </c>
      <c r="H117">
        <f t="shared" si="8"/>
        <v>3.8086604924329928</v>
      </c>
      <c r="I117">
        <f t="shared" si="8"/>
        <v>-0.17423673725939212</v>
      </c>
      <c r="J117">
        <f t="shared" si="8"/>
        <v>7.472500744737558</v>
      </c>
      <c r="L117">
        <f t="shared" si="9"/>
        <v>4034.3271612705598</v>
      </c>
      <c r="N117">
        <f t="shared" si="10"/>
        <v>8.2725706084249033</v>
      </c>
      <c r="O117">
        <f t="shared" si="11"/>
        <v>8.3025948161851364</v>
      </c>
      <c r="P117">
        <f t="shared" si="12"/>
        <v>9.0145305162963956E-4</v>
      </c>
      <c r="S117">
        <f t="shared" si="13"/>
        <v>2.9577958479941241E-2</v>
      </c>
    </row>
    <row r="118" spans="1:19" ht="15.75" x14ac:dyDescent="0.3">
      <c r="A118" s="20">
        <v>96</v>
      </c>
      <c r="B118" s="17">
        <v>162</v>
      </c>
      <c r="C118" s="3">
        <v>47.21</v>
      </c>
      <c r="D118" s="8">
        <v>0.84338973647711524</v>
      </c>
      <c r="E118" s="9">
        <v>2163</v>
      </c>
      <c r="F118" s="4">
        <v>4133</v>
      </c>
      <c r="G118">
        <f t="shared" si="8"/>
        <v>5.0875963352323836</v>
      </c>
      <c r="H118">
        <f t="shared" si="8"/>
        <v>3.8546057345581954</v>
      </c>
      <c r="I118">
        <f t="shared" si="8"/>
        <v>-0.17032610696696809</v>
      </c>
      <c r="J118">
        <f t="shared" si="8"/>
        <v>7.6792514259530584</v>
      </c>
      <c r="L118">
        <f t="shared" si="9"/>
        <v>4329.6942517896914</v>
      </c>
      <c r="N118">
        <f t="shared" si="10"/>
        <v>8.3267588145117326</v>
      </c>
      <c r="O118">
        <f t="shared" si="11"/>
        <v>8.3732522069075053</v>
      </c>
      <c r="P118">
        <f t="shared" si="12"/>
        <v>2.161635536467291E-3</v>
      </c>
      <c r="S118">
        <f t="shared" si="13"/>
        <v>4.5429132024365756E-2</v>
      </c>
    </row>
    <row r="119" spans="1:19" ht="15.75" x14ac:dyDescent="0.3">
      <c r="A119" s="20">
        <v>97</v>
      </c>
      <c r="B119" s="17">
        <v>162</v>
      </c>
      <c r="C119" s="3">
        <v>47.8</v>
      </c>
      <c r="D119" s="8">
        <v>0.80202568367570037</v>
      </c>
      <c r="E119" s="9">
        <v>2369</v>
      </c>
      <c r="F119" s="4">
        <v>4397</v>
      </c>
      <c r="G119">
        <f t="shared" ref="G119:J150" si="14">LN(B119)</f>
        <v>5.0875963352323836</v>
      </c>
      <c r="H119">
        <f t="shared" si="14"/>
        <v>3.8670256394974101</v>
      </c>
      <c r="I119">
        <f t="shared" si="14"/>
        <v>-0.22061464709510473</v>
      </c>
      <c r="J119">
        <f t="shared" si="14"/>
        <v>7.7702232041587855</v>
      </c>
      <c r="L119">
        <f t="shared" ref="L119:L150" si="15">EXP(
(_C1_exp8+_C2_exp8*G119)/
(1+(_C3_exp8+_C4_exp8*H119)*(_C5_exp8+_C6_exp8*J119)*(_C7_exp8+_C8_exp8*I119)))</f>
        <v>4456.4088626844687</v>
      </c>
      <c r="N119">
        <f t="shared" si="10"/>
        <v>8.388677769180811</v>
      </c>
      <c r="O119">
        <f t="shared" si="11"/>
        <v>8.4020985329374405</v>
      </c>
      <c r="P119">
        <f t="shared" si="12"/>
        <v>1.8011689981125951E-4</v>
      </c>
      <c r="S119">
        <f t="shared" si="13"/>
        <v>1.3331106842984268E-2</v>
      </c>
    </row>
    <row r="120" spans="1:19" ht="15.75" x14ac:dyDescent="0.3">
      <c r="A120" s="20">
        <v>98</v>
      </c>
      <c r="B120" s="1">
        <v>190</v>
      </c>
      <c r="C120" s="6">
        <v>54.83</v>
      </c>
      <c r="D120" s="8">
        <f>(9115*1.1799*0.7354+85*0.8537+66*1.0042+31*1.183+27*1.3195)/(9115*1.1799+210)</f>
        <v>0.74057175502290817</v>
      </c>
      <c r="E120" s="9">
        <f>(9115*1.1799+210)</f>
        <v>10964.788499999999</v>
      </c>
      <c r="F120" s="1">
        <v>5706</v>
      </c>
      <c r="G120">
        <f t="shared" si="14"/>
        <v>5.2470240721604862</v>
      </c>
      <c r="H120">
        <f t="shared" si="14"/>
        <v>4.0042374894159574</v>
      </c>
      <c r="I120">
        <f t="shared" si="14"/>
        <v>-0.30033274919518282</v>
      </c>
      <c r="J120">
        <f t="shared" si="14"/>
        <v>9.3024443720202701</v>
      </c>
      <c r="L120">
        <f t="shared" si="15"/>
        <v>5580.4647260823695</v>
      </c>
      <c r="N120">
        <f t="shared" si="10"/>
        <v>8.6492735317734457</v>
      </c>
      <c r="O120">
        <f t="shared" si="11"/>
        <v>8.6270273361515688</v>
      </c>
      <c r="P120">
        <f t="shared" si="12"/>
        <v>4.9489321964681532E-4</v>
      </c>
      <c r="S120">
        <f t="shared" si="13"/>
        <v>2.2495487397473358E-2</v>
      </c>
    </row>
    <row r="121" spans="1:19" ht="15.75" x14ac:dyDescent="0.3">
      <c r="A121" s="20">
        <v>99</v>
      </c>
      <c r="B121" s="1">
        <v>177</v>
      </c>
      <c r="C121" s="6">
        <v>52.46</v>
      </c>
      <c r="D121" s="8">
        <f>(4572*1.2006*0.7484+163*1.1376+34*1.2528+35*1.3791)/(4572*1.2006+231)</f>
        <v>0.76647858586477324</v>
      </c>
      <c r="E121" s="9">
        <f>4572*1.2006+231</f>
        <v>5720.1431999999995</v>
      </c>
      <c r="F121" s="1">
        <v>4809</v>
      </c>
      <c r="G121">
        <f t="shared" si="14"/>
        <v>5.1761497325738288</v>
      </c>
      <c r="H121">
        <f t="shared" si="14"/>
        <v>3.9600509744387278</v>
      </c>
      <c r="I121">
        <f t="shared" si="14"/>
        <v>-0.26594851861464086</v>
      </c>
      <c r="J121">
        <f t="shared" si="14"/>
        <v>8.6517491190255083</v>
      </c>
      <c r="L121">
        <f t="shared" si="15"/>
        <v>5270.6985192065085</v>
      </c>
      <c r="N121">
        <f t="shared" si="10"/>
        <v>8.4782444412776634</v>
      </c>
      <c r="O121">
        <f t="shared" si="11"/>
        <v>8.569918179090914</v>
      </c>
      <c r="P121">
        <f t="shared" si="12"/>
        <v>8.4040742046526153E-3</v>
      </c>
      <c r="S121">
        <f t="shared" si="13"/>
        <v>8.7597216483559406E-2</v>
      </c>
    </row>
    <row r="122" spans="1:19" ht="15.75" x14ac:dyDescent="0.3">
      <c r="A122" s="20">
        <v>100</v>
      </c>
      <c r="B122" s="1">
        <v>165</v>
      </c>
      <c r="C122" s="6">
        <v>47.27</v>
      </c>
      <c r="D122" s="8">
        <v>0.83708334249218064</v>
      </c>
      <c r="E122" s="10">
        <v>2453</v>
      </c>
      <c r="F122" s="1">
        <v>4257</v>
      </c>
      <c r="G122">
        <f t="shared" si="14"/>
        <v>5.1059454739005803</v>
      </c>
      <c r="H122">
        <f t="shared" si="14"/>
        <v>3.8558758448051451</v>
      </c>
      <c r="I122">
        <f t="shared" si="14"/>
        <v>-0.17783164057972209</v>
      </c>
      <c r="J122">
        <f t="shared" si="14"/>
        <v>7.8050670442584895</v>
      </c>
      <c r="L122">
        <f t="shared" si="15"/>
        <v>4489.8768499669468</v>
      </c>
      <c r="N122">
        <f t="shared" si="10"/>
        <v>8.3563199658281526</v>
      </c>
      <c r="O122">
        <f t="shared" si="11"/>
        <v>8.4095805527358678</v>
      </c>
      <c r="P122">
        <f t="shared" si="12"/>
        <v>2.8366901177542814E-3</v>
      </c>
      <c r="S122">
        <f t="shared" si="13"/>
        <v>5.186709073516374E-2</v>
      </c>
    </row>
    <row r="123" spans="1:19" ht="15.75" x14ac:dyDescent="0.3">
      <c r="A123" s="20">
        <v>101</v>
      </c>
      <c r="B123" s="1">
        <v>158</v>
      </c>
      <c r="C123" s="6">
        <v>47.86</v>
      </c>
      <c r="D123" s="8">
        <v>0.82586756361566482</v>
      </c>
      <c r="E123" s="9">
        <v>2179.0347581216583</v>
      </c>
      <c r="F123" s="1">
        <v>4127</v>
      </c>
      <c r="G123">
        <f t="shared" si="14"/>
        <v>5.0625950330269669</v>
      </c>
      <c r="H123">
        <f t="shared" si="14"/>
        <v>3.868280082480227</v>
      </c>
      <c r="I123">
        <f t="shared" si="14"/>
        <v>-0.19132085292185863</v>
      </c>
      <c r="J123">
        <f t="shared" si="14"/>
        <v>7.6866372862270618</v>
      </c>
      <c r="L123">
        <f t="shared" si="15"/>
        <v>4362.1113675195384</v>
      </c>
      <c r="N123">
        <f t="shared" si="10"/>
        <v>8.325306029752582</v>
      </c>
      <c r="O123">
        <f t="shared" si="11"/>
        <v>8.3807114777331204</v>
      </c>
      <c r="P123">
        <f t="shared" si="12"/>
        <v>3.0697636659241432E-3</v>
      </c>
      <c r="S123">
        <f t="shared" si="13"/>
        <v>5.3898524753445622E-2</v>
      </c>
    </row>
    <row r="124" spans="1:19" ht="15.75" x14ac:dyDescent="0.3">
      <c r="A124" s="20">
        <v>102</v>
      </c>
      <c r="B124" s="1">
        <v>143</v>
      </c>
      <c r="C124" s="6">
        <v>47.09</v>
      </c>
      <c r="D124" s="8">
        <v>0.80344012511170682</v>
      </c>
      <c r="E124" s="10">
        <v>2238</v>
      </c>
      <c r="F124" s="1">
        <v>4503</v>
      </c>
      <c r="G124">
        <f t="shared" si="14"/>
        <v>4.962844630259907</v>
      </c>
      <c r="H124">
        <f t="shared" si="14"/>
        <v>3.8520606642554633</v>
      </c>
      <c r="I124">
        <f t="shared" si="14"/>
        <v>-0.21885261417702825</v>
      </c>
      <c r="J124">
        <f t="shared" si="14"/>
        <v>7.7133378888718704</v>
      </c>
      <c r="L124">
        <f t="shared" si="15"/>
        <v>4444.0457704847549</v>
      </c>
      <c r="N124">
        <f t="shared" si="10"/>
        <v>8.4124991203015718</v>
      </c>
      <c r="O124">
        <f t="shared" si="11"/>
        <v>8.399320450095491</v>
      </c>
      <c r="P124">
        <f t="shared" si="12"/>
        <v>1.7367734840064089E-4</v>
      </c>
      <c r="S124">
        <f t="shared" si="13"/>
        <v>1.3265891613176243E-2</v>
      </c>
    </row>
    <row r="125" spans="1:19" ht="15.75" x14ac:dyDescent="0.3">
      <c r="A125" s="20">
        <v>103</v>
      </c>
      <c r="B125" s="1">
        <v>135</v>
      </c>
      <c r="C125" s="6">
        <v>44.46</v>
      </c>
      <c r="D125" s="8">
        <v>0.84994320263829215</v>
      </c>
      <c r="E125" s="10">
        <v>1973</v>
      </c>
      <c r="F125" s="1">
        <v>4335</v>
      </c>
      <c r="G125">
        <f t="shared" si="14"/>
        <v>4.9052747784384296</v>
      </c>
      <c r="H125">
        <f t="shared" si="14"/>
        <v>3.7945899085360506</v>
      </c>
      <c r="I125">
        <f t="shared" si="14"/>
        <v>-0.16258575215589766</v>
      </c>
      <c r="J125">
        <f t="shared" si="14"/>
        <v>7.5873105060226154</v>
      </c>
      <c r="L125">
        <f t="shared" si="15"/>
        <v>4245.6773646423953</v>
      </c>
      <c r="N125">
        <f t="shared" si="10"/>
        <v>8.3744768892146428</v>
      </c>
      <c r="O125">
        <f t="shared" si="11"/>
        <v>8.3536566536583816</v>
      </c>
      <c r="P125">
        <f t="shared" si="12"/>
        <v>4.334822086182041E-4</v>
      </c>
      <c r="S125">
        <f t="shared" si="13"/>
        <v>2.103848872301867E-2</v>
      </c>
    </row>
    <row r="126" spans="1:19" ht="15.75" x14ac:dyDescent="0.3">
      <c r="A126" s="20">
        <v>104</v>
      </c>
      <c r="B126" s="1">
        <v>159</v>
      </c>
      <c r="C126" s="15">
        <v>43.6</v>
      </c>
      <c r="D126" s="13">
        <v>0.89081440935686729</v>
      </c>
      <c r="E126" s="11">
        <v>1315</v>
      </c>
      <c r="F126" s="11">
        <v>2900</v>
      </c>
      <c r="G126">
        <f t="shared" si="14"/>
        <v>5.0689042022202315</v>
      </c>
      <c r="H126">
        <f t="shared" si="14"/>
        <v>3.7750571503549888</v>
      </c>
      <c r="I126">
        <f t="shared" si="14"/>
        <v>-0.11561916798113434</v>
      </c>
      <c r="J126">
        <f t="shared" si="14"/>
        <v>7.1815919446118652</v>
      </c>
      <c r="L126">
        <f t="shared" si="15"/>
        <v>3541.8993292913892</v>
      </c>
      <c r="N126">
        <f t="shared" si="10"/>
        <v>7.9724660159745655</v>
      </c>
      <c r="O126">
        <f t="shared" si="11"/>
        <v>8.1724183959432111</v>
      </c>
      <c r="P126">
        <f t="shared" si="12"/>
        <v>3.9980954255125614E-2</v>
      </c>
      <c r="S126">
        <f t="shared" si="13"/>
        <v>0.18123025800956655</v>
      </c>
    </row>
    <row r="127" spans="1:19" ht="15.75" x14ac:dyDescent="0.3">
      <c r="A127" s="20">
        <v>105</v>
      </c>
      <c r="B127" s="1">
        <v>163</v>
      </c>
      <c r="C127" s="16">
        <v>47.771298521831739</v>
      </c>
      <c r="D127" s="13">
        <v>0.78564357945546592</v>
      </c>
      <c r="E127" s="11">
        <v>1883.8370124237647</v>
      </c>
      <c r="F127" s="11">
        <v>3584.9960000000001</v>
      </c>
      <c r="G127">
        <f t="shared" si="14"/>
        <v>5.0937502008067623</v>
      </c>
      <c r="H127">
        <f t="shared" si="14"/>
        <v>3.8664250098214503</v>
      </c>
      <c r="I127">
        <f t="shared" si="14"/>
        <v>-0.24125205065016408</v>
      </c>
      <c r="J127">
        <f t="shared" si="14"/>
        <v>7.5410659399416229</v>
      </c>
      <c r="L127">
        <f t="shared" si="15"/>
        <v>4179.0471280975089</v>
      </c>
      <c r="N127">
        <f t="shared" si="10"/>
        <v>8.1845126372729862</v>
      </c>
      <c r="O127">
        <f t="shared" si="11"/>
        <v>8.3378385397467358</v>
      </c>
      <c r="P127">
        <f t="shared" si="12"/>
        <v>2.3508832369389793E-2</v>
      </c>
      <c r="S127">
        <f t="shared" si="13"/>
        <v>0.1421498992206742</v>
      </c>
    </row>
    <row r="128" spans="1:19" ht="15.75" x14ac:dyDescent="0.3">
      <c r="A128" s="20">
        <v>106</v>
      </c>
      <c r="B128" s="1">
        <v>157</v>
      </c>
      <c r="C128" s="15">
        <v>40.200000000000003</v>
      </c>
      <c r="D128" s="13">
        <v>0.85875487465181055</v>
      </c>
      <c r="E128" s="11">
        <v>1077</v>
      </c>
      <c r="F128" s="11">
        <v>3313</v>
      </c>
      <c r="G128">
        <f t="shared" si="14"/>
        <v>5.0562458053483077</v>
      </c>
      <c r="H128">
        <f t="shared" si="14"/>
        <v>3.6938669956249757</v>
      </c>
      <c r="I128">
        <f t="shared" si="14"/>
        <v>-0.15227175901125453</v>
      </c>
      <c r="J128">
        <f t="shared" si="14"/>
        <v>6.9819346771563886</v>
      </c>
      <c r="L128">
        <f t="shared" si="15"/>
        <v>3128.5858892147508</v>
      </c>
      <c r="N128">
        <f t="shared" si="10"/>
        <v>8.1056094022998959</v>
      </c>
      <c r="O128">
        <f t="shared" si="11"/>
        <v>8.0483363888620332</v>
      </c>
      <c r="P128">
        <f t="shared" si="12"/>
        <v>3.2801980682536048E-3</v>
      </c>
      <c r="S128">
        <f t="shared" si="13"/>
        <v>5.894487711556344E-2</v>
      </c>
    </row>
    <row r="129" spans="1:19" ht="15.75" x14ac:dyDescent="0.3">
      <c r="A129" s="20">
        <v>107</v>
      </c>
      <c r="B129" s="1">
        <v>151</v>
      </c>
      <c r="C129" s="15">
        <v>40.700000000000003</v>
      </c>
      <c r="D129" s="13">
        <v>0.89849999999999997</v>
      </c>
      <c r="E129" s="11">
        <v>828</v>
      </c>
      <c r="F129" s="11">
        <v>2551</v>
      </c>
      <c r="G129">
        <f t="shared" si="14"/>
        <v>5.0172798368149243</v>
      </c>
      <c r="H129">
        <f t="shared" si="14"/>
        <v>3.7062280924485496</v>
      </c>
      <c r="I129">
        <f t="shared" si="14"/>
        <v>-0.10702857275852336</v>
      </c>
      <c r="J129">
        <f t="shared" si="14"/>
        <v>6.7190131543852596</v>
      </c>
      <c r="L129">
        <f t="shared" si="15"/>
        <v>2806.5818147642899</v>
      </c>
      <c r="N129">
        <f t="shared" si="10"/>
        <v>7.844240718141811</v>
      </c>
      <c r="O129">
        <f t="shared" si="11"/>
        <v>7.9397225858420031</v>
      </c>
      <c r="P129">
        <f t="shared" si="12"/>
        <v>9.1167870595169811E-3</v>
      </c>
      <c r="S129">
        <f t="shared" si="13"/>
        <v>9.1065157416675868E-2</v>
      </c>
    </row>
    <row r="130" spans="1:19" ht="15.75" x14ac:dyDescent="0.3">
      <c r="A130" s="20">
        <v>108</v>
      </c>
      <c r="B130" s="1">
        <v>153</v>
      </c>
      <c r="C130" s="15">
        <v>39.299999999999997</v>
      </c>
      <c r="D130" s="14">
        <v>0.87901334951456311</v>
      </c>
      <c r="E130" s="11">
        <v>824</v>
      </c>
      <c r="F130" s="11">
        <v>2528</v>
      </c>
      <c r="G130">
        <f t="shared" si="14"/>
        <v>5.0304379213924353</v>
      </c>
      <c r="H130">
        <f t="shared" si="14"/>
        <v>3.6712245188752153</v>
      </c>
      <c r="I130">
        <f t="shared" si="14"/>
        <v>-0.12895519425123364</v>
      </c>
      <c r="J130">
        <f t="shared" si="14"/>
        <v>6.7141705299094721</v>
      </c>
      <c r="L130">
        <f t="shared" si="15"/>
        <v>2724.9018463506591</v>
      </c>
      <c r="N130">
        <f t="shared" si="10"/>
        <v>7.8351837552667485</v>
      </c>
      <c r="O130">
        <f t="shared" si="11"/>
        <v>7.9101876867607883</v>
      </c>
      <c r="P130">
        <f t="shared" si="12"/>
        <v>5.6255897395626206E-3</v>
      </c>
      <c r="S130">
        <f t="shared" si="13"/>
        <v>7.2260161082264684E-2</v>
      </c>
    </row>
    <row r="131" spans="1:19" ht="15.75" x14ac:dyDescent="0.3">
      <c r="A131" s="20">
        <v>109</v>
      </c>
      <c r="B131" s="1">
        <v>153</v>
      </c>
      <c r="C131" s="15">
        <v>42.6</v>
      </c>
      <c r="D131" s="14">
        <v>0.86815831435079716</v>
      </c>
      <c r="E131" s="11">
        <v>878</v>
      </c>
      <c r="F131" s="11">
        <v>2562</v>
      </c>
      <c r="G131">
        <f t="shared" si="14"/>
        <v>5.0304379213924353</v>
      </c>
      <c r="H131">
        <f t="shared" si="14"/>
        <v>3.751854253275325</v>
      </c>
      <c r="I131">
        <f t="shared" si="14"/>
        <v>-0.14138119114771935</v>
      </c>
      <c r="J131">
        <f t="shared" si="14"/>
        <v>6.7776465936351169</v>
      </c>
      <c r="L131">
        <f t="shared" si="15"/>
        <v>3023.1089928915062</v>
      </c>
      <c r="N131">
        <f t="shared" si="10"/>
        <v>7.8485434824566793</v>
      </c>
      <c r="O131">
        <f t="shared" si="11"/>
        <v>8.0140410486751605</v>
      </c>
      <c r="P131">
        <f t="shared" si="12"/>
        <v>2.7389444424240576E-2</v>
      </c>
      <c r="S131">
        <f t="shared" si="13"/>
        <v>0.15252807423607653</v>
      </c>
    </row>
    <row r="132" spans="1:19" ht="15.75" x14ac:dyDescent="0.3">
      <c r="A132" s="20">
        <v>110</v>
      </c>
      <c r="B132" s="1">
        <v>170</v>
      </c>
      <c r="C132" s="16">
        <v>38.33</v>
      </c>
      <c r="D132" s="14">
        <v>0.98686008676789583</v>
      </c>
      <c r="E132" s="12">
        <v>461</v>
      </c>
      <c r="F132" s="11">
        <v>1714.9959999999999</v>
      </c>
      <c r="G132">
        <f t="shared" si="14"/>
        <v>5.1357984370502621</v>
      </c>
      <c r="H132">
        <f t="shared" si="14"/>
        <v>3.6462328793924637</v>
      </c>
      <c r="I132">
        <f t="shared" si="14"/>
        <v>-1.3227005657891307E-2</v>
      </c>
      <c r="J132">
        <f t="shared" si="14"/>
        <v>6.1333980429966486</v>
      </c>
      <c r="L132">
        <f t="shared" si="15"/>
        <v>1923.1689945696123</v>
      </c>
      <c r="N132">
        <f t="shared" si="10"/>
        <v>7.447166027235804</v>
      </c>
      <c r="O132">
        <f t="shared" si="11"/>
        <v>7.5617296224189241</v>
      </c>
      <c r="P132">
        <f t="shared" si="12"/>
        <v>1.3124817341281817E-2</v>
      </c>
      <c r="S132">
        <f t="shared" si="13"/>
        <v>0.10824477472204655</v>
      </c>
    </row>
    <row r="133" spans="1:19" ht="15.75" x14ac:dyDescent="0.3">
      <c r="A133" s="20">
        <v>111</v>
      </c>
      <c r="B133" s="1">
        <v>165</v>
      </c>
      <c r="C133" s="16">
        <v>37.9</v>
      </c>
      <c r="D133" s="14">
        <v>0.9594061224489796</v>
      </c>
      <c r="E133" s="12">
        <v>441</v>
      </c>
      <c r="F133" s="11">
        <v>1614.9959999999999</v>
      </c>
      <c r="G133">
        <f t="shared" si="14"/>
        <v>5.1059454739005803</v>
      </c>
      <c r="H133">
        <f t="shared" si="14"/>
        <v>3.6349511120883808</v>
      </c>
      <c r="I133">
        <f t="shared" si="14"/>
        <v>-4.144080839505284E-2</v>
      </c>
      <c r="J133">
        <f t="shared" si="14"/>
        <v>6.089044875446846</v>
      </c>
      <c r="L133">
        <f t="shared" si="15"/>
        <v>1887.8518062225371</v>
      </c>
      <c r="N133">
        <f t="shared" si="10"/>
        <v>7.3870877588735038</v>
      </c>
      <c r="O133">
        <f t="shared" si="11"/>
        <v>7.5431948511578746</v>
      </c>
      <c r="P133">
        <f t="shared" si="12"/>
        <v>2.4369424261481063E-2</v>
      </c>
      <c r="S133">
        <f t="shared" si="13"/>
        <v>0.14453242851116749</v>
      </c>
    </row>
    <row r="134" spans="1:19" ht="15.75" x14ac:dyDescent="0.3">
      <c r="A134" s="20">
        <v>112</v>
      </c>
      <c r="B134" s="1">
        <v>151</v>
      </c>
      <c r="C134" s="15">
        <v>44.7</v>
      </c>
      <c r="D134" s="14">
        <v>0.83362575680739615</v>
      </c>
      <c r="E134" s="11">
        <v>1428</v>
      </c>
      <c r="F134" s="11">
        <v>3575</v>
      </c>
      <c r="G134">
        <f t="shared" si="14"/>
        <v>5.0172798368149243</v>
      </c>
      <c r="H134">
        <f t="shared" si="14"/>
        <v>3.7999735016195233</v>
      </c>
      <c r="I134">
        <f t="shared" si="14"/>
        <v>-0.18197071017895133</v>
      </c>
      <c r="J134">
        <f t="shared" si="14"/>
        <v>7.2640301428995295</v>
      </c>
      <c r="L134">
        <f t="shared" si="15"/>
        <v>3757.0147972769382</v>
      </c>
      <c r="N134">
        <f t="shared" si="10"/>
        <v>8.181720455128108</v>
      </c>
      <c r="O134">
        <f t="shared" si="11"/>
        <v>8.2313799841546977</v>
      </c>
      <c r="P134">
        <f t="shared" si="12"/>
        <v>2.4660688231427116E-3</v>
      </c>
      <c r="S134">
        <f t="shared" si="13"/>
        <v>4.8446654351444518E-2</v>
      </c>
    </row>
    <row r="135" spans="1:19" ht="15.75" x14ac:dyDescent="0.3">
      <c r="A135" s="20">
        <v>113</v>
      </c>
      <c r="B135" s="1">
        <v>161</v>
      </c>
      <c r="C135" s="15">
        <v>43.6</v>
      </c>
      <c r="D135" s="14">
        <v>0.85542971530249112</v>
      </c>
      <c r="E135" s="11">
        <v>1124</v>
      </c>
      <c r="F135" s="11">
        <v>3131</v>
      </c>
      <c r="G135">
        <f t="shared" si="14"/>
        <v>5.0814043649844631</v>
      </c>
      <c r="H135">
        <f t="shared" si="14"/>
        <v>3.7750571503549888</v>
      </c>
      <c r="I135">
        <f t="shared" si="14"/>
        <v>-0.15615134530486452</v>
      </c>
      <c r="J135">
        <f t="shared" si="14"/>
        <v>7.0246490304536362</v>
      </c>
      <c r="L135">
        <f t="shared" si="15"/>
        <v>3364.2213345357782</v>
      </c>
      <c r="N135">
        <f t="shared" si="10"/>
        <v>8.049107721326406</v>
      </c>
      <c r="O135">
        <f t="shared" si="11"/>
        <v>8.120951813974747</v>
      </c>
      <c r="P135">
        <f t="shared" si="12"/>
        <v>5.161573648463408E-3</v>
      </c>
      <c r="S135">
        <f t="shared" si="13"/>
        <v>6.9324016271349126E-2</v>
      </c>
    </row>
    <row r="136" spans="1:19" ht="15.75" x14ac:dyDescent="0.3">
      <c r="A136" s="20">
        <v>114</v>
      </c>
      <c r="B136" s="1">
        <v>160</v>
      </c>
      <c r="C136" s="15">
        <v>44.4</v>
      </c>
      <c r="D136" s="14">
        <v>0.87219552541973877</v>
      </c>
      <c r="E136" s="11">
        <v>1178</v>
      </c>
      <c r="F136" s="11">
        <v>2992</v>
      </c>
      <c r="G136">
        <f t="shared" si="14"/>
        <v>5.0751738152338266</v>
      </c>
      <c r="H136">
        <f t="shared" si="14"/>
        <v>3.7932394694381792</v>
      </c>
      <c r="I136">
        <f t="shared" si="14"/>
        <v>-0.13674165380935618</v>
      </c>
      <c r="J136">
        <f t="shared" si="14"/>
        <v>7.0715733642115319</v>
      </c>
      <c r="L136">
        <f t="shared" si="15"/>
        <v>3452.944811084275</v>
      </c>
      <c r="N136">
        <f t="shared" si="10"/>
        <v>8.0036973390943675</v>
      </c>
      <c r="O136">
        <f t="shared" si="11"/>
        <v>8.1469827143732623</v>
      </c>
      <c r="P136">
        <f t="shared" si="12"/>
        <v>2.0530698768813697E-2</v>
      </c>
      <c r="S136">
        <f t="shared" si="13"/>
        <v>0.13349324599819815</v>
      </c>
    </row>
    <row r="137" spans="1:19" ht="15.75" x14ac:dyDescent="0.3">
      <c r="A137" s="20">
        <v>115</v>
      </c>
      <c r="B137" s="1">
        <v>175</v>
      </c>
      <c r="C137" s="16">
        <v>37.82</v>
      </c>
      <c r="D137" s="14">
        <v>0.97651249999999989</v>
      </c>
      <c r="E137" s="12">
        <v>440</v>
      </c>
      <c r="F137" s="11">
        <v>1614.9959999999999</v>
      </c>
      <c r="G137">
        <f t="shared" si="14"/>
        <v>5.1647859739235145</v>
      </c>
      <c r="H137">
        <f t="shared" si="14"/>
        <v>3.6328380632303117</v>
      </c>
      <c r="I137">
        <f t="shared" si="14"/>
        <v>-2.3767727928080892E-2</v>
      </c>
      <c r="J137">
        <f t="shared" si="14"/>
        <v>6.0867747269123065</v>
      </c>
      <c r="L137">
        <f t="shared" si="15"/>
        <v>1851.3469931940108</v>
      </c>
      <c r="N137">
        <f t="shared" si="10"/>
        <v>7.3870877588735038</v>
      </c>
      <c r="O137">
        <f t="shared" si="11"/>
        <v>7.5236687575621302</v>
      </c>
      <c r="P137">
        <f t="shared" si="12"/>
        <v>1.8654369202782562E-2</v>
      </c>
      <c r="S137">
        <f t="shared" si="13"/>
        <v>0.12766434064650931</v>
      </c>
    </row>
    <row r="138" spans="1:19" ht="15.75" x14ac:dyDescent="0.3">
      <c r="A138" s="20">
        <v>116</v>
      </c>
      <c r="B138" s="1">
        <v>156</v>
      </c>
      <c r="C138" s="15">
        <v>44</v>
      </c>
      <c r="D138" s="14">
        <v>0.82269146712161434</v>
      </c>
      <c r="E138" s="11">
        <v>1477</v>
      </c>
      <c r="F138" s="18">
        <v>3629</v>
      </c>
      <c r="G138">
        <f t="shared" si="14"/>
        <v>5.0498560072495371</v>
      </c>
      <c r="H138">
        <f t="shared" si="14"/>
        <v>3.784189633918261</v>
      </c>
      <c r="I138">
        <f t="shared" si="14"/>
        <v>-0.19517403665924782</v>
      </c>
      <c r="J138">
        <f t="shared" si="14"/>
        <v>7.2977682825313801</v>
      </c>
      <c r="L138">
        <f t="shared" si="15"/>
        <v>3765.2214563422081</v>
      </c>
      <c r="N138">
        <f t="shared" si="10"/>
        <v>8.1967124072130702</v>
      </c>
      <c r="O138">
        <f t="shared" si="11"/>
        <v>8.233561958249787</v>
      </c>
      <c r="P138">
        <f t="shared" si="12"/>
        <v>1.3578894116075986E-3</v>
      </c>
      <c r="S138">
        <f t="shared" si="13"/>
        <v>3.6178869668543438E-2</v>
      </c>
    </row>
    <row r="139" spans="1:19" ht="15.75" x14ac:dyDescent="0.3">
      <c r="A139" s="20">
        <v>117</v>
      </c>
      <c r="B139" s="1">
        <v>159</v>
      </c>
      <c r="C139" s="15">
        <v>41.1</v>
      </c>
      <c r="D139" s="14">
        <v>0.84155519828510184</v>
      </c>
      <c r="E139" s="11">
        <v>933</v>
      </c>
      <c r="F139" s="11">
        <v>2788</v>
      </c>
      <c r="G139">
        <f t="shared" si="14"/>
        <v>5.0689042022202315</v>
      </c>
      <c r="H139">
        <f t="shared" si="14"/>
        <v>3.7160081215021892</v>
      </c>
      <c r="I139">
        <f t="shared" si="14"/>
        <v>-0.17250367239249773</v>
      </c>
      <c r="J139">
        <f t="shared" si="14"/>
        <v>6.8384052008473439</v>
      </c>
      <c r="L139">
        <f t="shared" si="15"/>
        <v>3013.2046545015637</v>
      </c>
      <c r="N139">
        <f t="shared" si="10"/>
        <v>7.9330797718804149</v>
      </c>
      <c r="O139">
        <f t="shared" si="11"/>
        <v>8.010759460654171</v>
      </c>
      <c r="P139">
        <f t="shared" si="12"/>
        <v>6.034134047987607E-3</v>
      </c>
      <c r="S139">
        <f t="shared" si="13"/>
        <v>7.473924951135337E-2</v>
      </c>
    </row>
    <row r="140" spans="1:19" ht="15.75" x14ac:dyDescent="0.3">
      <c r="A140" s="20">
        <v>118</v>
      </c>
      <c r="B140" s="1">
        <v>165</v>
      </c>
      <c r="C140" s="15">
        <v>44.3</v>
      </c>
      <c r="D140" s="14">
        <v>0.84429487179487173</v>
      </c>
      <c r="E140" s="11">
        <v>1482</v>
      </c>
      <c r="F140" s="11">
        <v>3482</v>
      </c>
      <c r="G140">
        <f t="shared" si="14"/>
        <v>5.1059454739005803</v>
      </c>
      <c r="H140">
        <f t="shared" si="14"/>
        <v>3.7909846770510898</v>
      </c>
      <c r="I140">
        <f t="shared" si="14"/>
        <v>-0.16925347123858198</v>
      </c>
      <c r="J140">
        <f t="shared" si="14"/>
        <v>7.301147805856032</v>
      </c>
      <c r="L140">
        <f t="shared" si="15"/>
        <v>3743.8847929522144</v>
      </c>
      <c r="N140">
        <f t="shared" si="10"/>
        <v>8.1553621203281352</v>
      </c>
      <c r="O140">
        <f t="shared" si="11"/>
        <v>8.2278790660108516</v>
      </c>
      <c r="P140">
        <f t="shared" si="12"/>
        <v>5.2587074111500381E-3</v>
      </c>
      <c r="S140">
        <f t="shared" si="13"/>
        <v>6.9950013805234371E-2</v>
      </c>
    </row>
    <row r="141" spans="1:19" ht="15.75" x14ac:dyDescent="0.3">
      <c r="A141" s="20">
        <v>119</v>
      </c>
      <c r="B141" s="1">
        <v>157</v>
      </c>
      <c r="C141" s="15">
        <v>42.2</v>
      </c>
      <c r="D141" s="14">
        <v>0.84965544554455452</v>
      </c>
      <c r="E141" s="11">
        <v>1010</v>
      </c>
      <c r="F141" s="11">
        <v>2976</v>
      </c>
      <c r="G141">
        <f t="shared" si="14"/>
        <v>5.0562458053483077</v>
      </c>
      <c r="H141">
        <f t="shared" si="14"/>
        <v>3.7424202210419661</v>
      </c>
      <c r="I141">
        <f t="shared" si="14"/>
        <v>-0.16292436986048908</v>
      </c>
      <c r="J141">
        <f t="shared" si="14"/>
        <v>6.9177056098353047</v>
      </c>
      <c r="L141">
        <f t="shared" si="15"/>
        <v>3170.589670422974</v>
      </c>
      <c r="N141">
        <f t="shared" si="10"/>
        <v>7.9983353959529824</v>
      </c>
      <c r="O141">
        <f t="shared" si="11"/>
        <v>8.0616728654788137</v>
      </c>
      <c r="P141">
        <f t="shared" si="12"/>
        <v>4.011635045935609E-3</v>
      </c>
      <c r="S141">
        <f t="shared" si="13"/>
        <v>6.1373337659620483E-2</v>
      </c>
    </row>
    <row r="142" spans="1:19" ht="15.75" x14ac:dyDescent="0.3">
      <c r="A142" s="20">
        <v>120</v>
      </c>
      <c r="B142" s="1">
        <v>159</v>
      </c>
      <c r="C142" s="16">
        <v>42.44</v>
      </c>
      <c r="D142" s="14">
        <f>(811*0.799+61*1.333)/(872)</f>
        <v>0.83635550458715602</v>
      </c>
      <c r="E142" s="12">
        <v>872</v>
      </c>
      <c r="F142" s="11">
        <v>2814.6959999999999</v>
      </c>
      <c r="G142">
        <f t="shared" si="14"/>
        <v>5.0689042022202315</v>
      </c>
      <c r="H142">
        <f t="shared" si="14"/>
        <v>3.7480913137457823</v>
      </c>
      <c r="I142">
        <f t="shared" si="14"/>
        <v>-0.17870151156686892</v>
      </c>
      <c r="J142">
        <f t="shared" si="14"/>
        <v>6.7707894239089796</v>
      </c>
      <c r="L142">
        <f t="shared" si="15"/>
        <v>3023.6780006245685</v>
      </c>
      <c r="N142">
        <f t="shared" si="10"/>
        <v>7.9426095418469336</v>
      </c>
      <c r="O142">
        <f t="shared" si="11"/>
        <v>8.0142292503549459</v>
      </c>
      <c r="P142">
        <f t="shared" si="12"/>
        <v>5.129382646772658E-3</v>
      </c>
      <c r="S142">
        <f t="shared" si="13"/>
        <v>6.9115163910112604E-2</v>
      </c>
    </row>
    <row r="143" spans="1:19" ht="15.75" x14ac:dyDescent="0.3">
      <c r="A143" s="20">
        <v>121</v>
      </c>
      <c r="B143" s="1">
        <v>156</v>
      </c>
      <c r="C143" s="16">
        <v>41.48</v>
      </c>
      <c r="D143" s="14">
        <v>0.83803829145728648</v>
      </c>
      <c r="E143" s="12">
        <v>779</v>
      </c>
      <c r="F143" s="11">
        <v>2364.6959999999999</v>
      </c>
      <c r="G143">
        <f t="shared" si="14"/>
        <v>5.0498560072495371</v>
      </c>
      <c r="H143">
        <f t="shared" si="14"/>
        <v>3.7252113833613265</v>
      </c>
      <c r="I143">
        <f t="shared" si="14"/>
        <v>-0.17669148568087642</v>
      </c>
      <c r="J143">
        <f t="shared" si="14"/>
        <v>6.6580110458707482</v>
      </c>
      <c r="L143">
        <f t="shared" si="15"/>
        <v>2842.4471240909716</v>
      </c>
      <c r="N143">
        <f t="shared" si="10"/>
        <v>7.7684047514376866</v>
      </c>
      <c r="O143">
        <f t="shared" si="11"/>
        <v>7.9524206235487611</v>
      </c>
      <c r="P143">
        <f t="shared" si="12"/>
        <v>3.3861841188799327E-2</v>
      </c>
      <c r="S143">
        <f t="shared" si="13"/>
        <v>0.16807740064602214</v>
      </c>
    </row>
    <row r="144" spans="1:19" ht="15.75" x14ac:dyDescent="0.3">
      <c r="A144" s="20">
        <v>122</v>
      </c>
      <c r="B144" s="1">
        <v>165</v>
      </c>
      <c r="C144" s="15">
        <v>44</v>
      </c>
      <c r="D144" s="14">
        <v>0.87540818768020245</v>
      </c>
      <c r="E144" s="11">
        <v>1147</v>
      </c>
      <c r="F144" s="11">
        <v>2988</v>
      </c>
      <c r="G144">
        <f t="shared" si="14"/>
        <v>5.1059454739005803</v>
      </c>
      <c r="H144">
        <f t="shared" si="14"/>
        <v>3.784189633918261</v>
      </c>
      <c r="I144">
        <f t="shared" si="14"/>
        <v>-0.13306500119596956</v>
      </c>
      <c r="J144">
        <f t="shared" si="14"/>
        <v>7.0449051171293711</v>
      </c>
      <c r="L144">
        <f t="shared" si="15"/>
        <v>3385.0242725565518</v>
      </c>
      <c r="N144">
        <f t="shared" si="10"/>
        <v>8.0023595462527073</v>
      </c>
      <c r="O144">
        <f t="shared" si="11"/>
        <v>8.1271163559429862</v>
      </c>
      <c r="P144">
        <f t="shared" si="12"/>
        <v>1.556426156409647E-2</v>
      </c>
      <c r="S144">
        <f t="shared" si="13"/>
        <v>0.11728845662211389</v>
      </c>
    </row>
    <row r="145" spans="1:19" ht="15.75" x14ac:dyDescent="0.3">
      <c r="A145" s="20">
        <v>123</v>
      </c>
      <c r="B145" s="1">
        <v>158</v>
      </c>
      <c r="C145" s="15">
        <v>41.7</v>
      </c>
      <c r="D145" s="14">
        <v>0.8943024523160763</v>
      </c>
      <c r="E145" s="11">
        <v>734</v>
      </c>
      <c r="F145" s="11">
        <v>2327</v>
      </c>
      <c r="G145">
        <f t="shared" si="14"/>
        <v>5.0625950330269669</v>
      </c>
      <c r="H145">
        <f t="shared" si="14"/>
        <v>3.730501128804756</v>
      </c>
      <c r="I145">
        <f t="shared" si="14"/>
        <v>-0.11171124747109074</v>
      </c>
      <c r="J145">
        <f t="shared" si="14"/>
        <v>6.5985090286145152</v>
      </c>
      <c r="L145">
        <f t="shared" si="15"/>
        <v>2729.9237295972075</v>
      </c>
      <c r="N145">
        <f t="shared" si="10"/>
        <v>7.7523351633022921</v>
      </c>
      <c r="O145">
        <f t="shared" si="11"/>
        <v>7.9120289499122549</v>
      </c>
      <c r="P145">
        <f t="shared" si="12"/>
        <v>2.5502105481828335E-2</v>
      </c>
      <c r="S145">
        <f t="shared" si="13"/>
        <v>0.14759523323996226</v>
      </c>
    </row>
    <row r="146" spans="1:19" ht="15.75" x14ac:dyDescent="0.3">
      <c r="A146" s="20">
        <v>124</v>
      </c>
      <c r="B146" s="1">
        <v>161</v>
      </c>
      <c r="C146" s="15">
        <v>45.2</v>
      </c>
      <c r="D146" s="14">
        <v>0.83407938415369509</v>
      </c>
      <c r="E146" s="11">
        <v>1908</v>
      </c>
      <c r="F146" s="11">
        <v>3841.6959999999999</v>
      </c>
      <c r="G146">
        <f t="shared" si="14"/>
        <v>5.0814043649844631</v>
      </c>
      <c r="H146">
        <f t="shared" si="14"/>
        <v>3.8110970868381857</v>
      </c>
      <c r="I146">
        <f t="shared" si="14"/>
        <v>-0.18142669631661454</v>
      </c>
      <c r="J146">
        <f t="shared" si="14"/>
        <v>7.5538108520082314</v>
      </c>
      <c r="L146">
        <f t="shared" si="15"/>
        <v>4130.5207471021686</v>
      </c>
      <c r="N146">
        <f t="shared" si="10"/>
        <v>8.2536692147424269</v>
      </c>
      <c r="O146">
        <f t="shared" si="11"/>
        <v>8.3261587668932666</v>
      </c>
      <c r="P146">
        <f t="shared" si="12"/>
        <v>5.2547351710293148E-3</v>
      </c>
      <c r="S146">
        <f t="shared" si="13"/>
        <v>6.9924536102330001E-2</v>
      </c>
    </row>
    <row r="147" spans="1:19" ht="15.75" x14ac:dyDescent="0.3">
      <c r="A147" s="20">
        <v>125</v>
      </c>
      <c r="B147" s="1">
        <v>175</v>
      </c>
      <c r="C147" s="15">
        <v>45.4</v>
      </c>
      <c r="D147" s="14">
        <v>0.84904356846473017</v>
      </c>
      <c r="E147" s="11">
        <v>1446</v>
      </c>
      <c r="F147" s="12">
        <v>3452</v>
      </c>
      <c r="G147">
        <f t="shared" si="14"/>
        <v>5.1647859739235145</v>
      </c>
      <c r="H147">
        <f t="shared" si="14"/>
        <v>3.8155121050473024</v>
      </c>
      <c r="I147">
        <f t="shared" si="14"/>
        <v>-0.16364477659675153</v>
      </c>
      <c r="J147">
        <f t="shared" si="14"/>
        <v>7.2765564027187102</v>
      </c>
      <c r="L147">
        <f t="shared" si="15"/>
        <v>3727.7655816213137</v>
      </c>
      <c r="N147">
        <f t="shared" si="10"/>
        <v>8.1467090522033185</v>
      </c>
      <c r="O147">
        <f t="shared" si="11"/>
        <v>8.2235642933620365</v>
      </c>
      <c r="P147">
        <f t="shared" si="12"/>
        <v>5.906728093564702E-3</v>
      </c>
      <c r="S147">
        <f t="shared" si="13"/>
        <v>7.39761059496062E-2</v>
      </c>
    </row>
    <row r="148" spans="1:19" ht="15.75" x14ac:dyDescent="0.3">
      <c r="A148" s="20">
        <v>126</v>
      </c>
      <c r="B148" s="1">
        <v>183</v>
      </c>
      <c r="C148" s="16">
        <v>43.58</v>
      </c>
      <c r="D148" s="13">
        <v>0.88906403013182678</v>
      </c>
      <c r="E148" s="11">
        <v>1062</v>
      </c>
      <c r="F148" s="11">
        <v>2774.6959999999999</v>
      </c>
      <c r="G148">
        <f t="shared" si="14"/>
        <v>5.2094861528414214</v>
      </c>
      <c r="H148">
        <f t="shared" si="14"/>
        <v>3.7745983295164738</v>
      </c>
      <c r="I148">
        <f t="shared" si="14"/>
        <v>-0.11758602116670748</v>
      </c>
      <c r="J148">
        <f t="shared" si="14"/>
        <v>6.9679092018018842</v>
      </c>
      <c r="L148">
        <f t="shared" si="15"/>
        <v>3220.0434227784745</v>
      </c>
      <c r="N148">
        <f t="shared" si="10"/>
        <v>7.928296470629995</v>
      </c>
      <c r="O148">
        <f t="shared" si="11"/>
        <v>8.0771501237824577</v>
      </c>
      <c r="P148">
        <f t="shared" si="12"/>
        <v>2.2157410056833665E-2</v>
      </c>
      <c r="S148">
        <f t="shared" si="13"/>
        <v>0.13830478795040541</v>
      </c>
    </row>
    <row r="149" spans="1:19" ht="15.75" x14ac:dyDescent="0.3">
      <c r="A149" s="20">
        <v>127</v>
      </c>
      <c r="B149" s="1">
        <v>180</v>
      </c>
      <c r="C149" s="16">
        <v>44.1</v>
      </c>
      <c r="D149" s="14">
        <f>(923*0.844+105*1.292)/1028</f>
        <v>0.88975875486381317</v>
      </c>
      <c r="E149" s="11">
        <v>1028</v>
      </c>
      <c r="F149" s="11">
        <v>2737</v>
      </c>
      <c r="G149">
        <f t="shared" si="14"/>
        <v>5.1929568508902104</v>
      </c>
      <c r="H149">
        <f t="shared" si="14"/>
        <v>3.7864597824528001</v>
      </c>
      <c r="I149">
        <f t="shared" si="14"/>
        <v>-0.1168049149506539</v>
      </c>
      <c r="J149">
        <f t="shared" si="14"/>
        <v>6.93537044601511</v>
      </c>
      <c r="L149">
        <f t="shared" si="15"/>
        <v>3217.4417467781072</v>
      </c>
      <c r="N149">
        <f t="shared" si="10"/>
        <v>7.9146177090406793</v>
      </c>
      <c r="O149">
        <f t="shared" si="11"/>
        <v>8.0763418341869126</v>
      </c>
      <c r="P149">
        <f t="shared" si="12"/>
        <v>2.6154692654314547E-2</v>
      </c>
      <c r="S149">
        <f t="shared" si="13"/>
        <v>0.14932414775161465</v>
      </c>
    </row>
    <row r="150" spans="1:19" ht="15.75" x14ac:dyDescent="0.3">
      <c r="A150" s="20">
        <v>128</v>
      </c>
      <c r="B150" s="1">
        <v>190</v>
      </c>
      <c r="C150" s="16">
        <v>42.1</v>
      </c>
      <c r="D150" s="13">
        <v>0.89860640942942094</v>
      </c>
      <c r="E150" s="11">
        <v>875.9778633928637</v>
      </c>
      <c r="F150" s="11">
        <v>2665</v>
      </c>
      <c r="G150">
        <f t="shared" si="14"/>
        <v>5.2470240721604862</v>
      </c>
      <c r="H150">
        <f t="shared" si="14"/>
        <v>3.7400477406883357</v>
      </c>
      <c r="I150">
        <f t="shared" si="14"/>
        <v>-0.10691014968798396</v>
      </c>
      <c r="J150">
        <f t="shared" si="14"/>
        <v>6.7753408205176262</v>
      </c>
      <c r="L150">
        <f t="shared" si="15"/>
        <v>2887.8021240896633</v>
      </c>
      <c r="N150">
        <f t="shared" si="10"/>
        <v>7.8879593365999447</v>
      </c>
      <c r="O150">
        <f t="shared" si="11"/>
        <v>7.9682509810758964</v>
      </c>
      <c r="P150">
        <f t="shared" si="12"/>
        <v>6.4467481726526105E-3</v>
      </c>
      <c r="S150">
        <f t="shared" si="13"/>
        <v>7.7152836141741649E-2</v>
      </c>
    </row>
    <row r="151" spans="1:19" ht="15.75" x14ac:dyDescent="0.3">
      <c r="A151" s="20">
        <v>129</v>
      </c>
      <c r="B151" s="1">
        <v>180</v>
      </c>
      <c r="C151" s="16">
        <v>40.200000000000003</v>
      </c>
      <c r="D151" s="13">
        <v>0.91390951743438698</v>
      </c>
      <c r="E151" s="11">
        <v>878.71586985293175</v>
      </c>
      <c r="F151" s="11">
        <v>2665</v>
      </c>
      <c r="G151">
        <f t="shared" ref="G151:J160" si="16">LN(B151)</f>
        <v>5.1929568508902104</v>
      </c>
      <c r="H151">
        <f t="shared" si="16"/>
        <v>3.6938669956249757</v>
      </c>
      <c r="I151">
        <f t="shared" si="16"/>
        <v>-9.0023708670903493E-2</v>
      </c>
      <c r="J151">
        <f t="shared" si="16"/>
        <v>6.7784616029429312</v>
      </c>
      <c r="L151">
        <f t="shared" ref="L151:L160" si="17">EXP(
(_C1_exp8+_C2_exp8*G151)/
(1+(_C3_exp8+_C4_exp8*H151)*(_C5_exp8+_C6_exp8*J151)*(_C7_exp8+_C8_exp8*I151)))</f>
        <v>2774.5693640449163</v>
      </c>
      <c r="N151">
        <f t="shared" ref="N151:N160" si="18">LN(F151)</f>
        <v>7.8879593365999447</v>
      </c>
      <c r="O151">
        <f t="shared" ref="O151:O160" si="19">LN(L151)</f>
        <v>7.9282508300102741</v>
      </c>
      <c r="P151">
        <f t="shared" si="12"/>
        <v>1.6234044412346124E-3</v>
      </c>
      <c r="S151">
        <f t="shared" si="13"/>
        <v>3.949058382349474E-2</v>
      </c>
    </row>
    <row r="152" spans="1:19" ht="15.75" x14ac:dyDescent="0.3">
      <c r="A152" s="20">
        <v>130</v>
      </c>
      <c r="B152" s="1">
        <v>175</v>
      </c>
      <c r="C152" s="16">
        <v>39.619999999999997</v>
      </c>
      <c r="D152" s="13">
        <v>0.91801860641097199</v>
      </c>
      <c r="E152" s="11">
        <v>893.50580230451294</v>
      </c>
      <c r="F152" s="11">
        <v>2765</v>
      </c>
      <c r="G152">
        <f t="shared" si="16"/>
        <v>5.1647859739235145</v>
      </c>
      <c r="H152">
        <f t="shared" si="16"/>
        <v>3.6793340412704048</v>
      </c>
      <c r="I152">
        <f t="shared" si="16"/>
        <v>-8.5537620145510154E-2</v>
      </c>
      <c r="J152">
        <f t="shared" si="16"/>
        <v>6.7951528284838396</v>
      </c>
      <c r="L152">
        <f t="shared" si="17"/>
        <v>2763.0900877853769</v>
      </c>
      <c r="N152">
        <f t="shared" si="18"/>
        <v>7.9247959139564355</v>
      </c>
      <c r="O152">
        <f t="shared" si="19"/>
        <v>7.9241049294535468</v>
      </c>
      <c r="P152">
        <f t="shared" ref="P152:P160" si="20">(N152-O152)^2</f>
        <v>4.7745958323224056E-7</v>
      </c>
      <c r="S152">
        <f t="shared" ref="S152:S160" si="21">ABS((F152-L152)/L152)</f>
        <v>6.9122328767567986E-4</v>
      </c>
    </row>
    <row r="153" spans="1:19" ht="15.75" x14ac:dyDescent="0.3">
      <c r="A153" s="20">
        <v>131</v>
      </c>
      <c r="B153" s="1">
        <v>125</v>
      </c>
      <c r="C153" s="16">
        <v>37.68</v>
      </c>
      <c r="D153" s="13">
        <v>1.0250941951674821</v>
      </c>
      <c r="E153" s="11">
        <v>819.2574068129552</v>
      </c>
      <c r="F153" s="11">
        <v>2665</v>
      </c>
      <c r="G153">
        <f t="shared" si="16"/>
        <v>4.8283137373023015</v>
      </c>
      <c r="H153">
        <f t="shared" si="16"/>
        <v>3.6291294497081621</v>
      </c>
      <c r="I153">
        <f t="shared" si="16"/>
        <v>2.4784506092407114E-2</v>
      </c>
      <c r="J153">
        <f t="shared" si="16"/>
        <v>6.7083983285059583</v>
      </c>
      <c r="L153">
        <f t="shared" si="17"/>
        <v>2526.0715586467059</v>
      </c>
      <c r="N153">
        <f t="shared" si="18"/>
        <v>7.8879593365999447</v>
      </c>
      <c r="O153">
        <f t="shared" si="19"/>
        <v>7.8344206313479416</v>
      </c>
      <c r="P153">
        <f t="shared" si="20"/>
        <v>2.8663929600608647E-3</v>
      </c>
      <c r="S153">
        <f t="shared" si="21"/>
        <v>5.4997824934034087E-2</v>
      </c>
    </row>
    <row r="154" spans="1:19" ht="15.75" x14ac:dyDescent="0.3">
      <c r="A154" s="20">
        <v>132</v>
      </c>
      <c r="B154" s="1">
        <v>152</v>
      </c>
      <c r="C154" s="16">
        <v>41.82</v>
      </c>
      <c r="D154" s="13">
        <v>0.88702597887453039</v>
      </c>
      <c r="E154" s="11">
        <v>1014.8050338327058</v>
      </c>
      <c r="F154" s="11">
        <v>2865</v>
      </c>
      <c r="G154">
        <f t="shared" si="16"/>
        <v>5.0238805208462765</v>
      </c>
      <c r="H154">
        <f t="shared" si="16"/>
        <v>3.7333746940004877</v>
      </c>
      <c r="I154">
        <f t="shared" si="16"/>
        <v>-0.11988100862960711</v>
      </c>
      <c r="J154">
        <f t="shared" si="16"/>
        <v>6.9224517881313359</v>
      </c>
      <c r="L154">
        <f t="shared" si="17"/>
        <v>3131.7036276020799</v>
      </c>
      <c r="N154">
        <f t="shared" si="18"/>
        <v>7.9603236291488395</v>
      </c>
      <c r="O154">
        <f t="shared" si="19"/>
        <v>8.0493324254308565</v>
      </c>
      <c r="P154">
        <f t="shared" si="20"/>
        <v>7.9225658155735977E-3</v>
      </c>
      <c r="S154">
        <f t="shared" si="21"/>
        <v>8.5162473629821961E-2</v>
      </c>
    </row>
    <row r="155" spans="1:19" ht="15.75" x14ac:dyDescent="0.3">
      <c r="A155" s="20">
        <v>133</v>
      </c>
      <c r="B155" s="1">
        <v>155</v>
      </c>
      <c r="C155" s="16">
        <v>41.4</v>
      </c>
      <c r="D155" s="13">
        <v>0.91363998027137561</v>
      </c>
      <c r="E155" s="11">
        <v>1316.8520531613119</v>
      </c>
      <c r="F155" s="11">
        <v>3265</v>
      </c>
      <c r="G155">
        <f t="shared" si="16"/>
        <v>5.0434251169192468</v>
      </c>
      <c r="H155">
        <f t="shared" si="16"/>
        <v>3.7232808808312687</v>
      </c>
      <c r="I155">
        <f t="shared" si="16"/>
        <v>-9.0318679795137399E-2</v>
      </c>
      <c r="J155">
        <f t="shared" si="16"/>
        <v>7.1829993591850378</v>
      </c>
      <c r="L155">
        <f t="shared" si="17"/>
        <v>3432.5953083546869</v>
      </c>
      <c r="N155">
        <f t="shared" si="18"/>
        <v>8.0910150417105307</v>
      </c>
      <c r="O155">
        <f t="shared" si="19"/>
        <v>8.1410719037110333</v>
      </c>
      <c r="P155">
        <f t="shared" si="20"/>
        <v>2.5056894333373644E-3</v>
      </c>
      <c r="S155">
        <f t="shared" si="21"/>
        <v>4.882466276952957E-2</v>
      </c>
    </row>
    <row r="156" spans="1:19" ht="15.75" x14ac:dyDescent="0.3">
      <c r="A156" s="20">
        <v>134</v>
      </c>
      <c r="B156" s="1">
        <v>159</v>
      </c>
      <c r="C156" s="16">
        <v>44.21</v>
      </c>
      <c r="D156" s="13">
        <v>0.86290875140960577</v>
      </c>
      <c r="E156" s="11">
        <v>1309.5712971320097</v>
      </c>
      <c r="F156" s="11">
        <v>3165</v>
      </c>
      <c r="G156">
        <f t="shared" si="16"/>
        <v>5.0689042022202315</v>
      </c>
      <c r="H156">
        <f t="shared" si="16"/>
        <v>3.7889510078381519</v>
      </c>
      <c r="I156">
        <f t="shared" si="16"/>
        <v>-0.14744632766091231</v>
      </c>
      <c r="J156">
        <f t="shared" si="16"/>
        <v>7.1774551085381875</v>
      </c>
      <c r="L156">
        <f t="shared" si="17"/>
        <v>3583.9876183762985</v>
      </c>
      <c r="N156">
        <f t="shared" si="18"/>
        <v>8.0599083345782763</v>
      </c>
      <c r="O156">
        <f t="shared" si="19"/>
        <v>8.1842313193947405</v>
      </c>
      <c r="P156">
        <f t="shared" si="20"/>
        <v>1.5456204553674788E-2</v>
      </c>
      <c r="S156">
        <f t="shared" si="21"/>
        <v>0.11690543132124939</v>
      </c>
    </row>
    <row r="157" spans="1:19" ht="15.75" x14ac:dyDescent="0.3">
      <c r="A157" s="20">
        <v>135</v>
      </c>
      <c r="B157" s="1">
        <v>155</v>
      </c>
      <c r="C157" s="16">
        <v>40.6</v>
      </c>
      <c r="D157" s="13">
        <v>0.90748600249209299</v>
      </c>
      <c r="E157" s="11">
        <v>1255.9824334889472</v>
      </c>
      <c r="F157" s="11">
        <v>3215</v>
      </c>
      <c r="G157">
        <f t="shared" si="16"/>
        <v>5.0434251169192468</v>
      </c>
      <c r="H157">
        <f t="shared" si="16"/>
        <v>3.7037680666076871</v>
      </c>
      <c r="I157">
        <f t="shared" si="16"/>
        <v>-9.7077137213223391E-2</v>
      </c>
      <c r="J157">
        <f t="shared" si="16"/>
        <v>7.1356733608546588</v>
      </c>
      <c r="L157">
        <f t="shared" si="17"/>
        <v>3327.8662050107268</v>
      </c>
      <c r="N157">
        <f t="shared" si="18"/>
        <v>8.0755826366717205</v>
      </c>
      <c r="O157">
        <f t="shared" si="19"/>
        <v>8.1100865983116481</v>
      </c>
      <c r="P157">
        <f t="shared" si="20"/>
        <v>1.190523368849598E-3</v>
      </c>
      <c r="S157">
        <f t="shared" si="21"/>
        <v>3.3915487600068059E-2</v>
      </c>
    </row>
    <row r="158" spans="1:19" ht="15.75" x14ac:dyDescent="0.3">
      <c r="A158" s="20">
        <v>136</v>
      </c>
      <c r="B158" s="1">
        <v>188</v>
      </c>
      <c r="C158" s="15">
        <v>45.1</v>
      </c>
      <c r="D158" s="14">
        <v>0.9249433431781553</v>
      </c>
      <c r="E158" s="11">
        <v>1662.9066039752083</v>
      </c>
      <c r="F158" s="11">
        <v>3259</v>
      </c>
      <c r="G158">
        <f t="shared" si="16"/>
        <v>5.2364419628299492</v>
      </c>
      <c r="H158">
        <f t="shared" si="16"/>
        <v>3.8088822465086327</v>
      </c>
      <c r="I158">
        <f t="shared" si="16"/>
        <v>-7.802279396381806E-2</v>
      </c>
      <c r="J158">
        <f t="shared" si="16"/>
        <v>7.4163223164463821</v>
      </c>
      <c r="L158">
        <f t="shared" si="17"/>
        <v>3830.5004002740552</v>
      </c>
      <c r="N158">
        <f t="shared" si="18"/>
        <v>8.0891756788375613</v>
      </c>
      <c r="O158">
        <f t="shared" si="19"/>
        <v>8.2507507264534254</v>
      </c>
      <c r="P158">
        <f t="shared" si="20"/>
        <v>2.6106496012068773E-2</v>
      </c>
      <c r="S158">
        <f t="shared" si="21"/>
        <v>0.14919732164318972</v>
      </c>
    </row>
    <row r="159" spans="1:19" ht="15.75" x14ac:dyDescent="0.3">
      <c r="A159" s="20">
        <v>137</v>
      </c>
      <c r="B159" s="1">
        <v>147</v>
      </c>
      <c r="C159" s="15">
        <v>41.9</v>
      </c>
      <c r="D159" s="14">
        <v>0.92190427125757779</v>
      </c>
      <c r="E159" s="11">
        <v>926.67416705051619</v>
      </c>
      <c r="F159" s="11">
        <v>2290</v>
      </c>
      <c r="G159">
        <f t="shared" si="16"/>
        <v>4.990432586778736</v>
      </c>
      <c r="H159">
        <f t="shared" si="16"/>
        <v>3.735285826928092</v>
      </c>
      <c r="I159">
        <f t="shared" si="16"/>
        <v>-8.1313888085405683E-2</v>
      </c>
      <c r="J159">
        <f t="shared" si="16"/>
        <v>6.8316020119232235</v>
      </c>
      <c r="L159">
        <f t="shared" si="17"/>
        <v>3005.3495529719835</v>
      </c>
      <c r="N159">
        <f t="shared" si="18"/>
        <v>7.736307096548285</v>
      </c>
      <c r="O159">
        <f t="shared" si="19"/>
        <v>8.0081491639885751</v>
      </c>
      <c r="P159">
        <f t="shared" si="20"/>
        <v>7.3898109630211262E-2</v>
      </c>
      <c r="S159">
        <f t="shared" si="21"/>
        <v>0.23802540781473353</v>
      </c>
    </row>
    <row r="160" spans="1:19" ht="15.75" x14ac:dyDescent="0.3">
      <c r="A160" s="20">
        <v>138</v>
      </c>
      <c r="B160" s="1">
        <v>189</v>
      </c>
      <c r="C160" s="15">
        <v>45.1</v>
      </c>
      <c r="D160" s="14">
        <v>0.90878470942589007</v>
      </c>
      <c r="E160" s="11">
        <v>1669.824655779699</v>
      </c>
      <c r="F160" s="11">
        <v>3478</v>
      </c>
      <c r="G160">
        <f t="shared" si="16"/>
        <v>5.2417470150596426</v>
      </c>
      <c r="H160">
        <f t="shared" si="16"/>
        <v>3.8088822465086327</v>
      </c>
      <c r="I160">
        <f t="shared" si="16"/>
        <v>-9.5647056172318196E-2</v>
      </c>
      <c r="J160">
        <f t="shared" si="16"/>
        <v>7.4204739033591762</v>
      </c>
      <c r="L160">
        <f t="shared" si="17"/>
        <v>3840.4713354452947</v>
      </c>
      <c r="N160">
        <f t="shared" si="18"/>
        <v>8.1542126949142286</v>
      </c>
      <c r="O160">
        <f t="shared" si="19"/>
        <v>8.2533503816549381</v>
      </c>
      <c r="P160">
        <f t="shared" si="20"/>
        <v>9.8282809322990366E-3</v>
      </c>
      <c r="S160">
        <f t="shared" si="21"/>
        <v>9.4381992152863414E-2</v>
      </c>
    </row>
    <row r="161" spans="2:19" ht="15.75" x14ac:dyDescent="0.3">
      <c r="B161" s="1">
        <v>161</v>
      </c>
      <c r="C161" s="15">
        <v>42.825489712948126</v>
      </c>
      <c r="D161" s="13">
        <v>0.92547543459989179</v>
      </c>
      <c r="E161" s="11">
        <v>1078.8275574104816</v>
      </c>
      <c r="F161" s="11">
        <v>2656.22</v>
      </c>
      <c r="G161">
        <f t="shared" ref="G161:G176" si="22">LN(B161)</f>
        <v>5.0814043649844631</v>
      </c>
      <c r="H161">
        <f t="shared" ref="H161:H176" si="23">LN(C161)</f>
        <v>3.7571334793566673</v>
      </c>
      <c r="I161">
        <f t="shared" ref="I161:I176" si="24">LN(D161)</f>
        <v>-7.7447690162676427E-2</v>
      </c>
      <c r="J161">
        <f t="shared" ref="J161:J176" si="25">LN(E161)</f>
        <v>6.983630135442918</v>
      </c>
      <c r="L161">
        <f t="shared" ref="L161:L176" si="26">EXP(
(_C1_exp8+_C2_exp8*G161)/
(1+(_C3_exp8+_C4_exp8*H161)*(_C5_exp8+_C6_exp8*J161)*(_C7_exp8+_C8_exp8*I161)))</f>
        <v>3214.7266795450182</v>
      </c>
      <c r="N161">
        <f t="shared" ref="N161:N176" si="27">LN(F161)</f>
        <v>7.8846593384913009</v>
      </c>
      <c r="O161">
        <f t="shared" ref="O161:O176" si="28">LN(L161)</f>
        <v>8.075497618919405</v>
      </c>
      <c r="P161">
        <f t="shared" ref="P161:P176" si="29">(N161-O161)^2</f>
        <v>3.6419249276755716E-2</v>
      </c>
      <c r="S161">
        <f t="shared" ref="S161:S176" si="30">ABS((F161-L161)/L161)</f>
        <v>0.17373379923672519</v>
      </c>
    </row>
    <row r="162" spans="2:19" ht="15.75" x14ac:dyDescent="0.3">
      <c r="B162" s="1">
        <v>165</v>
      </c>
      <c r="C162" s="16">
        <v>37.130000000000003</v>
      </c>
      <c r="D162" s="14">
        <v>0.92645137195121963</v>
      </c>
      <c r="E162" s="11">
        <v>656</v>
      </c>
      <c r="F162" s="11">
        <v>2265</v>
      </c>
      <c r="G162">
        <f t="shared" si="22"/>
        <v>5.1059454739005803</v>
      </c>
      <c r="H162">
        <f t="shared" si="23"/>
        <v>3.6144252681889886</v>
      </c>
      <c r="I162">
        <f t="shared" si="24"/>
        <v>-7.6393720385664693E-2</v>
      </c>
      <c r="J162">
        <f t="shared" si="25"/>
        <v>6.4861607889440887</v>
      </c>
      <c r="L162">
        <f t="shared" si="26"/>
        <v>2249.4233544813469</v>
      </c>
      <c r="N162">
        <f t="shared" si="27"/>
        <v>7.7253300379171348</v>
      </c>
      <c r="O162">
        <f t="shared" si="28"/>
        <v>7.7184291754541876</v>
      </c>
      <c r="P162">
        <f t="shared" si="29"/>
        <v>4.7621902732513535E-5</v>
      </c>
      <c r="S162">
        <f t="shared" si="30"/>
        <v>6.9247282809707586E-3</v>
      </c>
    </row>
    <row r="163" spans="2:19" ht="15.75" x14ac:dyDescent="0.3">
      <c r="B163" s="1">
        <v>280</v>
      </c>
      <c r="C163" s="6">
        <v>43.3</v>
      </c>
      <c r="D163" s="7">
        <v>0.87214580467675373</v>
      </c>
      <c r="E163" s="17">
        <v>1454</v>
      </c>
      <c r="F163" s="1">
        <v>3280</v>
      </c>
      <c r="G163">
        <f t="shared" si="22"/>
        <v>5.6347896031692493</v>
      </c>
      <c r="H163">
        <f t="shared" si="23"/>
        <v>3.7681526350084442</v>
      </c>
      <c r="I163">
        <f t="shared" si="24"/>
        <v>-0.1367986618526108</v>
      </c>
      <c r="J163">
        <f t="shared" si="25"/>
        <v>7.2820736580934646</v>
      </c>
      <c r="L163">
        <f t="shared" si="26"/>
        <v>3443.2947443493631</v>
      </c>
      <c r="N163">
        <f t="shared" si="27"/>
        <v>8.09559870137819</v>
      </c>
      <c r="O163">
        <f t="shared" si="28"/>
        <v>8.1441840665142475</v>
      </c>
      <c r="P163">
        <f t="shared" si="29"/>
        <v>2.3605377054040306E-3</v>
      </c>
      <c r="S163">
        <f t="shared" si="30"/>
        <v>4.7423980946545104E-2</v>
      </c>
    </row>
    <row r="164" spans="2:19" ht="15.75" x14ac:dyDescent="0.3">
      <c r="B164" s="1">
        <v>270</v>
      </c>
      <c r="C164" s="6">
        <v>44.4</v>
      </c>
      <c r="D164" s="7">
        <v>0.9681445936820593</v>
      </c>
      <c r="E164" s="17">
        <v>2205.9741313164527</v>
      </c>
      <c r="F164" s="1">
        <v>3722</v>
      </c>
      <c r="G164">
        <f t="shared" si="22"/>
        <v>5.598421958998375</v>
      </c>
      <c r="H164">
        <f t="shared" si="23"/>
        <v>3.7932394694381792</v>
      </c>
      <c r="I164">
        <f t="shared" si="24"/>
        <v>-3.2373829222200126E-2</v>
      </c>
      <c r="J164">
        <f t="shared" si="25"/>
        <v>7.6989244732335642</v>
      </c>
      <c r="L164">
        <f t="shared" si="26"/>
        <v>4055.0764987681755</v>
      </c>
      <c r="N164">
        <f t="shared" si="27"/>
        <v>8.2220164372021962</v>
      </c>
      <c r="O164">
        <f t="shared" si="28"/>
        <v>8.3077248316658139</v>
      </c>
      <c r="P164">
        <f t="shared" si="29"/>
        <v>7.3459288815310875E-3</v>
      </c>
      <c r="S164">
        <f t="shared" si="30"/>
        <v>8.213815420482333E-2</v>
      </c>
    </row>
    <row r="165" spans="2:19" ht="15.75" x14ac:dyDescent="0.3">
      <c r="B165" s="1">
        <v>270</v>
      </c>
      <c r="C165" s="6">
        <v>44.2</v>
      </c>
      <c r="D165" s="7">
        <v>0.98172449597075817</v>
      </c>
      <c r="E165" s="17">
        <v>2185.1652241112824</v>
      </c>
      <c r="F165" s="1">
        <v>3697</v>
      </c>
      <c r="G165">
        <f t="shared" si="22"/>
        <v>5.598421958998375</v>
      </c>
      <c r="H165">
        <f t="shared" si="23"/>
        <v>3.7887247890836524</v>
      </c>
      <c r="I165">
        <f t="shared" si="24"/>
        <v>-1.8444563991571971E-2</v>
      </c>
      <c r="J165">
        <f t="shared" si="25"/>
        <v>7.68944672211307</v>
      </c>
      <c r="L165">
        <f t="shared" si="26"/>
        <v>4035.6873867636091</v>
      </c>
      <c r="N165">
        <f t="shared" si="27"/>
        <v>8.2152769589366326</v>
      </c>
      <c r="O165">
        <f t="shared" si="28"/>
        <v>8.3029319222703446</v>
      </c>
      <c r="P165">
        <f t="shared" si="29"/>
        <v>7.6833925970344009E-3</v>
      </c>
      <c r="S165">
        <f t="shared" si="30"/>
        <v>8.392309767957945E-2</v>
      </c>
    </row>
    <row r="166" spans="2:19" ht="15.75" x14ac:dyDescent="0.3">
      <c r="B166" s="1">
        <v>270</v>
      </c>
      <c r="C166" s="6">
        <v>41.8</v>
      </c>
      <c r="D166" s="7">
        <v>0.97099999999999997</v>
      </c>
      <c r="E166" s="17">
        <v>1317.9111629386198</v>
      </c>
      <c r="F166" s="1">
        <v>3066</v>
      </c>
      <c r="G166">
        <f t="shared" si="22"/>
        <v>5.598421958998375</v>
      </c>
      <c r="H166">
        <f t="shared" si="23"/>
        <v>3.7328963395307104</v>
      </c>
      <c r="I166">
        <f t="shared" si="24"/>
        <v>-2.9428810690812168E-2</v>
      </c>
      <c r="J166">
        <f t="shared" si="25"/>
        <v>7.1838033098610463</v>
      </c>
      <c r="L166">
        <f t="shared" si="26"/>
        <v>3204.0103866634295</v>
      </c>
      <c r="N166">
        <f t="shared" si="27"/>
        <v>8.0281290594317589</v>
      </c>
      <c r="O166">
        <f t="shared" si="28"/>
        <v>8.0721585499630919</v>
      </c>
      <c r="P166">
        <f t="shared" si="29"/>
        <v>1.9385960364487406E-3</v>
      </c>
      <c r="S166">
        <f t="shared" si="30"/>
        <v>4.307426319149664E-2</v>
      </c>
    </row>
    <row r="167" spans="2:19" ht="15.75" x14ac:dyDescent="0.3">
      <c r="B167" s="1">
        <v>270</v>
      </c>
      <c r="C167" s="6">
        <v>42.5</v>
      </c>
      <c r="D167" s="7">
        <v>0.99283819657972716</v>
      </c>
      <c r="E167" s="17">
        <v>1300.3197900526727</v>
      </c>
      <c r="F167" s="1">
        <v>2944</v>
      </c>
      <c r="G167">
        <f t="shared" si="22"/>
        <v>5.598421958998375</v>
      </c>
      <c r="H167">
        <f t="shared" si="23"/>
        <v>3.7495040759303713</v>
      </c>
      <c r="I167">
        <f t="shared" si="24"/>
        <v>-7.187572242257083E-3</v>
      </c>
      <c r="J167">
        <f t="shared" si="25"/>
        <v>7.1703655055466813</v>
      </c>
      <c r="L167">
        <f t="shared" si="26"/>
        <v>3205.7880699101966</v>
      </c>
      <c r="N167">
        <f t="shared" si="27"/>
        <v>7.9875244798487666</v>
      </c>
      <c r="O167">
        <f t="shared" si="28"/>
        <v>8.0727132267768447</v>
      </c>
      <c r="P167">
        <f t="shared" si="29"/>
        <v>7.2571226031761353E-3</v>
      </c>
      <c r="S167">
        <f t="shared" si="30"/>
        <v>8.1661065610469374E-2</v>
      </c>
    </row>
    <row r="168" spans="2:19" ht="15.75" x14ac:dyDescent="0.3">
      <c r="B168" s="1">
        <v>270</v>
      </c>
      <c r="C168" s="6">
        <v>42.6</v>
      </c>
      <c r="D168" s="7">
        <v>0.95694427106172286</v>
      </c>
      <c r="E168" s="17">
        <v>1220.3824306769673</v>
      </c>
      <c r="F168" s="1">
        <v>2923</v>
      </c>
      <c r="G168">
        <f t="shared" si="22"/>
        <v>5.598421958998375</v>
      </c>
      <c r="H168">
        <f t="shared" si="23"/>
        <v>3.751854253275325</v>
      </c>
      <c r="I168">
        <f t="shared" si="24"/>
        <v>-4.4010122180144676E-2</v>
      </c>
      <c r="J168">
        <f t="shared" si="25"/>
        <v>7.1069195563745522</v>
      </c>
      <c r="L168">
        <f t="shared" si="26"/>
        <v>3148.892184833328</v>
      </c>
      <c r="N168">
        <f t="shared" si="27"/>
        <v>7.9803657651112463</v>
      </c>
      <c r="O168">
        <f t="shared" si="28"/>
        <v>8.0548059826086789</v>
      </c>
      <c r="P168">
        <f t="shared" si="29"/>
        <v>5.5413459810650665E-3</v>
      </c>
      <c r="S168">
        <f t="shared" si="30"/>
        <v>7.173703371660041E-2</v>
      </c>
    </row>
    <row r="169" spans="2:19" ht="15.75" x14ac:dyDescent="0.3">
      <c r="B169" s="1">
        <v>270</v>
      </c>
      <c r="C169" s="6">
        <v>46.088188442211049</v>
      </c>
      <c r="D169" s="7">
        <v>0.91100000000000003</v>
      </c>
      <c r="E169" s="17">
        <v>2716.0284119008852</v>
      </c>
      <c r="F169" s="1">
        <v>3789</v>
      </c>
      <c r="G169">
        <f t="shared" si="22"/>
        <v>5.598421958998375</v>
      </c>
      <c r="H169">
        <f t="shared" si="23"/>
        <v>3.8305567011695763</v>
      </c>
      <c r="I169">
        <f t="shared" si="24"/>
        <v>-9.3212381722178703E-2</v>
      </c>
      <c r="J169">
        <f t="shared" si="25"/>
        <v>7.9069259495593966</v>
      </c>
      <c r="L169">
        <f t="shared" si="26"/>
        <v>4384.4548935474741</v>
      </c>
      <c r="N169">
        <f t="shared" si="27"/>
        <v>8.2398574110186011</v>
      </c>
      <c r="O169">
        <f t="shared" si="28"/>
        <v>8.3858205854592214</v>
      </c>
      <c r="P169">
        <f t="shared" si="29"/>
        <v>2.1305248292782932E-2</v>
      </c>
      <c r="S169">
        <f t="shared" si="30"/>
        <v>0.13581047313858666</v>
      </c>
    </row>
    <row r="170" spans="2:19" ht="15.75" x14ac:dyDescent="0.3">
      <c r="B170" s="1">
        <v>234</v>
      </c>
      <c r="C170" s="6">
        <v>42.5</v>
      </c>
      <c r="D170" s="7">
        <v>1.05</v>
      </c>
      <c r="E170" s="17">
        <v>997</v>
      </c>
      <c r="F170" s="1">
        <v>2356</v>
      </c>
      <c r="G170">
        <f t="shared" si="22"/>
        <v>5.4553211153577017</v>
      </c>
      <c r="H170">
        <f t="shared" si="23"/>
        <v>3.7495040759303713</v>
      </c>
      <c r="I170">
        <f t="shared" si="24"/>
        <v>4.8790164169432049E-2</v>
      </c>
      <c r="J170">
        <f t="shared" si="25"/>
        <v>6.9047507699618382</v>
      </c>
      <c r="L170">
        <f t="shared" si="26"/>
        <v>2878.3242576037483</v>
      </c>
      <c r="N170">
        <f t="shared" si="27"/>
        <v>7.7647205447714773</v>
      </c>
      <c r="O170">
        <f t="shared" si="28"/>
        <v>7.9649635487879813</v>
      </c>
      <c r="P170">
        <f t="shared" si="29"/>
        <v>4.0097260657553625E-2</v>
      </c>
      <c r="S170">
        <f t="shared" si="30"/>
        <v>0.18146817761199419</v>
      </c>
    </row>
    <row r="171" spans="2:19" ht="15.75" x14ac:dyDescent="0.3">
      <c r="B171" s="1">
        <v>234</v>
      </c>
      <c r="C171" s="6">
        <v>41.8</v>
      </c>
      <c r="D171" s="7">
        <v>1.042</v>
      </c>
      <c r="E171" s="17">
        <v>847.10507033279407</v>
      </c>
      <c r="F171" s="1">
        <v>2212</v>
      </c>
      <c r="G171">
        <f t="shared" si="22"/>
        <v>5.4553211153577017</v>
      </c>
      <c r="H171">
        <f t="shared" si="23"/>
        <v>3.7328963395307104</v>
      </c>
      <c r="I171">
        <f t="shared" si="24"/>
        <v>4.1141943331175213E-2</v>
      </c>
      <c r="J171">
        <f t="shared" si="25"/>
        <v>6.7418247369381783</v>
      </c>
      <c r="L171">
        <f t="shared" si="26"/>
        <v>2647.9701663766577</v>
      </c>
      <c r="N171">
        <f t="shared" si="27"/>
        <v>7.7016523626422257</v>
      </c>
      <c r="O171">
        <f t="shared" si="28"/>
        <v>7.8815486505193597</v>
      </c>
      <c r="P171">
        <f t="shared" si="29"/>
        <v>3.2362674391972657E-2</v>
      </c>
      <c r="S171">
        <f t="shared" si="30"/>
        <v>0.16464315644961222</v>
      </c>
    </row>
    <row r="172" spans="2:19" ht="15.75" x14ac:dyDescent="0.3">
      <c r="B172" s="1">
        <v>240</v>
      </c>
      <c r="C172" s="6">
        <v>44.7</v>
      </c>
      <c r="D172" s="7">
        <v>0.84899999999999998</v>
      </c>
      <c r="E172" s="17">
        <v>1471.8214907124384</v>
      </c>
      <c r="F172" s="1">
        <v>3310</v>
      </c>
      <c r="G172">
        <f t="shared" si="22"/>
        <v>5.4806389233419912</v>
      </c>
      <c r="H172">
        <f t="shared" si="23"/>
        <v>3.7999735016195233</v>
      </c>
      <c r="I172">
        <f t="shared" si="24"/>
        <v>-0.16369609267078977</v>
      </c>
      <c r="J172">
        <f t="shared" si="25"/>
        <v>7.2942560220385921</v>
      </c>
      <c r="L172">
        <f t="shared" si="26"/>
        <v>3587.957179066907</v>
      </c>
      <c r="N172">
        <f t="shared" si="27"/>
        <v>8.1047034683711079</v>
      </c>
      <c r="O172">
        <f t="shared" si="28"/>
        <v>8.1853382886222157</v>
      </c>
      <c r="P172">
        <f t="shared" si="29"/>
        <v>6.5019742369284645E-3</v>
      </c>
      <c r="S172">
        <f t="shared" si="30"/>
        <v>7.7469480597088178E-2</v>
      </c>
    </row>
    <row r="173" spans="2:19" ht="15.75" x14ac:dyDescent="0.3">
      <c r="B173" s="1">
        <v>242</v>
      </c>
      <c r="C173" s="6">
        <v>40.9</v>
      </c>
      <c r="D173" s="7">
        <v>0.91600000000000004</v>
      </c>
      <c r="E173" s="17">
        <v>1195.9951434878585</v>
      </c>
      <c r="F173" s="1">
        <v>3067</v>
      </c>
      <c r="G173">
        <f t="shared" si="22"/>
        <v>5.4889377261566867</v>
      </c>
      <c r="H173">
        <f t="shared" si="23"/>
        <v>3.7111300630487558</v>
      </c>
      <c r="I173">
        <f t="shared" si="24"/>
        <v>-8.7738914308006746E-2</v>
      </c>
      <c r="J173">
        <f t="shared" si="25"/>
        <v>7.0867338738734516</v>
      </c>
      <c r="L173">
        <f t="shared" si="26"/>
        <v>3104.4620483454028</v>
      </c>
      <c r="N173">
        <f t="shared" si="27"/>
        <v>8.0284551641142521</v>
      </c>
      <c r="O173">
        <f t="shared" si="28"/>
        <v>8.0405957260065666</v>
      </c>
      <c r="P173">
        <f t="shared" si="29"/>
        <v>1.473932430611189E-4</v>
      </c>
      <c r="S173">
        <f t="shared" si="30"/>
        <v>1.2067162607244324E-2</v>
      </c>
    </row>
    <row r="174" spans="2:19" ht="15.75" x14ac:dyDescent="0.3">
      <c r="B174" s="1">
        <v>241</v>
      </c>
      <c r="C174" s="6">
        <v>42.8</v>
      </c>
      <c r="D174" s="7">
        <v>0.88902905853998426</v>
      </c>
      <c r="E174" s="17">
        <v>1302.9698972755696</v>
      </c>
      <c r="F174" s="1">
        <v>3149</v>
      </c>
      <c r="G174">
        <f t="shared" si="22"/>
        <v>5.4847969334906548</v>
      </c>
      <c r="H174">
        <f t="shared" si="23"/>
        <v>3.7565381025877511</v>
      </c>
      <c r="I174">
        <f t="shared" si="24"/>
        <v>-0.11762535723079751</v>
      </c>
      <c r="J174">
        <f t="shared" si="25"/>
        <v>7.1724014742298632</v>
      </c>
      <c r="L174">
        <f t="shared" si="26"/>
        <v>3328.9425733952507</v>
      </c>
      <c r="N174">
        <f t="shared" si="27"/>
        <v>8.0548402211010242</v>
      </c>
      <c r="O174">
        <f t="shared" si="28"/>
        <v>8.1104099870192812</v>
      </c>
      <c r="P174">
        <f t="shared" si="29"/>
        <v>3.0879988842098796E-3</v>
      </c>
      <c r="S174">
        <f t="shared" si="30"/>
        <v>5.4053973424877666E-2</v>
      </c>
    </row>
    <row r="175" spans="2:19" ht="15.75" x14ac:dyDescent="0.3">
      <c r="B175" s="1">
        <v>242</v>
      </c>
      <c r="C175" s="6">
        <v>44.9</v>
      </c>
      <c r="D175" s="7">
        <v>0.90783856762258497</v>
      </c>
      <c r="E175" s="17">
        <v>1290.7743124026983</v>
      </c>
      <c r="F175" s="1">
        <v>3005</v>
      </c>
      <c r="G175">
        <f t="shared" si="22"/>
        <v>5.4889377261566867</v>
      </c>
      <c r="H175">
        <f t="shared" si="23"/>
        <v>3.8044377947482086</v>
      </c>
      <c r="I175">
        <f t="shared" si="24"/>
        <v>-9.6688705149085563E-2</v>
      </c>
      <c r="J175">
        <f t="shared" si="25"/>
        <v>7.1629975594550741</v>
      </c>
      <c r="L175">
        <f t="shared" si="26"/>
        <v>3400.0285598403589</v>
      </c>
      <c r="N175">
        <f t="shared" si="27"/>
        <v>8.0080328469693072</v>
      </c>
      <c r="O175">
        <f t="shared" si="28"/>
        <v>8.1315391105220201</v>
      </c>
      <c r="P175">
        <f t="shared" si="29"/>
        <v>1.5253797136752173E-2</v>
      </c>
      <c r="S175">
        <f t="shared" si="30"/>
        <v>0.11618389460202258</v>
      </c>
    </row>
    <row r="176" spans="2:19" ht="15.75" x14ac:dyDescent="0.3">
      <c r="B176" s="1">
        <v>240</v>
      </c>
      <c r="C176" s="6">
        <v>41.4</v>
      </c>
      <c r="D176" s="7">
        <v>0.99679574727810316</v>
      </c>
      <c r="E176" s="17">
        <v>1830</v>
      </c>
      <c r="F176" s="1">
        <v>3609</v>
      </c>
      <c r="G176">
        <f t="shared" si="22"/>
        <v>5.4806389233419912</v>
      </c>
      <c r="H176">
        <f t="shared" si="23"/>
        <v>3.7232808808312687</v>
      </c>
      <c r="I176">
        <f t="shared" si="24"/>
        <v>-3.2093973323439368E-3</v>
      </c>
      <c r="J176">
        <f t="shared" si="25"/>
        <v>7.5120712458354664</v>
      </c>
      <c r="L176">
        <f t="shared" si="26"/>
        <v>3731.4873036394551</v>
      </c>
      <c r="N176">
        <f t="shared" si="27"/>
        <v>8.1911860046427893</v>
      </c>
      <c r="O176">
        <f t="shared" si="28"/>
        <v>8.2245621740839319</v>
      </c>
      <c r="P176">
        <f t="shared" si="29"/>
        <v>1.113968686563856E-3</v>
      </c>
      <c r="S176">
        <f t="shared" si="30"/>
        <v>3.2825330403774611E-2</v>
      </c>
    </row>
  </sheetData>
  <mergeCells count="4">
    <mergeCell ref="A1:B1"/>
    <mergeCell ref="L1:M1"/>
    <mergeCell ref="N21:Q21"/>
    <mergeCell ref="S21:T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D1A8-D0BA-4446-ACA4-85829DCAD61F}">
  <dimension ref="A1:T177"/>
  <sheetViews>
    <sheetView topLeftCell="D2" workbookViewId="0">
      <selection activeCell="H14" sqref="H14"/>
    </sheetView>
  </sheetViews>
  <sheetFormatPr defaultRowHeight="15" x14ac:dyDescent="0.25"/>
  <cols>
    <col min="1" max="1" width="9.42578125" style="20" bestFit="1" customWidth="1"/>
    <col min="2" max="2" width="32.5703125" style="20" bestFit="1" customWidth="1"/>
    <col min="3" max="3" width="9.5703125" style="20" customWidth="1"/>
    <col min="4" max="4" width="27" style="20" customWidth="1"/>
    <col min="5" max="5" width="26.42578125" style="20" customWidth="1"/>
    <col min="6" max="6" width="26.42578125" style="20" bestFit="1" customWidth="1"/>
    <col min="7" max="7" width="18.42578125" bestFit="1" customWidth="1"/>
    <col min="8" max="8" width="17.28515625" bestFit="1" customWidth="1"/>
    <col min="9" max="9" width="11.42578125" customWidth="1"/>
    <col min="11" max="11" width="5" customWidth="1"/>
    <col min="12" max="12" width="16.7109375" bestFit="1" customWidth="1"/>
    <col min="13" max="13" width="18.42578125" bestFit="1" customWidth="1"/>
    <col min="14" max="14" width="18" bestFit="1" customWidth="1"/>
    <col min="15" max="15" width="12" bestFit="1" customWidth="1"/>
    <col min="16" max="16" width="11.140625" bestFit="1" customWidth="1"/>
    <col min="19" max="19" width="18.42578125" bestFit="1" customWidth="1"/>
  </cols>
  <sheetData>
    <row r="1" spans="1:8" ht="30" x14ac:dyDescent="0.25">
      <c r="A1" s="35" t="s">
        <v>33</v>
      </c>
      <c r="B1" s="36"/>
      <c r="D1" s="26" t="s">
        <v>34</v>
      </c>
      <c r="E1" s="26" t="s">
        <v>56</v>
      </c>
      <c r="F1" s="26" t="s">
        <v>35</v>
      </c>
      <c r="G1" s="27" t="s">
        <v>36</v>
      </c>
      <c r="H1" s="27" t="s">
        <v>37</v>
      </c>
    </row>
    <row r="2" spans="1:8" x14ac:dyDescent="0.25">
      <c r="A2" s="21" t="s">
        <v>38</v>
      </c>
      <c r="B2" s="22">
        <v>0.93644463640731812</v>
      </c>
      <c r="C2" s="22"/>
      <c r="D2" s="28">
        <v>0.85799999999999998</v>
      </c>
      <c r="E2" s="28">
        <v>0.72585460000000002</v>
      </c>
      <c r="F2" s="22">
        <v>0.89818488963440302</v>
      </c>
      <c r="G2" s="22">
        <v>0.93644463640731812</v>
      </c>
      <c r="H2" s="28">
        <v>0.61016936572313629</v>
      </c>
    </row>
    <row r="3" spans="1:8" x14ac:dyDescent="0.25">
      <c r="A3" s="21" t="s">
        <v>39</v>
      </c>
      <c r="B3" s="22">
        <v>3.2659190828605168E-2</v>
      </c>
      <c r="C3" s="22"/>
      <c r="D3" s="28">
        <v>-7.8810000000000005E-2</v>
      </c>
      <c r="E3" s="28">
        <v>-4.562008E-2</v>
      </c>
      <c r="F3" s="22">
        <v>-8.1171931742601247E-2</v>
      </c>
      <c r="G3" s="22">
        <v>3.2659190828605168E-2</v>
      </c>
      <c r="H3" s="28">
        <v>2.9978438378524319E-2</v>
      </c>
    </row>
    <row r="4" spans="1:8" x14ac:dyDescent="0.25">
      <c r="A4" s="21" t="s">
        <v>40</v>
      </c>
      <c r="B4" s="22">
        <v>0</v>
      </c>
      <c r="C4" s="22"/>
      <c r="D4" s="28">
        <v>3.198</v>
      </c>
      <c r="E4" s="28">
        <v>3.198814</v>
      </c>
      <c r="F4" s="22">
        <v>3.3311210228280297</v>
      </c>
      <c r="G4" s="22">
        <v>0</v>
      </c>
      <c r="H4" s="28">
        <v>2.3440759500883597E-2</v>
      </c>
    </row>
    <row r="5" spans="1:8" x14ac:dyDescent="0.25">
      <c r="A5" s="21" t="s">
        <v>41</v>
      </c>
      <c r="B5" s="22">
        <v>1.0027229282712795</v>
      </c>
      <c r="C5" s="22"/>
      <c r="D5" s="28">
        <v>-0.45700000000000002</v>
      </c>
      <c r="E5" s="28">
        <v>-0.39946979999999999</v>
      </c>
      <c r="F5" s="22">
        <v>-0.47435122642471783</v>
      </c>
      <c r="G5" s="22">
        <v>1.0027229282712795</v>
      </c>
      <c r="H5" s="28">
        <v>0.41319181823745266</v>
      </c>
    </row>
    <row r="6" spans="1:8" x14ac:dyDescent="0.25">
      <c r="A6" s="21" t="s">
        <v>42</v>
      </c>
      <c r="B6" s="22">
        <v>0.14075944521438569</v>
      </c>
      <c r="C6" s="22"/>
      <c r="D6" s="28">
        <v>0.14599999999999999</v>
      </c>
      <c r="E6" s="28">
        <v>-0.14834149999999999</v>
      </c>
      <c r="F6" s="22">
        <v>0.13525381739955739</v>
      </c>
      <c r="G6" s="22">
        <v>0.14075944521438569</v>
      </c>
      <c r="H6" s="28">
        <v>1.2789889603498581E-2</v>
      </c>
    </row>
    <row r="7" spans="1:8" x14ac:dyDescent="0.25">
      <c r="A7" s="21" t="s">
        <v>43</v>
      </c>
      <c r="B7" s="22">
        <v>0.31905238461741287</v>
      </c>
      <c r="C7" s="22"/>
      <c r="D7" s="28">
        <v>0.32200000000000001</v>
      </c>
      <c r="E7" s="28">
        <v>0.35508529999999999</v>
      </c>
      <c r="F7" s="22">
        <v>0.28100358509659229</v>
      </c>
      <c r="G7" s="22">
        <v>0.31905238461741287</v>
      </c>
      <c r="H7" s="28">
        <v>0.4057584998843749</v>
      </c>
    </row>
    <row r="8" spans="1:8" x14ac:dyDescent="0.25">
      <c r="A8" s="21" t="s">
        <v>44</v>
      </c>
      <c r="B8" s="22">
        <v>2.1101442601180334</v>
      </c>
      <c r="C8" s="22"/>
      <c r="D8" s="28">
        <v>3.1720000000000002</v>
      </c>
      <c r="E8" s="28">
        <v>2.9144600000000001</v>
      </c>
      <c r="F8" s="22">
        <v>3.3021028620987254</v>
      </c>
      <c r="G8" s="22">
        <v>2.1101442601180334</v>
      </c>
      <c r="H8" s="28">
        <v>1.3752358537723883</v>
      </c>
    </row>
    <row r="9" spans="1:8" x14ac:dyDescent="0.25">
      <c r="A9" s="21" t="s">
        <v>45</v>
      </c>
      <c r="B9" s="22">
        <v>0.10698419220469117</v>
      </c>
      <c r="C9" s="22"/>
      <c r="D9" s="28">
        <v>1.0149999999999999</v>
      </c>
      <c r="E9" s="28">
        <v>0.44022250000000002</v>
      </c>
      <c r="F9" s="22">
        <v>1.0467633888953267</v>
      </c>
      <c r="G9" s="22">
        <v>0.10698419220469117</v>
      </c>
      <c r="H9" s="28">
        <v>6.8998278557761833E-2</v>
      </c>
    </row>
    <row r="10" spans="1:8" x14ac:dyDescent="0.25">
      <c r="A10" s="21" t="s">
        <v>46</v>
      </c>
      <c r="B10" s="22">
        <v>0.75911788299426308</v>
      </c>
      <c r="C10" s="22"/>
      <c r="D10" s="28">
        <v>-0.34</v>
      </c>
      <c r="E10" s="28">
        <v>-0.17915510000000001</v>
      </c>
      <c r="F10" s="22">
        <v>-0.35106205611611918</v>
      </c>
      <c r="G10" s="22">
        <v>0.75911788299426308</v>
      </c>
      <c r="H10" s="28">
        <v>0.5655644989677896</v>
      </c>
    </row>
    <row r="11" spans="1:8" x14ac:dyDescent="0.25">
      <c r="A11" s="21" t="s">
        <v>47</v>
      </c>
      <c r="B11" s="22">
        <v>4.7093981664798439E-2</v>
      </c>
      <c r="C11" s="22"/>
      <c r="D11" s="28">
        <v>0.54</v>
      </c>
      <c r="E11" s="28">
        <v>0.6955443</v>
      </c>
      <c r="F11" s="22">
        <v>0.56379623294381842</v>
      </c>
      <c r="G11" s="22">
        <v>4.7093981664798439E-2</v>
      </c>
      <c r="H11" s="28">
        <v>5.7873934324297549E-2</v>
      </c>
    </row>
    <row r="12" spans="1:8" x14ac:dyDescent="0.25">
      <c r="A12" s="21" t="s">
        <v>48</v>
      </c>
      <c r="B12" s="22">
        <v>0.10746817692449673</v>
      </c>
      <c r="C12" s="22"/>
      <c r="D12" s="28">
        <v>-0.66500000000000004</v>
      </c>
      <c r="E12" s="28">
        <v>-0.8172007</v>
      </c>
      <c r="F12" s="22">
        <v>-0.64343106405932837</v>
      </c>
      <c r="G12" s="22">
        <v>0.10746817692449673</v>
      </c>
      <c r="H12" s="28">
        <v>0.17281163753413703</v>
      </c>
    </row>
    <row r="13" spans="1:8" x14ac:dyDescent="0.25">
      <c r="A13" s="21" t="s">
        <v>49</v>
      </c>
      <c r="B13" s="22">
        <v>1.1516277411116336</v>
      </c>
      <c r="C13" s="22"/>
      <c r="D13" s="28">
        <v>0.45800000000000002</v>
      </c>
      <c r="E13" s="28">
        <v>0.422981</v>
      </c>
      <c r="F13" s="22">
        <v>0.42641397343040999</v>
      </c>
      <c r="G13" s="22">
        <v>1.1516277411116336</v>
      </c>
      <c r="H13" s="28">
        <v>0.3061449583085693</v>
      </c>
    </row>
    <row r="14" spans="1:8" x14ac:dyDescent="0.25">
      <c r="A14" s="21" t="s">
        <v>50</v>
      </c>
      <c r="B14" s="22">
        <v>0.20336627743754243</v>
      </c>
      <c r="C14" s="22"/>
      <c r="D14" s="28">
        <v>-0.54500000000000004</v>
      </c>
      <c r="E14" s="28">
        <v>-0.56126310000000001</v>
      </c>
      <c r="F14" s="22">
        <v>-0.57055813507193753</v>
      </c>
      <c r="G14" s="22">
        <v>0.20336627743754243</v>
      </c>
      <c r="H14" s="28">
        <v>6.9427123585989223E-2</v>
      </c>
    </row>
    <row r="15" spans="1:8" x14ac:dyDescent="0.25">
      <c r="A15" s="21" t="s">
        <v>51</v>
      </c>
      <c r="B15" s="22">
        <v>4.8300097879407963E-2</v>
      </c>
      <c r="C15" s="22"/>
      <c r="D15" s="28">
        <v>3.3430000000000001E-2</v>
      </c>
      <c r="E15" s="28">
        <v>4.7359039999999998E-2</v>
      </c>
      <c r="F15" s="22">
        <v>3.5591113227760061E-2</v>
      </c>
      <c r="G15" s="22">
        <v>4.8300097879407963E-2</v>
      </c>
      <c r="H15" s="28">
        <v>6.6725539356280103E-2</v>
      </c>
    </row>
    <row r="16" spans="1:8" x14ac:dyDescent="0.25">
      <c r="A16" s="21" t="s">
        <v>52</v>
      </c>
      <c r="B16" s="22">
        <v>1.09148219659962</v>
      </c>
      <c r="C16" s="22"/>
      <c r="D16" s="28">
        <v>0.45400000000000001</v>
      </c>
      <c r="E16" s="28">
        <v>0.47469899999999998</v>
      </c>
      <c r="F16" s="22">
        <v>0.452287276638766</v>
      </c>
      <c r="G16" s="22">
        <v>1.09148219659962</v>
      </c>
      <c r="H16" s="28">
        <v>0.97459058403978061</v>
      </c>
    </row>
    <row r="17" spans="1:20" x14ac:dyDescent="0.25">
      <c r="A17" s="21" t="s">
        <v>53</v>
      </c>
      <c r="B17" s="22">
        <v>0.12189072666291628</v>
      </c>
      <c r="C17" s="22"/>
      <c r="D17" s="28">
        <v>-0.28100000000000003</v>
      </c>
      <c r="E17" s="28">
        <v>-0.25150090000000003</v>
      </c>
      <c r="F17" s="22">
        <v>-0.28758765057829266</v>
      </c>
      <c r="G17" s="22">
        <v>0.12189072666291628</v>
      </c>
      <c r="H17" s="28">
        <v>0.13055450739764987</v>
      </c>
    </row>
    <row r="18" spans="1:20" x14ac:dyDescent="0.25">
      <c r="F18" s="21"/>
      <c r="G18" s="22"/>
    </row>
    <row r="19" spans="1:20" x14ac:dyDescent="0.25">
      <c r="F19" s="21"/>
      <c r="G19" s="22"/>
    </row>
    <row r="20" spans="1:20" x14ac:dyDescent="0.25">
      <c r="F20" s="21"/>
      <c r="G20" s="22"/>
    </row>
    <row r="21" spans="1:20" ht="78.75" x14ac:dyDescent="0.25"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L21" s="21" t="s">
        <v>54</v>
      </c>
      <c r="N21" s="38" t="s">
        <v>21</v>
      </c>
      <c r="O21" s="38"/>
      <c r="P21" s="38"/>
      <c r="Q21" s="38"/>
      <c r="S21" s="38" t="s">
        <v>22</v>
      </c>
      <c r="T21" s="38"/>
    </row>
    <row r="22" spans="1:20" ht="31.5" x14ac:dyDescent="0.25">
      <c r="A22" s="2" t="s">
        <v>23</v>
      </c>
      <c r="B22" s="2" t="s">
        <v>3</v>
      </c>
      <c r="C22" s="5" t="s">
        <v>1</v>
      </c>
      <c r="D22" s="2" t="s">
        <v>4</v>
      </c>
      <c r="E22" s="2" t="s">
        <v>0</v>
      </c>
      <c r="F22" s="2" t="s">
        <v>2</v>
      </c>
      <c r="G22" s="19" t="s">
        <v>24</v>
      </c>
      <c r="H22" s="19" t="s">
        <v>25</v>
      </c>
      <c r="I22" s="19" t="s">
        <v>26</v>
      </c>
      <c r="J22" s="19" t="s">
        <v>27</v>
      </c>
      <c r="L22" s="24" t="s">
        <v>73</v>
      </c>
      <c r="N22" s="19" t="s">
        <v>29</v>
      </c>
      <c r="O22" s="19" t="s">
        <v>30</v>
      </c>
      <c r="P22" s="19" t="s">
        <v>31</v>
      </c>
      <c r="Q22" s="25">
        <f>SUM(P23:P176)</f>
        <v>3.7138838016474036</v>
      </c>
      <c r="S22" t="s">
        <v>32</v>
      </c>
      <c r="T22">
        <f>SUM(S23:S176)*100/COUNT(S23:S176)</f>
        <v>7.4533117813027268</v>
      </c>
    </row>
    <row r="23" spans="1:20" ht="15.75" x14ac:dyDescent="0.3">
      <c r="A23" s="20">
        <v>1</v>
      </c>
      <c r="B23" s="17">
        <v>174</v>
      </c>
      <c r="C23" s="3">
        <v>46.658961138443573</v>
      </c>
      <c r="D23" s="8">
        <v>0.83574909006792664</v>
      </c>
      <c r="E23" s="9">
        <v>1667.7686823505701</v>
      </c>
      <c r="F23" s="4">
        <v>3501</v>
      </c>
      <c r="G23">
        <f t="shared" ref="G23:J54" si="0">LN(B23)</f>
        <v>5.1590552992145291</v>
      </c>
      <c r="H23">
        <f t="shared" si="0"/>
        <v>3.8428650018457171</v>
      </c>
      <c r="I23">
        <f t="shared" si="0"/>
        <v>-0.17942684244360266</v>
      </c>
      <c r="J23">
        <f t="shared" si="0"/>
        <v>7.4192418936558395</v>
      </c>
      <c r="L23">
        <f t="shared" ref="L23:L54" si="1">EXP((_C1_exp16+_C2_exp16*G23)*(_C3_exp16+_C4_exp16*H23)*(_C5_exp16+_C6_exp16*J23)*(_C7_exp16+_C8_exp16*I23)/((d1_exp16+d2_exp16*G23)*(d3_exp16+d4_exp16*H23)*(d5_exp16+d6_exp16*J23)*(d7_exp16+d8_exp16*I23)))</f>
        <v>3571.4342717984809</v>
      </c>
      <c r="N23">
        <f t="shared" ref="N23:N54" si="2">LN(F23)</f>
        <v>8.160803920954665</v>
      </c>
      <c r="O23">
        <f t="shared" ref="O23:O54" si="3">LN(L23)</f>
        <v>8.1807225508973254</v>
      </c>
      <c r="P23">
        <f>(N23-O23)^2</f>
        <v>3.9675181879264586E-4</v>
      </c>
      <c r="S23">
        <f t="shared" ref="S23:S54" si="4">ABS((F23-L23)/L23)</f>
        <v>1.9721564625914869E-2</v>
      </c>
    </row>
    <row r="24" spans="1:20" ht="15.75" x14ac:dyDescent="0.3">
      <c r="A24" s="20">
        <v>2</v>
      </c>
      <c r="B24" s="17">
        <v>159</v>
      </c>
      <c r="C24" s="3">
        <v>42.1</v>
      </c>
      <c r="D24" s="8">
        <f>(3011*1.0461*0.7329+24*1.0283+15*1.3503)/(3011*1.0461+39)</f>
        <v>0.73802749736413975</v>
      </c>
      <c r="E24" s="9">
        <f>(3011*1.0461+39)</f>
        <v>3188.8071</v>
      </c>
      <c r="F24" s="4">
        <v>6415</v>
      </c>
      <c r="G24">
        <f t="shared" si="0"/>
        <v>5.0689042022202315</v>
      </c>
      <c r="H24">
        <f t="shared" si="0"/>
        <v>3.7400477406883357</v>
      </c>
      <c r="I24">
        <f t="shared" si="0"/>
        <v>-0.30377419577477272</v>
      </c>
      <c r="J24">
        <f t="shared" si="0"/>
        <v>8.0674021759989518</v>
      </c>
      <c r="L24">
        <f t="shared" si="1"/>
        <v>4731.8996134891186</v>
      </c>
      <c r="N24">
        <f t="shared" si="2"/>
        <v>8.7663942770497361</v>
      </c>
      <c r="O24">
        <f t="shared" si="3"/>
        <v>8.4620820104795715</v>
      </c>
      <c r="P24">
        <f t="shared" ref="P24:P87" si="5">(N24-O24)^2</f>
        <v>9.260595558507087E-2</v>
      </c>
      <c r="S24">
        <f t="shared" si="4"/>
        <v>0.35569232739276746</v>
      </c>
    </row>
    <row r="25" spans="1:20" ht="15.75" x14ac:dyDescent="0.3">
      <c r="A25" s="20">
        <v>3</v>
      </c>
      <c r="B25" s="17">
        <v>157</v>
      </c>
      <c r="C25" s="3">
        <v>44.23</v>
      </c>
      <c r="D25" s="8">
        <v>0.8500077412459377</v>
      </c>
      <c r="E25" s="9">
        <v>1133.4462691607539</v>
      </c>
      <c r="F25" s="4">
        <v>3265</v>
      </c>
      <c r="G25">
        <f t="shared" si="0"/>
        <v>5.0562458053483077</v>
      </c>
      <c r="H25">
        <f t="shared" si="0"/>
        <v>3.7894032918802352</v>
      </c>
      <c r="I25">
        <f t="shared" si="0"/>
        <v>-0.16250982219108456</v>
      </c>
      <c r="J25">
        <f t="shared" si="0"/>
        <v>7.0330180662309738</v>
      </c>
      <c r="L25">
        <f t="shared" si="1"/>
        <v>3131.3678727105244</v>
      </c>
      <c r="N25">
        <f t="shared" si="2"/>
        <v>8.0910150417105307</v>
      </c>
      <c r="O25">
        <f t="shared" si="3"/>
        <v>8.0492252081040672</v>
      </c>
      <c r="P25">
        <f t="shared" si="5"/>
        <v>1.7463901928559053E-3</v>
      </c>
      <c r="S25">
        <f t="shared" si="4"/>
        <v>4.2675320409991675E-2</v>
      </c>
    </row>
    <row r="26" spans="1:20" ht="15.75" x14ac:dyDescent="0.3">
      <c r="A26" s="20">
        <v>4</v>
      </c>
      <c r="B26" s="17">
        <v>190</v>
      </c>
      <c r="C26" s="3">
        <v>51.48</v>
      </c>
      <c r="D26" s="8">
        <f>(7899*1.0611*0.742+23*0.9619+19*1.4441)/(7899*1.0611+41)</f>
        <v>0.74427240214750523</v>
      </c>
      <c r="E26" s="9">
        <f>(7899*1.0611+41)</f>
        <v>8422.6288999999997</v>
      </c>
      <c r="F26" s="4">
        <v>5575</v>
      </c>
      <c r="G26">
        <f t="shared" si="0"/>
        <v>5.2470240721604862</v>
      </c>
      <c r="H26">
        <f t="shared" si="0"/>
        <v>3.941193382727926</v>
      </c>
      <c r="I26">
        <f t="shared" si="0"/>
        <v>-0.2953481792402905</v>
      </c>
      <c r="J26">
        <f t="shared" si="0"/>
        <v>9.0386772794081818</v>
      </c>
      <c r="L26">
        <f t="shared" si="1"/>
        <v>6099.2629195902364</v>
      </c>
      <c r="N26">
        <f t="shared" si="2"/>
        <v>8.6260475963283199</v>
      </c>
      <c r="O26">
        <f t="shared" si="3"/>
        <v>8.7159232100064656</v>
      </c>
      <c r="P26">
        <f t="shared" si="5"/>
        <v>8.0776259340233046E-3</v>
      </c>
      <c r="S26">
        <f t="shared" si="4"/>
        <v>8.5955127119763136E-2</v>
      </c>
    </row>
    <row r="27" spans="1:20" ht="15.75" x14ac:dyDescent="0.3">
      <c r="A27" s="20">
        <v>5</v>
      </c>
      <c r="B27" s="17">
        <v>153</v>
      </c>
      <c r="C27" s="3">
        <v>45.07</v>
      </c>
      <c r="D27" s="8">
        <v>0.84958189781021909</v>
      </c>
      <c r="E27" s="9">
        <v>1371</v>
      </c>
      <c r="F27" s="4">
        <v>3415</v>
      </c>
      <c r="G27">
        <f t="shared" si="0"/>
        <v>5.0304379213924353</v>
      </c>
      <c r="H27">
        <f t="shared" si="0"/>
        <v>3.8082168367025568</v>
      </c>
      <c r="I27">
        <f t="shared" si="0"/>
        <v>-0.16301093544200598</v>
      </c>
      <c r="J27">
        <f t="shared" si="0"/>
        <v>7.2232956795623142</v>
      </c>
      <c r="L27">
        <f t="shared" si="1"/>
        <v>3366.6864039445031</v>
      </c>
      <c r="N27">
        <f t="shared" si="2"/>
        <v>8.1359327720048906</v>
      </c>
      <c r="O27">
        <f t="shared" si="3"/>
        <v>8.1216842767018296</v>
      </c>
      <c r="P27">
        <f t="shared" si="5"/>
        <v>2.0301961840135275E-4</v>
      </c>
      <c r="S27">
        <f t="shared" si="4"/>
        <v>1.4350488955220576E-2</v>
      </c>
    </row>
    <row r="28" spans="1:20" ht="15.75" x14ac:dyDescent="0.3">
      <c r="A28" s="20">
        <v>6</v>
      </c>
      <c r="B28" s="17">
        <v>156</v>
      </c>
      <c r="C28" s="3">
        <v>41.5</v>
      </c>
      <c r="D28" s="8">
        <v>0.84233779366700712</v>
      </c>
      <c r="E28" s="9">
        <v>979</v>
      </c>
      <c r="F28" s="4">
        <v>2965</v>
      </c>
      <c r="G28">
        <f t="shared" si="0"/>
        <v>5.0498560072495371</v>
      </c>
      <c r="H28">
        <f t="shared" si="0"/>
        <v>3.7256934272366524</v>
      </c>
      <c r="I28">
        <f t="shared" si="0"/>
        <v>-0.17157416506395443</v>
      </c>
      <c r="J28">
        <f t="shared" si="0"/>
        <v>6.8865316425305103</v>
      </c>
      <c r="L28">
        <f t="shared" si="1"/>
        <v>2974.3926818854311</v>
      </c>
      <c r="N28">
        <f t="shared" si="2"/>
        <v>7.9946323114318254</v>
      </c>
      <c r="O28">
        <f t="shared" si="3"/>
        <v>7.9977951565975012</v>
      </c>
      <c r="P28">
        <f t="shared" si="5"/>
        <v>1.0003589542038628E-5</v>
      </c>
      <c r="S28">
        <f t="shared" si="4"/>
        <v>3.157848640038072E-3</v>
      </c>
    </row>
    <row r="29" spans="1:20" ht="15.75" x14ac:dyDescent="0.3">
      <c r="A29" s="20">
        <v>7</v>
      </c>
      <c r="B29" s="17">
        <v>135</v>
      </c>
      <c r="C29" s="3">
        <v>43.13</v>
      </c>
      <c r="D29" s="8">
        <f>(1607*1.0505*0.7748+19*0.8601+40*1.4479)/(1607*1.0505+60)</f>
        <v>0.79068527552071366</v>
      </c>
      <c r="E29" s="9">
        <f>(1607*1.0505+60)</f>
        <v>1748.1534999999999</v>
      </c>
      <c r="F29" s="4">
        <v>4215</v>
      </c>
      <c r="G29">
        <f t="shared" si="0"/>
        <v>4.9052747784384296</v>
      </c>
      <c r="H29">
        <f t="shared" si="0"/>
        <v>3.7642188106597518</v>
      </c>
      <c r="I29">
        <f t="shared" si="0"/>
        <v>-0.23485527215944599</v>
      </c>
      <c r="J29">
        <f t="shared" si="0"/>
        <v>7.4663153670053095</v>
      </c>
      <c r="L29">
        <f t="shared" si="1"/>
        <v>3858.3588557460935</v>
      </c>
      <c r="N29">
        <f t="shared" si="2"/>
        <v>8.3464048704359559</v>
      </c>
      <c r="O29">
        <f t="shared" si="3"/>
        <v>8.257997205144644</v>
      </c>
      <c r="P29">
        <f t="shared" si="5"/>
        <v>7.8159152822606416E-3</v>
      </c>
      <c r="S29">
        <f t="shared" si="4"/>
        <v>9.2433378435698307E-2</v>
      </c>
    </row>
    <row r="30" spans="1:20" ht="15.75" x14ac:dyDescent="0.3">
      <c r="A30" s="20">
        <v>8</v>
      </c>
      <c r="B30" s="17">
        <v>132</v>
      </c>
      <c r="C30" s="3">
        <v>39.19</v>
      </c>
      <c r="D30" s="8">
        <v>0.81936949846468798</v>
      </c>
      <c r="E30" s="9">
        <v>977</v>
      </c>
      <c r="F30" s="4">
        <v>2915.0250000000001</v>
      </c>
      <c r="G30">
        <f t="shared" si="0"/>
        <v>4.8828019225863706</v>
      </c>
      <c r="H30">
        <f t="shared" si="0"/>
        <v>3.6684216122115401</v>
      </c>
      <c r="I30">
        <f t="shared" si="0"/>
        <v>-0.19922013879373077</v>
      </c>
      <c r="J30">
        <f t="shared" si="0"/>
        <v>6.8844866520427823</v>
      </c>
      <c r="L30">
        <f t="shared" si="1"/>
        <v>3076.6678036851467</v>
      </c>
      <c r="N30">
        <f t="shared" si="2"/>
        <v>7.977633675077147</v>
      </c>
      <c r="O30">
        <f t="shared" si="3"/>
        <v>8.0316024083905226</v>
      </c>
      <c r="P30">
        <f t="shared" si="5"/>
        <v>2.9126241754502567E-3</v>
      </c>
      <c r="S30">
        <f t="shared" si="4"/>
        <v>5.253826997231726E-2</v>
      </c>
    </row>
    <row r="31" spans="1:20" ht="15.75" x14ac:dyDescent="0.3">
      <c r="A31" s="20">
        <v>9</v>
      </c>
      <c r="B31" s="17">
        <v>90</v>
      </c>
      <c r="C31" s="3">
        <v>42.1</v>
      </c>
      <c r="D31" s="8">
        <v>1.2951339285714287</v>
      </c>
      <c r="E31" s="9">
        <v>224</v>
      </c>
      <c r="F31" s="4">
        <v>325.02499999999998</v>
      </c>
      <c r="G31">
        <f t="shared" si="0"/>
        <v>4.499809670330265</v>
      </c>
      <c r="H31">
        <f t="shared" si="0"/>
        <v>3.7400477406883357</v>
      </c>
      <c r="I31">
        <f t="shared" si="0"/>
        <v>0.25861410955032482</v>
      </c>
      <c r="J31">
        <f t="shared" si="0"/>
        <v>5.4116460518550396</v>
      </c>
      <c r="L31">
        <f t="shared" si="1"/>
        <v>1407.6728468192596</v>
      </c>
      <c r="N31">
        <f t="shared" si="2"/>
        <v>5.7839021024482324</v>
      </c>
      <c r="O31">
        <f t="shared" si="3"/>
        <v>7.2496931566085001</v>
      </c>
      <c r="P31">
        <f t="shared" si="5"/>
        <v>2.148543414456269</v>
      </c>
      <c r="S31">
        <f t="shared" si="4"/>
        <v>0.76910473144778069</v>
      </c>
    </row>
    <row r="32" spans="1:20" ht="15.75" x14ac:dyDescent="0.3">
      <c r="A32" s="20">
        <v>10</v>
      </c>
      <c r="B32" s="17">
        <v>155</v>
      </c>
      <c r="C32" s="3">
        <v>42.65</v>
      </c>
      <c r="D32" s="8">
        <v>0.86946729910714293</v>
      </c>
      <c r="E32" s="9">
        <v>895</v>
      </c>
      <c r="F32" s="4">
        <v>2515</v>
      </c>
      <c r="G32">
        <f t="shared" si="0"/>
        <v>5.0434251169192468</v>
      </c>
      <c r="H32">
        <f t="shared" si="0"/>
        <v>3.753027273937688</v>
      </c>
      <c r="I32">
        <f t="shared" si="0"/>
        <v>-0.13987455474247895</v>
      </c>
      <c r="J32">
        <f t="shared" si="0"/>
        <v>6.7968237182748554</v>
      </c>
      <c r="L32">
        <f t="shared" si="1"/>
        <v>2837.8601148441649</v>
      </c>
      <c r="N32">
        <f t="shared" si="2"/>
        <v>7.8300280825338398</v>
      </c>
      <c r="O32">
        <f t="shared" si="3"/>
        <v>7.9508055664573307</v>
      </c>
      <c r="P32">
        <f t="shared" si="5"/>
        <v>1.458720062288912E-2</v>
      </c>
      <c r="S32">
        <f t="shared" si="4"/>
        <v>0.11376886166987622</v>
      </c>
    </row>
    <row r="33" spans="1:19" ht="15.75" x14ac:dyDescent="0.3">
      <c r="A33" s="20">
        <v>11</v>
      </c>
      <c r="B33" s="17">
        <v>157</v>
      </c>
      <c r="C33" s="3">
        <v>42</v>
      </c>
      <c r="D33" s="8">
        <v>0.85150169491525418</v>
      </c>
      <c r="E33" s="9">
        <v>1179</v>
      </c>
      <c r="F33" s="4">
        <v>3162</v>
      </c>
      <c r="G33">
        <f t="shared" si="0"/>
        <v>5.0562458053483077</v>
      </c>
      <c r="H33">
        <f t="shared" si="0"/>
        <v>3.7376696182833684</v>
      </c>
      <c r="I33">
        <f t="shared" si="0"/>
        <v>-0.16075378837608542</v>
      </c>
      <c r="J33">
        <f t="shared" si="0"/>
        <v>7.0724219005373712</v>
      </c>
      <c r="L33">
        <f t="shared" si="1"/>
        <v>3164.7647014547106</v>
      </c>
      <c r="N33">
        <f t="shared" si="2"/>
        <v>8.058960017769417</v>
      </c>
      <c r="O33">
        <f t="shared" si="3"/>
        <v>8.0598339878824685</v>
      </c>
      <c r="P33">
        <f t="shared" si="5"/>
        <v>7.6382375850737368E-7</v>
      </c>
      <c r="S33">
        <f t="shared" si="4"/>
        <v>8.7358831240747761E-4</v>
      </c>
    </row>
    <row r="34" spans="1:19" ht="15.75" x14ac:dyDescent="0.3">
      <c r="A34" s="20">
        <v>12</v>
      </c>
      <c r="B34" s="17">
        <v>157</v>
      </c>
      <c r="C34" s="3">
        <v>42.8</v>
      </c>
      <c r="D34" s="8">
        <v>0.8712595864661653</v>
      </c>
      <c r="E34" s="9">
        <v>1064</v>
      </c>
      <c r="F34" s="4">
        <v>2915</v>
      </c>
      <c r="G34">
        <f t="shared" si="0"/>
        <v>5.0562458053483077</v>
      </c>
      <c r="H34">
        <f t="shared" si="0"/>
        <v>3.7565381025877511</v>
      </c>
      <c r="I34">
        <f t="shared" si="0"/>
        <v>-0.13781531385038742</v>
      </c>
      <c r="J34">
        <f t="shared" si="0"/>
        <v>6.9697906699015899</v>
      </c>
      <c r="L34">
        <f t="shared" si="1"/>
        <v>3017.571964108889</v>
      </c>
      <c r="N34">
        <f t="shared" si="2"/>
        <v>7.9776250987845927</v>
      </c>
      <c r="O34">
        <f t="shared" si="3"/>
        <v>8.0122078016049159</v>
      </c>
      <c r="P34">
        <f t="shared" si="5"/>
        <v>1.1959633343587876E-3</v>
      </c>
      <c r="S34">
        <f t="shared" si="4"/>
        <v>3.3991555240068402E-2</v>
      </c>
    </row>
    <row r="35" spans="1:19" ht="15.75" x14ac:dyDescent="0.3">
      <c r="A35" s="20">
        <v>13</v>
      </c>
      <c r="B35" s="17">
        <v>144</v>
      </c>
      <c r="C35" s="3">
        <v>45.6</v>
      </c>
      <c r="D35" s="8">
        <v>0.77204269293924499</v>
      </c>
      <c r="E35" s="9">
        <v>1827</v>
      </c>
      <c r="F35" s="4">
        <v>3981</v>
      </c>
      <c r="G35">
        <f t="shared" si="0"/>
        <v>4.9698132995760007</v>
      </c>
      <c r="H35">
        <f t="shared" si="0"/>
        <v>3.8199077165203406</v>
      </c>
      <c r="I35">
        <f t="shared" si="0"/>
        <v>-0.25871542875167214</v>
      </c>
      <c r="J35">
        <f t="shared" si="0"/>
        <v>7.5104305563780063</v>
      </c>
      <c r="L35">
        <f t="shared" si="1"/>
        <v>3939.4491111768825</v>
      </c>
      <c r="N35">
        <f t="shared" si="2"/>
        <v>8.2892883230003171</v>
      </c>
      <c r="O35">
        <f t="shared" si="3"/>
        <v>8.278796173018069</v>
      </c>
      <c r="P35">
        <f t="shared" si="5"/>
        <v>1.1008521124998928E-4</v>
      </c>
      <c r="S35">
        <f t="shared" si="4"/>
        <v>1.0547385598973873E-2</v>
      </c>
    </row>
    <row r="36" spans="1:19" ht="15.75" x14ac:dyDescent="0.3">
      <c r="A36" s="20">
        <v>14</v>
      </c>
      <c r="B36" s="17">
        <v>164</v>
      </c>
      <c r="C36" s="3">
        <v>47.66</v>
      </c>
      <c r="D36" s="8">
        <v>0.79283404776485</v>
      </c>
      <c r="E36" s="9">
        <v>1633</v>
      </c>
      <c r="F36" s="4">
        <v>3765.0250000000001</v>
      </c>
      <c r="G36">
        <f t="shared" si="0"/>
        <v>5.0998664278241987</v>
      </c>
      <c r="H36">
        <f t="shared" si="0"/>
        <v>3.8640924716705958</v>
      </c>
      <c r="I36">
        <f t="shared" si="0"/>
        <v>-0.23214135066646036</v>
      </c>
      <c r="J36">
        <f t="shared" si="0"/>
        <v>7.3981740929704651</v>
      </c>
      <c r="L36">
        <f t="shared" si="1"/>
        <v>3678.9386116343117</v>
      </c>
      <c r="N36">
        <f t="shared" si="2"/>
        <v>8.2335097803181903</v>
      </c>
      <c r="O36">
        <f t="shared" si="3"/>
        <v>8.2103795688101666</v>
      </c>
      <c r="P36">
        <f t="shared" si="5"/>
        <v>5.3500668440590899E-4</v>
      </c>
      <c r="S36">
        <f t="shared" si="4"/>
        <v>2.3399789301579536E-2</v>
      </c>
    </row>
    <row r="37" spans="1:19" ht="15.75" x14ac:dyDescent="0.3">
      <c r="A37" s="20">
        <v>15</v>
      </c>
      <c r="B37" s="17">
        <v>165</v>
      </c>
      <c r="C37" s="3">
        <v>44.5</v>
      </c>
      <c r="D37" s="8">
        <v>0.80648070107880954</v>
      </c>
      <c r="E37" s="9">
        <v>1921.8963562753036</v>
      </c>
      <c r="F37" s="4">
        <v>4115</v>
      </c>
      <c r="G37">
        <f t="shared" si="0"/>
        <v>5.1059454739005803</v>
      </c>
      <c r="H37">
        <f t="shared" si="0"/>
        <v>3.7954891891721947</v>
      </c>
      <c r="I37">
        <f t="shared" si="0"/>
        <v>-0.21507531092970458</v>
      </c>
      <c r="J37">
        <f t="shared" si="0"/>
        <v>7.5610676631414302</v>
      </c>
      <c r="L37">
        <f t="shared" si="1"/>
        <v>3834.1161829082357</v>
      </c>
      <c r="N37">
        <f t="shared" si="2"/>
        <v>8.3223941131111694</v>
      </c>
      <c r="O37">
        <f t="shared" si="3"/>
        <v>8.2516942264610691</v>
      </c>
      <c r="P37">
        <f t="shared" si="5"/>
        <v>4.9984739723370301E-3</v>
      </c>
      <c r="S37">
        <f t="shared" si="4"/>
        <v>7.3259078153106366E-2</v>
      </c>
    </row>
    <row r="38" spans="1:19" ht="15.75" x14ac:dyDescent="0.3">
      <c r="A38" s="20">
        <v>16</v>
      </c>
      <c r="B38" s="17">
        <v>142</v>
      </c>
      <c r="C38" s="3">
        <v>38.86</v>
      </c>
      <c r="D38" s="8">
        <v>0.92616719858156027</v>
      </c>
      <c r="E38" s="9">
        <v>564</v>
      </c>
      <c r="F38" s="4">
        <v>2115</v>
      </c>
      <c r="G38">
        <f t="shared" si="0"/>
        <v>4.9558270576012609</v>
      </c>
      <c r="H38">
        <f t="shared" si="0"/>
        <v>3.6599654439492939</v>
      </c>
      <c r="I38">
        <f t="shared" si="0"/>
        <v>-7.6700500611673508E-2</v>
      </c>
      <c r="J38">
        <f t="shared" si="0"/>
        <v>6.3350542514980592</v>
      </c>
      <c r="L38">
        <f t="shared" si="1"/>
        <v>2312.9913991693752</v>
      </c>
      <c r="N38">
        <f t="shared" si="2"/>
        <v>7.6568100914803781</v>
      </c>
      <c r="O38">
        <f t="shared" si="3"/>
        <v>7.7462969437504121</v>
      </c>
      <c r="P38">
        <f t="shared" si="5"/>
        <v>8.0078967291988996E-3</v>
      </c>
      <c r="S38">
        <f t="shared" si="4"/>
        <v>8.5599712666668992E-2</v>
      </c>
    </row>
    <row r="39" spans="1:19" ht="15.75" x14ac:dyDescent="0.3">
      <c r="A39" s="20">
        <v>17</v>
      </c>
      <c r="B39" s="17">
        <v>170</v>
      </c>
      <c r="C39" s="3">
        <v>41.82</v>
      </c>
      <c r="D39" s="8">
        <v>0.88517026618550887</v>
      </c>
      <c r="E39" s="9">
        <v>1226</v>
      </c>
      <c r="F39" s="4">
        <v>3365</v>
      </c>
      <c r="G39">
        <f t="shared" si="0"/>
        <v>5.1357984370502621</v>
      </c>
      <c r="H39">
        <f t="shared" si="0"/>
        <v>3.7333746940004877</v>
      </c>
      <c r="I39">
        <f t="shared" si="0"/>
        <v>-0.12197526130894877</v>
      </c>
      <c r="J39">
        <f t="shared" si="0"/>
        <v>7.111512116496157</v>
      </c>
      <c r="L39">
        <f t="shared" si="1"/>
        <v>3111.4226582790002</v>
      </c>
      <c r="N39">
        <f t="shared" si="2"/>
        <v>8.1211832420788284</v>
      </c>
      <c r="O39">
        <f t="shared" si="3"/>
        <v>8.0428353469685376</v>
      </c>
      <c r="P39">
        <f t="shared" si="5"/>
        <v>6.1383926682131171E-3</v>
      </c>
      <c r="S39">
        <f t="shared" si="4"/>
        <v>8.1498841388928919E-2</v>
      </c>
    </row>
    <row r="40" spans="1:19" ht="15.75" x14ac:dyDescent="0.3">
      <c r="A40" s="20">
        <v>18</v>
      </c>
      <c r="B40" s="17">
        <v>138</v>
      </c>
      <c r="C40" s="3">
        <v>39.520000000000003</v>
      </c>
      <c r="D40" s="8">
        <v>0.8846938679245282</v>
      </c>
      <c r="E40" s="9">
        <v>848</v>
      </c>
      <c r="F40" s="4">
        <v>2865</v>
      </c>
      <c r="G40">
        <f t="shared" si="0"/>
        <v>4.9272536851572051</v>
      </c>
      <c r="H40">
        <f t="shared" si="0"/>
        <v>3.6768068728796672</v>
      </c>
      <c r="I40">
        <f t="shared" si="0"/>
        <v>-0.12251360576523194</v>
      </c>
      <c r="J40">
        <f t="shared" si="0"/>
        <v>6.7428806357919031</v>
      </c>
      <c r="L40">
        <f t="shared" si="1"/>
        <v>2790.9378726890982</v>
      </c>
      <c r="N40">
        <f t="shared" si="2"/>
        <v>7.9603236291488395</v>
      </c>
      <c r="O40">
        <f t="shared" si="3"/>
        <v>7.9341329734136474</v>
      </c>
      <c r="P40">
        <f t="shared" si="5"/>
        <v>6.8595044783934986E-4</v>
      </c>
      <c r="S40">
        <f t="shared" si="4"/>
        <v>2.6536644916263282E-2</v>
      </c>
    </row>
    <row r="41" spans="1:19" ht="15.75" x14ac:dyDescent="0.3">
      <c r="A41" s="20">
        <v>19</v>
      </c>
      <c r="B41" s="17">
        <v>149</v>
      </c>
      <c r="C41" s="3">
        <v>39.229999999999997</v>
      </c>
      <c r="D41" s="8">
        <v>0.89454904761904763</v>
      </c>
      <c r="E41" s="9">
        <v>840</v>
      </c>
      <c r="F41" s="4">
        <v>2835</v>
      </c>
      <c r="G41">
        <f t="shared" si="0"/>
        <v>5.0039463059454592</v>
      </c>
      <c r="H41">
        <f t="shared" si="0"/>
        <v>3.6694417602214613</v>
      </c>
      <c r="I41">
        <f t="shared" si="0"/>
        <v>-0.11143554509496585</v>
      </c>
      <c r="J41">
        <f t="shared" si="0"/>
        <v>6.7334018918373593</v>
      </c>
      <c r="L41">
        <f t="shared" si="1"/>
        <v>2735.1055106124145</v>
      </c>
      <c r="N41">
        <f t="shared" si="2"/>
        <v>7.9497972161618522</v>
      </c>
      <c r="O41">
        <f t="shared" si="3"/>
        <v>7.9139252920324168</v>
      </c>
      <c r="P41">
        <f t="shared" si="5"/>
        <v>1.2867949407479702E-3</v>
      </c>
      <c r="S41">
        <f t="shared" si="4"/>
        <v>3.6523084392900897E-2</v>
      </c>
    </row>
    <row r="42" spans="1:19" ht="15.75" x14ac:dyDescent="0.3">
      <c r="A42" s="20">
        <v>20</v>
      </c>
      <c r="B42" s="17">
        <v>156</v>
      </c>
      <c r="C42" s="3">
        <v>40.68</v>
      </c>
      <c r="D42" s="8">
        <v>0.89798317631224767</v>
      </c>
      <c r="E42" s="9">
        <v>743</v>
      </c>
      <c r="F42" s="4">
        <v>2615</v>
      </c>
      <c r="G42">
        <f t="shared" si="0"/>
        <v>5.0498560072495371</v>
      </c>
      <c r="H42">
        <f t="shared" si="0"/>
        <v>3.7057365711803594</v>
      </c>
      <c r="I42">
        <f t="shared" si="0"/>
        <v>-0.10760394547431049</v>
      </c>
      <c r="J42">
        <f t="shared" si="0"/>
        <v>6.6106960447177592</v>
      </c>
      <c r="L42">
        <f t="shared" si="1"/>
        <v>2592.7108516825811</v>
      </c>
      <c r="N42">
        <f t="shared" si="2"/>
        <v>7.8690193764990228</v>
      </c>
      <c r="O42">
        <f t="shared" si="3"/>
        <v>7.8604592682072942</v>
      </c>
      <c r="P42">
        <f t="shared" si="5"/>
        <v>7.3275453966120668E-5</v>
      </c>
      <c r="S42">
        <f t="shared" si="4"/>
        <v>8.5968507837864191E-3</v>
      </c>
    </row>
    <row r="43" spans="1:19" ht="15.75" x14ac:dyDescent="0.3">
      <c r="A43" s="20">
        <v>21</v>
      </c>
      <c r="B43" s="17">
        <v>164</v>
      </c>
      <c r="C43" s="3">
        <v>40.47</v>
      </c>
      <c r="D43" s="8">
        <v>0.86339910857758939</v>
      </c>
      <c r="E43" s="9">
        <v>975</v>
      </c>
      <c r="F43" s="4">
        <v>2965</v>
      </c>
      <c r="G43">
        <f t="shared" si="0"/>
        <v>5.0998664278241987</v>
      </c>
      <c r="H43">
        <f t="shared" si="0"/>
        <v>3.7005609588877744</v>
      </c>
      <c r="I43">
        <f t="shared" si="0"/>
        <v>-0.14687822831717731</v>
      </c>
      <c r="J43">
        <f t="shared" si="0"/>
        <v>6.8824374709978473</v>
      </c>
      <c r="L43">
        <f t="shared" si="1"/>
        <v>2909.0999800467189</v>
      </c>
      <c r="N43">
        <f t="shared" si="2"/>
        <v>7.9946323114318254</v>
      </c>
      <c r="O43">
        <f t="shared" si="3"/>
        <v>7.9755990271196913</v>
      </c>
      <c r="P43">
        <f t="shared" si="5"/>
        <v>3.6226591170653141E-4</v>
      </c>
      <c r="S43">
        <f t="shared" si="4"/>
        <v>1.9215571942076529E-2</v>
      </c>
    </row>
    <row r="44" spans="1:19" ht="15.75" x14ac:dyDescent="0.3">
      <c r="A44" s="20">
        <v>22</v>
      </c>
      <c r="B44" s="17">
        <v>170</v>
      </c>
      <c r="C44" s="3">
        <v>46.5</v>
      </c>
      <c r="D44" s="8">
        <v>0.78740556732153377</v>
      </c>
      <c r="E44" s="9">
        <v>2124</v>
      </c>
      <c r="F44" s="4">
        <v>4280</v>
      </c>
      <c r="G44">
        <f t="shared" si="0"/>
        <v>5.1357984370502621</v>
      </c>
      <c r="H44">
        <f t="shared" si="0"/>
        <v>3.8394523125933104</v>
      </c>
      <c r="I44">
        <f t="shared" si="0"/>
        <v>-0.23901182998500695</v>
      </c>
      <c r="J44">
        <f t="shared" si="0"/>
        <v>7.6610563823618296</v>
      </c>
      <c r="L44">
        <f t="shared" si="1"/>
        <v>4003.559317637807</v>
      </c>
      <c r="N44">
        <f t="shared" si="2"/>
        <v>8.3617082885758425</v>
      </c>
      <c r="O44">
        <f t="shared" si="3"/>
        <v>8.2949390738479885</v>
      </c>
      <c r="P44">
        <f t="shared" si="5"/>
        <v>4.4581280353742786E-3</v>
      </c>
      <c r="S44">
        <f t="shared" si="4"/>
        <v>6.9048729000798073E-2</v>
      </c>
    </row>
    <row r="45" spans="1:19" ht="15.75" x14ac:dyDescent="0.3">
      <c r="A45" s="20">
        <v>23</v>
      </c>
      <c r="B45" s="17">
        <v>161</v>
      </c>
      <c r="C45" s="3">
        <v>47.21</v>
      </c>
      <c r="D45" s="8">
        <f>(4380*1.1125*0.7706+34*0.9715+65*1.4022)/(4380*1.1125+99)</f>
        <v>0.78023133705435699</v>
      </c>
      <c r="E45" s="9">
        <f>(4380*1.1125+99)</f>
        <v>4971.75</v>
      </c>
      <c r="F45" s="4">
        <v>5187</v>
      </c>
      <c r="G45">
        <f t="shared" si="0"/>
        <v>5.0814043649844631</v>
      </c>
      <c r="H45">
        <f t="shared" si="0"/>
        <v>3.8546057345581954</v>
      </c>
      <c r="I45">
        <f t="shared" si="0"/>
        <v>-0.24816481730429896</v>
      </c>
      <c r="J45">
        <f t="shared" si="0"/>
        <v>8.5115271697896109</v>
      </c>
      <c r="L45">
        <f t="shared" si="1"/>
        <v>5254.4610698407059</v>
      </c>
      <c r="N45">
        <f t="shared" si="2"/>
        <v>8.5539107743514009</v>
      </c>
      <c r="O45">
        <f t="shared" si="3"/>
        <v>8.5668327223602692</v>
      </c>
      <c r="P45">
        <f t="shared" si="5"/>
        <v>1.6697674034389429E-4</v>
      </c>
      <c r="S45">
        <f t="shared" si="4"/>
        <v>1.2838818090767789E-2</v>
      </c>
    </row>
    <row r="46" spans="1:19" ht="15.75" x14ac:dyDescent="0.3">
      <c r="A46" s="20">
        <v>24</v>
      </c>
      <c r="B46" s="17">
        <v>167</v>
      </c>
      <c r="C46" s="3">
        <v>47.52</v>
      </c>
      <c r="D46" s="8">
        <v>0.80427641371235392</v>
      </c>
      <c r="E46" s="9">
        <v>2645</v>
      </c>
      <c r="F46" s="4">
        <v>4375</v>
      </c>
      <c r="G46">
        <f t="shared" si="0"/>
        <v>5.1179938124167554</v>
      </c>
      <c r="H46">
        <f t="shared" si="0"/>
        <v>3.8611506750543896</v>
      </c>
      <c r="I46">
        <f t="shared" si="0"/>
        <v>-0.21781227073851878</v>
      </c>
      <c r="J46">
        <f t="shared" si="0"/>
        <v>7.8804263442923999</v>
      </c>
      <c r="L46">
        <f t="shared" si="1"/>
        <v>4261.813445923266</v>
      </c>
      <c r="N46">
        <f t="shared" si="2"/>
        <v>8.3836617987917155</v>
      </c>
      <c r="O46">
        <f t="shared" si="3"/>
        <v>8.3574500402137648</v>
      </c>
      <c r="P46">
        <f t="shared" si="5"/>
        <v>6.8705628774877003E-4</v>
      </c>
      <c r="S46">
        <f t="shared" si="4"/>
        <v>2.6558307986241189E-2</v>
      </c>
    </row>
    <row r="47" spans="1:19" ht="15.75" x14ac:dyDescent="0.3">
      <c r="A47" s="20">
        <v>25</v>
      </c>
      <c r="B47" s="17">
        <v>157</v>
      </c>
      <c r="C47" s="3">
        <v>47.57</v>
      </c>
      <c r="D47" s="8">
        <f>(3845*1.1132*0.738+57*0.934+52*1.3185)/(3845*1.1132+109)</f>
        <v>0.74742255791075196</v>
      </c>
      <c r="E47" s="9">
        <f>(3845*1.1132+109)</f>
        <v>4389.2539999999999</v>
      </c>
      <c r="F47" s="4">
        <v>5183</v>
      </c>
      <c r="G47">
        <f t="shared" si="0"/>
        <v>5.0562458053483077</v>
      </c>
      <c r="H47">
        <f t="shared" si="0"/>
        <v>3.8622023104441903</v>
      </c>
      <c r="I47">
        <f t="shared" si="0"/>
        <v>-0.29112458054148521</v>
      </c>
      <c r="J47">
        <f t="shared" si="0"/>
        <v>8.3869145599663266</v>
      </c>
      <c r="L47">
        <f t="shared" si="1"/>
        <v>5212.0282109287264</v>
      </c>
      <c r="N47">
        <f t="shared" si="2"/>
        <v>8.5531393181897073</v>
      </c>
      <c r="O47">
        <f t="shared" si="3"/>
        <v>8.5587243509178705</v>
      </c>
      <c r="P47">
        <f t="shared" si="5"/>
        <v>3.1192590574654544E-5</v>
      </c>
      <c r="S47">
        <f t="shared" si="4"/>
        <v>5.569465427654287E-3</v>
      </c>
    </row>
    <row r="48" spans="1:19" ht="15.75" x14ac:dyDescent="0.3">
      <c r="A48" s="20">
        <v>26</v>
      </c>
      <c r="B48" s="17">
        <v>148</v>
      </c>
      <c r="C48" s="3">
        <v>47.6</v>
      </c>
      <c r="D48" s="8">
        <v>0.80163309653155035</v>
      </c>
      <c r="E48" s="9">
        <v>2393</v>
      </c>
      <c r="F48" s="4">
        <v>4088</v>
      </c>
      <c r="G48">
        <f t="shared" si="0"/>
        <v>4.9972122737641147</v>
      </c>
      <c r="H48">
        <f t="shared" si="0"/>
        <v>3.8628327612373745</v>
      </c>
      <c r="I48">
        <f t="shared" si="0"/>
        <v>-0.22110426141560494</v>
      </c>
      <c r="J48">
        <f t="shared" si="0"/>
        <v>7.780303087908373</v>
      </c>
      <c r="L48">
        <f t="shared" si="1"/>
        <v>4210.5784309733599</v>
      </c>
      <c r="N48">
        <f t="shared" si="2"/>
        <v>8.3158111318835406</v>
      </c>
      <c r="O48">
        <f t="shared" si="3"/>
        <v>8.3453553117691524</v>
      </c>
      <c r="P48">
        <f t="shared" si="5"/>
        <v>8.7285856511338622E-4</v>
      </c>
      <c r="S48">
        <f t="shared" si="4"/>
        <v>2.9112017026369327E-2</v>
      </c>
    </row>
    <row r="49" spans="1:19" ht="15.75" x14ac:dyDescent="0.3">
      <c r="A49" s="20">
        <v>27</v>
      </c>
      <c r="B49" s="17">
        <v>143</v>
      </c>
      <c r="C49" s="3">
        <v>45.352893388326464</v>
      </c>
      <c r="D49" s="8">
        <v>0.8055714285714286</v>
      </c>
      <c r="E49" s="9">
        <v>2261</v>
      </c>
      <c r="F49" s="4">
        <v>4328.6499999999996</v>
      </c>
      <c r="G49">
        <f t="shared" si="0"/>
        <v>4.962844630259907</v>
      </c>
      <c r="H49">
        <f t="shared" si="0"/>
        <v>3.8144739758120703</v>
      </c>
      <c r="I49">
        <f t="shared" si="0"/>
        <v>-0.21620340423026821</v>
      </c>
      <c r="J49">
        <f t="shared" si="0"/>
        <v>7.7235624722779699</v>
      </c>
      <c r="L49">
        <f t="shared" si="1"/>
        <v>4134.637183510943</v>
      </c>
      <c r="N49">
        <f t="shared" si="2"/>
        <v>8.3730109940925868</v>
      </c>
      <c r="O49">
        <f t="shared" si="3"/>
        <v>8.3271548608054928</v>
      </c>
      <c r="P49">
        <f t="shared" si="5"/>
        <v>2.1027849600437237E-3</v>
      </c>
      <c r="S49">
        <f t="shared" si="4"/>
        <v>4.6923782638724751E-2</v>
      </c>
    </row>
    <row r="50" spans="1:19" ht="15.75" x14ac:dyDescent="0.3">
      <c r="A50" s="20">
        <v>28</v>
      </c>
      <c r="B50" s="17">
        <v>142</v>
      </c>
      <c r="C50" s="3">
        <v>44.32</v>
      </c>
      <c r="D50" s="8">
        <v>0.83444602876798013</v>
      </c>
      <c r="E50" s="9">
        <v>1598</v>
      </c>
      <c r="F50" s="4">
        <v>3565</v>
      </c>
      <c r="G50">
        <f t="shared" si="0"/>
        <v>4.9558270576012609</v>
      </c>
      <c r="H50">
        <f t="shared" si="0"/>
        <v>3.7914360424390283</v>
      </c>
      <c r="I50">
        <f t="shared" si="0"/>
        <v>-0.18098721290527789</v>
      </c>
      <c r="J50">
        <f t="shared" si="0"/>
        <v>7.37650812632622</v>
      </c>
      <c r="L50">
        <f t="shared" si="1"/>
        <v>3617.8798341354018</v>
      </c>
      <c r="N50">
        <f t="shared" si="2"/>
        <v>8.1789193328483965</v>
      </c>
      <c r="O50">
        <f t="shared" si="3"/>
        <v>8.1936434520635331</v>
      </c>
      <c r="P50">
        <f t="shared" si="5"/>
        <v>2.1679968666155517E-4</v>
      </c>
      <c r="S50">
        <f t="shared" si="4"/>
        <v>1.4616249449876757E-2</v>
      </c>
    </row>
    <row r="51" spans="1:19" ht="15.75" x14ac:dyDescent="0.3">
      <c r="A51" s="20">
        <v>29</v>
      </c>
      <c r="B51" s="17">
        <v>151</v>
      </c>
      <c r="C51" s="3">
        <v>46.13</v>
      </c>
      <c r="D51" s="8">
        <v>0.86693904456452753</v>
      </c>
      <c r="E51" s="9">
        <v>2689</v>
      </c>
      <c r="F51" s="4">
        <v>4451</v>
      </c>
      <c r="G51">
        <f t="shared" si="0"/>
        <v>5.0172798368149243</v>
      </c>
      <c r="H51">
        <f t="shared" si="0"/>
        <v>3.8314634975697293</v>
      </c>
      <c r="I51">
        <f t="shared" si="0"/>
        <v>-0.14278661082713617</v>
      </c>
      <c r="J51">
        <f t="shared" si="0"/>
        <v>7.8969246562688644</v>
      </c>
      <c r="L51">
        <f t="shared" si="1"/>
        <v>4173.4922963623685</v>
      </c>
      <c r="N51">
        <f t="shared" si="2"/>
        <v>8.4008840690158539</v>
      </c>
      <c r="O51">
        <f t="shared" si="3"/>
        <v>8.3365084454432434</v>
      </c>
      <c r="P51">
        <f t="shared" si="5"/>
        <v>4.1442209103624457E-3</v>
      </c>
      <c r="S51">
        <f t="shared" si="4"/>
        <v>6.6492923415602867E-2</v>
      </c>
    </row>
    <row r="52" spans="1:19" ht="15.75" x14ac:dyDescent="0.3">
      <c r="A52" s="20">
        <v>30</v>
      </c>
      <c r="B52" s="17">
        <v>162</v>
      </c>
      <c r="C52" s="3">
        <v>44.89</v>
      </c>
      <c r="D52" s="8">
        <v>0.84604101208844851</v>
      </c>
      <c r="E52" s="9">
        <v>2072</v>
      </c>
      <c r="F52" s="4">
        <v>3995</v>
      </c>
      <c r="G52">
        <f t="shared" si="0"/>
        <v>5.0875963352323836</v>
      </c>
      <c r="H52">
        <f t="shared" si="0"/>
        <v>3.804215052793841</v>
      </c>
      <c r="I52">
        <f t="shared" si="0"/>
        <v>-0.16718744290499665</v>
      </c>
      <c r="J52">
        <f t="shared" si="0"/>
        <v>7.6362696033793735</v>
      </c>
      <c r="L52">
        <f t="shared" si="1"/>
        <v>3845.1856383584609</v>
      </c>
      <c r="N52">
        <f t="shared" si="2"/>
        <v>8.2927988582003742</v>
      </c>
      <c r="O52">
        <f t="shared" si="3"/>
        <v>8.2545771612316177</v>
      </c>
      <c r="P52">
        <f t="shared" si="5"/>
        <v>1.4608981191714535E-3</v>
      </c>
      <c r="S52">
        <f t="shared" si="4"/>
        <v>3.8961541972651288E-2</v>
      </c>
    </row>
    <row r="53" spans="1:19" ht="15.75" x14ac:dyDescent="0.3">
      <c r="A53" s="20">
        <v>31</v>
      </c>
      <c r="B53" s="17">
        <v>140</v>
      </c>
      <c r="C53" s="3">
        <v>44.12</v>
      </c>
      <c r="D53" s="8">
        <v>0.83418704954954959</v>
      </c>
      <c r="E53" s="9">
        <v>1776</v>
      </c>
      <c r="F53" s="4">
        <v>3955</v>
      </c>
      <c r="G53">
        <f t="shared" si="0"/>
        <v>4.9416424226093039</v>
      </c>
      <c r="H53">
        <f t="shared" si="0"/>
        <v>3.7869131943853018</v>
      </c>
      <c r="I53">
        <f t="shared" si="0"/>
        <v>-0.18129762173496636</v>
      </c>
      <c r="J53">
        <f t="shared" si="0"/>
        <v>7.4821189235521155</v>
      </c>
      <c r="L53">
        <f t="shared" si="1"/>
        <v>3756.7872961366597</v>
      </c>
      <c r="N53">
        <f t="shared" si="2"/>
        <v>8.2827358802017539</v>
      </c>
      <c r="O53">
        <f t="shared" si="3"/>
        <v>8.2313194286230189</v>
      </c>
      <c r="P53">
        <f t="shared" si="5"/>
        <v>2.6436514929483986E-3</v>
      </c>
      <c r="S53">
        <f t="shared" si="4"/>
        <v>5.2761226079308464E-2</v>
      </c>
    </row>
    <row r="54" spans="1:19" ht="15.75" x14ac:dyDescent="0.3">
      <c r="A54" s="20">
        <v>32</v>
      </c>
      <c r="B54" s="17">
        <v>147</v>
      </c>
      <c r="C54" s="3">
        <v>43.8</v>
      </c>
      <c r="D54" s="8">
        <v>0.84211125419932797</v>
      </c>
      <c r="E54" s="9">
        <v>1786</v>
      </c>
      <c r="F54" s="4">
        <v>3865</v>
      </c>
      <c r="G54">
        <f t="shared" si="0"/>
        <v>4.990432586778736</v>
      </c>
      <c r="H54">
        <f t="shared" si="0"/>
        <v>3.7796338173824005</v>
      </c>
      <c r="I54">
        <f t="shared" si="0"/>
        <v>-0.1718431425902642</v>
      </c>
      <c r="J54">
        <f t="shared" si="0"/>
        <v>7.4877337614364441</v>
      </c>
      <c r="L54">
        <f t="shared" si="1"/>
        <v>3717.5924727149181</v>
      </c>
      <c r="N54">
        <f t="shared" si="2"/>
        <v>8.2597169610215229</v>
      </c>
      <c r="O54">
        <f t="shared" si="3"/>
        <v>8.2208315529986837</v>
      </c>
      <c r="P54">
        <f t="shared" si="5"/>
        <v>1.5120749571026818E-3</v>
      </c>
      <c r="S54">
        <f t="shared" si="4"/>
        <v>3.9651341121161601E-2</v>
      </c>
    </row>
    <row r="55" spans="1:19" ht="15.75" x14ac:dyDescent="0.3">
      <c r="A55" s="20">
        <v>33</v>
      </c>
      <c r="B55" s="17">
        <v>146</v>
      </c>
      <c r="C55" s="3">
        <v>46.89</v>
      </c>
      <c r="D55" s="8">
        <v>0.8427257117437722</v>
      </c>
      <c r="E55" s="9">
        <v>2247</v>
      </c>
      <c r="F55" s="4">
        <v>4217</v>
      </c>
      <c r="G55">
        <f t="shared" ref="G55:J86" si="6">LN(B55)</f>
        <v>4.9836066217083363</v>
      </c>
      <c r="H55">
        <f t="shared" si="6"/>
        <v>3.8478044331014951</v>
      </c>
      <c r="I55">
        <f t="shared" si="6"/>
        <v>-0.17111374552205322</v>
      </c>
      <c r="J55">
        <f t="shared" si="6"/>
        <v>7.7173512721853292</v>
      </c>
      <c r="L55">
        <f t="shared" ref="L55:L86" si="7">EXP((_C1_exp16+_C2_exp16*G55)*(_C3_exp16+_C4_exp16*H55)*(_C5_exp16+_C6_exp16*J55)*(_C7_exp16+_C8_exp16*I55)/((d1_exp16+d2_exp16*G55)*(d3_exp16+d4_exp16*H55)*(d5_exp16+d6_exp16*J55)*(d7_exp16+d8_exp16*I55)))</f>
        <v>4024.7922242431305</v>
      </c>
      <c r="N55">
        <f t="shared" ref="N55:N86" si="8">LN(F55)</f>
        <v>8.3468792537465593</v>
      </c>
      <c r="O55">
        <f t="shared" ref="O55:O86" si="9">LN(L55)</f>
        <v>8.3002285672141838</v>
      </c>
      <c r="P55">
        <f t="shared" si="5"/>
        <v>2.1762865539419582E-3</v>
      </c>
      <c r="S55">
        <f t="shared" ref="S55:S86" si="10">ABS((F55-L55)/L55)</f>
        <v>4.7755949884596728E-2</v>
      </c>
    </row>
    <row r="56" spans="1:19" ht="15.75" x14ac:dyDescent="0.3">
      <c r="A56" s="20">
        <v>34</v>
      </c>
      <c r="B56" s="17">
        <v>158</v>
      </c>
      <c r="C56" s="3">
        <v>47.32</v>
      </c>
      <c r="D56" s="8">
        <v>0.82779175398633253</v>
      </c>
      <c r="E56" s="9">
        <v>2196</v>
      </c>
      <c r="F56" s="4">
        <v>4145</v>
      </c>
      <c r="G56">
        <f t="shared" si="6"/>
        <v>5.0625950330269669</v>
      </c>
      <c r="H56">
        <f t="shared" si="6"/>
        <v>3.8569330391101859</v>
      </c>
      <c r="I56">
        <f t="shared" si="6"/>
        <v>-0.18899366107694993</v>
      </c>
      <c r="J56">
        <f t="shared" si="6"/>
        <v>7.6943928026294213</v>
      </c>
      <c r="L56">
        <f t="shared" si="7"/>
        <v>3988.0865681183855</v>
      </c>
      <c r="N56">
        <f t="shared" si="8"/>
        <v>8.3296580675693956</v>
      </c>
      <c r="O56">
        <f t="shared" si="9"/>
        <v>8.2910668379971817</v>
      </c>
      <c r="P56">
        <f t="shared" si="5"/>
        <v>1.4892829998953204E-3</v>
      </c>
      <c r="S56">
        <f t="shared" si="10"/>
        <v>3.9345543082242494E-2</v>
      </c>
    </row>
    <row r="57" spans="1:19" ht="15.75" x14ac:dyDescent="0.3">
      <c r="A57" s="20">
        <v>35</v>
      </c>
      <c r="B57" s="17">
        <v>140</v>
      </c>
      <c r="C57" s="3">
        <v>43.88</v>
      </c>
      <c r="D57" s="8">
        <v>0.80935814432989683</v>
      </c>
      <c r="E57" s="9">
        <v>1455</v>
      </c>
      <c r="F57" s="4">
        <v>3465</v>
      </c>
      <c r="G57">
        <f t="shared" si="6"/>
        <v>4.9416424226093039</v>
      </c>
      <c r="H57">
        <f t="shared" si="6"/>
        <v>3.7814586354070294</v>
      </c>
      <c r="I57">
        <f t="shared" si="6"/>
        <v>-0.21151375984944043</v>
      </c>
      <c r="J57">
        <f t="shared" si="6"/>
        <v>7.2827611796055933</v>
      </c>
      <c r="L57">
        <f t="shared" si="7"/>
        <v>3564.0764895401126</v>
      </c>
      <c r="N57">
        <f t="shared" si="8"/>
        <v>8.1504679116240037</v>
      </c>
      <c r="O57">
        <f t="shared" si="9"/>
        <v>8.1786602500719923</v>
      </c>
      <c r="P57">
        <f t="shared" si="5"/>
        <v>7.9480794716593165E-4</v>
      </c>
      <c r="S57">
        <f t="shared" si="10"/>
        <v>2.7798642882913213E-2</v>
      </c>
    </row>
    <row r="58" spans="1:19" ht="15.75" x14ac:dyDescent="0.3">
      <c r="A58" s="20">
        <v>36</v>
      </c>
      <c r="B58" s="17">
        <v>149</v>
      </c>
      <c r="C58" s="3">
        <v>40.659999999999997</v>
      </c>
      <c r="D58" s="8">
        <v>0.88659053876478311</v>
      </c>
      <c r="E58" s="9">
        <v>761</v>
      </c>
      <c r="F58" s="4">
        <v>2515</v>
      </c>
      <c r="G58">
        <f t="shared" si="6"/>
        <v>5.0039463059454592</v>
      </c>
      <c r="H58">
        <f t="shared" si="6"/>
        <v>3.7052448082002005</v>
      </c>
      <c r="I58">
        <f t="shared" si="6"/>
        <v>-0.12037202809651597</v>
      </c>
      <c r="J58">
        <f t="shared" si="6"/>
        <v>6.6346333578616861</v>
      </c>
      <c r="L58">
        <f t="shared" si="7"/>
        <v>2650.0237716708939</v>
      </c>
      <c r="N58">
        <f t="shared" si="8"/>
        <v>7.8300280825338398</v>
      </c>
      <c r="O58">
        <f t="shared" si="9"/>
        <v>7.8823238893818806</v>
      </c>
      <c r="P58">
        <f t="shared" si="5"/>
        <v>2.7348514138875917E-3</v>
      </c>
      <c r="S58">
        <f t="shared" si="10"/>
        <v>5.0951909607119733E-2</v>
      </c>
    </row>
    <row r="59" spans="1:19" ht="15.75" x14ac:dyDescent="0.3">
      <c r="A59" s="20">
        <v>37</v>
      </c>
      <c r="B59" s="17">
        <v>157</v>
      </c>
      <c r="C59" s="3">
        <v>40.619999999999997</v>
      </c>
      <c r="D59" s="8">
        <v>0.91650691642651272</v>
      </c>
      <c r="E59" s="9">
        <v>694</v>
      </c>
      <c r="F59" s="4">
        <v>2215</v>
      </c>
      <c r="G59">
        <f t="shared" si="6"/>
        <v>5.0562458053483077</v>
      </c>
      <c r="H59">
        <f t="shared" si="6"/>
        <v>3.7042605561522386</v>
      </c>
      <c r="I59">
        <f t="shared" si="6"/>
        <v>-8.7185665166190529E-2</v>
      </c>
      <c r="J59">
        <f t="shared" si="6"/>
        <v>6.5424719605068047</v>
      </c>
      <c r="L59">
        <f t="shared" si="7"/>
        <v>2497.2457567187594</v>
      </c>
      <c r="N59">
        <f t="shared" si="8"/>
        <v>7.7030076824792362</v>
      </c>
      <c r="O59">
        <f t="shared" si="9"/>
        <v>7.8229437062292195</v>
      </c>
      <c r="P59">
        <f t="shared" si="5"/>
        <v>1.4384649792956571E-2</v>
      </c>
      <c r="S59">
        <f t="shared" si="10"/>
        <v>0.11302281962413441</v>
      </c>
    </row>
    <row r="60" spans="1:19" ht="15.75" x14ac:dyDescent="0.3">
      <c r="A60" s="20">
        <v>38</v>
      </c>
      <c r="B60" s="17">
        <v>169</v>
      </c>
      <c r="C60" s="3">
        <v>43.95</v>
      </c>
      <c r="D60" s="8">
        <v>0.92319242033006776</v>
      </c>
      <c r="E60" s="9">
        <v>1193</v>
      </c>
      <c r="F60" s="4">
        <v>3165</v>
      </c>
      <c r="G60">
        <f t="shared" si="6"/>
        <v>5.1298987149230735</v>
      </c>
      <c r="H60">
        <f t="shared" si="6"/>
        <v>3.7830526241311859</v>
      </c>
      <c r="I60">
        <f t="shared" si="6"/>
        <v>-7.9917593476403939E-2</v>
      </c>
      <c r="J60">
        <f t="shared" si="6"/>
        <v>7.0842264220979159</v>
      </c>
      <c r="L60">
        <f t="shared" si="7"/>
        <v>3027.8740905427608</v>
      </c>
      <c r="N60">
        <f t="shared" si="8"/>
        <v>8.0599083345782763</v>
      </c>
      <c r="O60">
        <f t="shared" si="9"/>
        <v>8.0156160319697971</v>
      </c>
      <c r="P60">
        <f t="shared" si="5"/>
        <v>1.96180807036109E-3</v>
      </c>
      <c r="S60">
        <f t="shared" si="10"/>
        <v>4.5287850603014594E-2</v>
      </c>
    </row>
    <row r="61" spans="1:19" ht="15.75" x14ac:dyDescent="0.3">
      <c r="A61" s="20">
        <v>39</v>
      </c>
      <c r="B61" s="17">
        <v>165</v>
      </c>
      <c r="C61" s="3">
        <v>41.67</v>
      </c>
      <c r="D61" s="8">
        <v>0.77590107505608719</v>
      </c>
      <c r="E61" s="9">
        <v>2539</v>
      </c>
      <c r="F61" s="4">
        <v>5655</v>
      </c>
      <c r="G61">
        <f t="shared" si="6"/>
        <v>5.1059454739005803</v>
      </c>
      <c r="H61">
        <f t="shared" si="6"/>
        <v>3.7297814454343623</v>
      </c>
      <c r="I61">
        <f t="shared" si="6"/>
        <v>-0.25373024752308615</v>
      </c>
      <c r="J61">
        <f t="shared" si="6"/>
        <v>7.8395255817046783</v>
      </c>
      <c r="L61">
        <f t="shared" si="7"/>
        <v>4266.0167863815423</v>
      </c>
      <c r="N61">
        <f t="shared" si="8"/>
        <v>8.6402953885502214</v>
      </c>
      <c r="O61">
        <f t="shared" si="9"/>
        <v>8.3584358339465599</v>
      </c>
      <c r="P61">
        <f t="shared" si="5"/>
        <v>7.9444808521374449E-2</v>
      </c>
      <c r="S61">
        <f t="shared" si="10"/>
        <v>0.32559253354382617</v>
      </c>
    </row>
    <row r="62" spans="1:19" ht="15.75" x14ac:dyDescent="0.3">
      <c r="A62" s="20">
        <v>40</v>
      </c>
      <c r="B62" s="17">
        <v>165</v>
      </c>
      <c r="C62" s="3">
        <v>41.31</v>
      </c>
      <c r="D62" s="8">
        <v>0.80779518026477171</v>
      </c>
      <c r="E62" s="9">
        <v>1311</v>
      </c>
      <c r="F62" s="4">
        <v>3865</v>
      </c>
      <c r="G62">
        <f t="shared" si="6"/>
        <v>5.1059454739005803</v>
      </c>
      <c r="H62">
        <f t="shared" si="6"/>
        <v>3.7211046014086731</v>
      </c>
      <c r="I62">
        <f t="shared" si="6"/>
        <v>-0.21344674236632644</v>
      </c>
      <c r="J62">
        <f t="shared" si="6"/>
        <v>7.1785454837636999</v>
      </c>
      <c r="L62">
        <f t="shared" si="7"/>
        <v>3349.0106290104172</v>
      </c>
      <c r="N62">
        <f t="shared" si="8"/>
        <v>8.2597169610215229</v>
      </c>
      <c r="O62">
        <f t="shared" si="9"/>
        <v>8.1164202465754975</v>
      </c>
      <c r="P62">
        <f t="shared" si="5"/>
        <v>2.053394837102572E-2</v>
      </c>
      <c r="S62">
        <f t="shared" si="10"/>
        <v>0.15407218075687323</v>
      </c>
    </row>
    <row r="63" spans="1:19" ht="15.75" x14ac:dyDescent="0.3">
      <c r="A63" s="20">
        <v>41</v>
      </c>
      <c r="B63" s="17">
        <v>176</v>
      </c>
      <c r="C63" s="3">
        <v>52.3</v>
      </c>
      <c r="D63" s="8">
        <v>0.75817891207484189</v>
      </c>
      <c r="E63" s="9">
        <v>7104</v>
      </c>
      <c r="F63" s="4">
        <v>4820</v>
      </c>
      <c r="G63">
        <f t="shared" si="6"/>
        <v>5.1704839950381514</v>
      </c>
      <c r="H63">
        <f t="shared" si="6"/>
        <v>3.9569963710708773</v>
      </c>
      <c r="I63">
        <f t="shared" si="6"/>
        <v>-0.27683588942987397</v>
      </c>
      <c r="J63">
        <f t="shared" si="6"/>
        <v>8.8684132846720054</v>
      </c>
      <c r="L63">
        <f t="shared" si="7"/>
        <v>5842.2981082972319</v>
      </c>
      <c r="N63">
        <f t="shared" si="8"/>
        <v>8.4805292070446452</v>
      </c>
      <c r="O63">
        <f t="shared" si="9"/>
        <v>8.6728795101115832</v>
      </c>
      <c r="P63">
        <f t="shared" si="5"/>
        <v>3.69986390899429E-2</v>
      </c>
      <c r="S63">
        <f t="shared" si="10"/>
        <v>0.17498218840380023</v>
      </c>
    </row>
    <row r="64" spans="1:19" ht="15.75" x14ac:dyDescent="0.3">
      <c r="A64" s="20">
        <v>42</v>
      </c>
      <c r="B64" s="17">
        <v>149</v>
      </c>
      <c r="C64" s="3">
        <v>44.41</v>
      </c>
      <c r="D64" s="8">
        <v>0.82023585858585857</v>
      </c>
      <c r="E64" s="9">
        <v>1583</v>
      </c>
      <c r="F64" s="4">
        <v>3815</v>
      </c>
      <c r="G64">
        <f t="shared" si="6"/>
        <v>5.0039463059454592</v>
      </c>
      <c r="H64">
        <f t="shared" si="6"/>
        <v>3.7934646693040106</v>
      </c>
      <c r="I64">
        <f t="shared" si="6"/>
        <v>-0.19816334766033408</v>
      </c>
      <c r="J64">
        <f t="shared" si="6"/>
        <v>7.3670770598810122</v>
      </c>
      <c r="L64">
        <f t="shared" si="7"/>
        <v>3613.4239888244297</v>
      </c>
      <c r="N64">
        <f t="shared" si="8"/>
        <v>8.2466959437185565</v>
      </c>
      <c r="O64">
        <f t="shared" si="9"/>
        <v>8.1924110751688524</v>
      </c>
      <c r="P64">
        <f t="shared" si="5"/>
        <v>2.9468469534586596E-3</v>
      </c>
      <c r="S64">
        <f t="shared" si="10"/>
        <v>5.5785319353334424E-2</v>
      </c>
    </row>
    <row r="65" spans="1:19" ht="15.75" x14ac:dyDescent="0.3">
      <c r="A65" s="20">
        <v>43</v>
      </c>
      <c r="B65" s="17">
        <v>152</v>
      </c>
      <c r="C65" s="3">
        <v>46.69</v>
      </c>
      <c r="D65" s="8">
        <v>0.82400711082639333</v>
      </c>
      <c r="E65" s="9">
        <v>1562</v>
      </c>
      <c r="F65" s="4">
        <v>3565</v>
      </c>
      <c r="G65">
        <f t="shared" si="6"/>
        <v>5.0238805208462765</v>
      </c>
      <c r="H65">
        <f t="shared" si="6"/>
        <v>3.8435300089828455</v>
      </c>
      <c r="I65">
        <f t="shared" si="6"/>
        <v>-0.19357611946621928</v>
      </c>
      <c r="J65">
        <f t="shared" si="6"/>
        <v>7.3537223303996315</v>
      </c>
      <c r="L65">
        <f t="shared" si="7"/>
        <v>3587.3262572509998</v>
      </c>
      <c r="N65">
        <f t="shared" si="8"/>
        <v>8.1789193328483965</v>
      </c>
      <c r="O65">
        <f t="shared" si="9"/>
        <v>8.18516242886054</v>
      </c>
      <c r="P65">
        <f t="shared" si="5"/>
        <v>3.8976247816842914E-5</v>
      </c>
      <c r="S65">
        <f t="shared" si="10"/>
        <v>6.2236483804259833E-3</v>
      </c>
    </row>
    <row r="66" spans="1:19" ht="15.75" x14ac:dyDescent="0.3">
      <c r="A66" s="20">
        <v>44</v>
      </c>
      <c r="B66" s="17">
        <v>129</v>
      </c>
      <c r="C66" s="3">
        <v>46.91</v>
      </c>
      <c r="D66" s="8">
        <v>0.84911701807228912</v>
      </c>
      <c r="E66" s="9">
        <v>1992</v>
      </c>
      <c r="F66" s="4">
        <v>4271</v>
      </c>
      <c r="G66">
        <f t="shared" si="6"/>
        <v>4.8598124043616719</v>
      </c>
      <c r="H66">
        <f t="shared" si="6"/>
        <v>3.8482308723403666</v>
      </c>
      <c r="I66">
        <f t="shared" si="6"/>
        <v>-0.163558271694698</v>
      </c>
      <c r="J66">
        <f t="shared" si="6"/>
        <v>7.5968944381445436</v>
      </c>
      <c r="L66">
        <f t="shared" si="7"/>
        <v>3926.0630032501067</v>
      </c>
      <c r="N66">
        <f t="shared" si="8"/>
        <v>8.3596032708414665</v>
      </c>
      <c r="O66">
        <f t="shared" si="9"/>
        <v>8.2753924224025255</v>
      </c>
      <c r="P66">
        <f t="shared" si="5"/>
        <v>7.0914669948062914E-3</v>
      </c>
      <c r="S66">
        <f t="shared" si="10"/>
        <v>8.7858242841325943E-2</v>
      </c>
    </row>
    <row r="67" spans="1:19" ht="15.75" x14ac:dyDescent="0.3">
      <c r="A67" s="20">
        <v>45</v>
      </c>
      <c r="B67" s="17">
        <v>189</v>
      </c>
      <c r="C67" s="3">
        <v>49.47</v>
      </c>
      <c r="D67" s="8">
        <f>(9000*1.0501*0.7561+14*0.8875+25*1.3218)/(9000*1.0501+39)</f>
        <v>0.75778411679785873</v>
      </c>
      <c r="E67" s="9">
        <f>(9000*1.0501+39)</f>
        <v>9489.9</v>
      </c>
      <c r="F67" s="4">
        <v>5335</v>
      </c>
      <c r="G67">
        <f t="shared" si="6"/>
        <v>5.2417470150596426</v>
      </c>
      <c r="H67">
        <f t="shared" si="6"/>
        <v>3.9013664252396172</v>
      </c>
      <c r="I67">
        <f t="shared" si="6"/>
        <v>-0.27735674024007073</v>
      </c>
      <c r="J67">
        <f t="shared" si="6"/>
        <v>9.1579833541406561</v>
      </c>
      <c r="L67">
        <f t="shared" si="7"/>
        <v>6220.0594054001158</v>
      </c>
      <c r="N67">
        <f t="shared" si="8"/>
        <v>8.5820441637358531</v>
      </c>
      <c r="O67">
        <f t="shared" si="9"/>
        <v>8.7355347363950315</v>
      </c>
      <c r="P67">
        <f t="shared" si="5"/>
        <v>2.355935589524253E-2</v>
      </c>
      <c r="S67">
        <f t="shared" si="10"/>
        <v>0.14229114992563047</v>
      </c>
    </row>
    <row r="68" spans="1:19" ht="15.75" x14ac:dyDescent="0.3">
      <c r="A68" s="20">
        <v>46</v>
      </c>
      <c r="B68" s="17">
        <v>143</v>
      </c>
      <c r="C68" s="3">
        <v>44.76</v>
      </c>
      <c r="D68" s="8">
        <v>0.83229050097592716</v>
      </c>
      <c r="E68" s="9">
        <v>1537</v>
      </c>
      <c r="F68" s="4">
        <v>3615</v>
      </c>
      <c r="G68">
        <f t="shared" si="6"/>
        <v>4.962844630259907</v>
      </c>
      <c r="H68">
        <f t="shared" si="6"/>
        <v>3.8013148834437245</v>
      </c>
      <c r="I68">
        <f t="shared" si="6"/>
        <v>-0.18357373927619999</v>
      </c>
      <c r="J68">
        <f t="shared" si="6"/>
        <v>7.3375877435385961</v>
      </c>
      <c r="L68">
        <f t="shared" si="7"/>
        <v>3572.9693667183205</v>
      </c>
      <c r="N68">
        <f t="shared" si="8"/>
        <v>8.1928471345928653</v>
      </c>
      <c r="O68">
        <f t="shared" si="9"/>
        <v>8.181152284440147</v>
      </c>
      <c r="P68">
        <f t="shared" si="5"/>
        <v>1.3676952009453563E-4</v>
      </c>
      <c r="S68">
        <f t="shared" si="10"/>
        <v>1.1763502277178352E-2</v>
      </c>
    </row>
    <row r="69" spans="1:19" ht="15.75" x14ac:dyDescent="0.3">
      <c r="A69" s="20">
        <v>47</v>
      </c>
      <c r="B69" s="17">
        <v>169</v>
      </c>
      <c r="C69" s="3">
        <v>46.98</v>
      </c>
      <c r="D69" s="8">
        <v>0.83751465827147997</v>
      </c>
      <c r="E69" s="9">
        <v>1902.8279498619736</v>
      </c>
      <c r="F69" s="4">
        <v>3992</v>
      </c>
      <c r="G69">
        <f t="shared" si="6"/>
        <v>5.1298987149230735</v>
      </c>
      <c r="H69">
        <f t="shared" si="6"/>
        <v>3.8497219792307669</v>
      </c>
      <c r="I69">
        <f t="shared" si="6"/>
        <v>-0.17731651302237358</v>
      </c>
      <c r="J69">
        <f t="shared" si="6"/>
        <v>7.5510964532572542</v>
      </c>
      <c r="L69">
        <f t="shared" si="7"/>
        <v>3744.8823265431779</v>
      </c>
      <c r="N69">
        <f t="shared" si="8"/>
        <v>8.2920476374313541</v>
      </c>
      <c r="O69">
        <f t="shared" si="9"/>
        <v>8.2281454739738571</v>
      </c>
      <c r="P69">
        <f t="shared" si="5"/>
        <v>4.0834864945486649E-3</v>
      </c>
      <c r="S69">
        <f t="shared" si="10"/>
        <v>6.5988101069368241E-2</v>
      </c>
    </row>
    <row r="70" spans="1:19" ht="15.75" x14ac:dyDescent="0.3">
      <c r="A70" s="20">
        <v>48</v>
      </c>
      <c r="B70" s="17">
        <v>154</v>
      </c>
      <c r="C70" s="3">
        <v>44.43</v>
      </c>
      <c r="D70" s="8">
        <v>0.8241312228429547</v>
      </c>
      <c r="E70" s="9">
        <v>1611</v>
      </c>
      <c r="F70" s="4">
        <v>3865</v>
      </c>
      <c r="G70">
        <f t="shared" si="6"/>
        <v>5.0369526024136295</v>
      </c>
      <c r="H70">
        <f t="shared" si="6"/>
        <v>3.7939149169478172</v>
      </c>
      <c r="I70">
        <f t="shared" si="6"/>
        <v>-0.19342551072876016</v>
      </c>
      <c r="J70">
        <f t="shared" si="6"/>
        <v>7.384610383176974</v>
      </c>
      <c r="L70">
        <f t="shared" si="7"/>
        <v>3609.0601374509092</v>
      </c>
      <c r="N70">
        <f t="shared" si="8"/>
        <v>8.2597169610215229</v>
      </c>
      <c r="O70">
        <f t="shared" si="9"/>
        <v>8.1912026676934602</v>
      </c>
      <c r="P70">
        <f t="shared" si="5"/>
        <v>4.6942083902438156E-3</v>
      </c>
      <c r="S70">
        <f t="shared" si="10"/>
        <v>7.0915931794326356E-2</v>
      </c>
    </row>
    <row r="71" spans="1:19" ht="15.75" x14ac:dyDescent="0.3">
      <c r="A71" s="20">
        <v>49</v>
      </c>
      <c r="B71" s="17">
        <v>145</v>
      </c>
      <c r="C71" s="3">
        <v>48.64</v>
      </c>
      <c r="D71" s="8">
        <f>(6523*1.0697*0.7366+14*0.9432+39*1.248)/(6523*1.0697+53)</f>
        <v>0.73984820463692058</v>
      </c>
      <c r="E71" s="9">
        <f>(6523*1.0697+53)</f>
        <v>7030.6531000000004</v>
      </c>
      <c r="F71" s="4">
        <v>6058</v>
      </c>
      <c r="G71">
        <f t="shared" si="6"/>
        <v>4.9767337424205742</v>
      </c>
      <c r="H71">
        <f t="shared" si="6"/>
        <v>3.8844462376579116</v>
      </c>
      <c r="I71">
        <f t="shared" si="6"/>
        <v>-0.30131024269475187</v>
      </c>
      <c r="J71">
        <f t="shared" si="6"/>
        <v>8.8580348823388189</v>
      </c>
      <c r="L71">
        <f t="shared" si="7"/>
        <v>6060.2493846763582</v>
      </c>
      <c r="N71">
        <f t="shared" si="8"/>
        <v>8.7091349915871827</v>
      </c>
      <c r="O71">
        <f t="shared" si="9"/>
        <v>8.7095062308034734</v>
      </c>
      <c r="P71">
        <f t="shared" si="5"/>
        <v>1.3781855571211476E-7</v>
      </c>
      <c r="S71">
        <f t="shared" si="10"/>
        <v>3.7117031553947024E-4</v>
      </c>
    </row>
    <row r="72" spans="1:19" ht="15.75" x14ac:dyDescent="0.3">
      <c r="A72" s="20">
        <v>50</v>
      </c>
      <c r="B72" s="17">
        <v>129</v>
      </c>
      <c r="C72" s="3">
        <v>38.78</v>
      </c>
      <c r="D72" s="8">
        <v>0.83125307414104888</v>
      </c>
      <c r="E72" s="9">
        <v>1106</v>
      </c>
      <c r="F72" s="4">
        <v>3365</v>
      </c>
      <c r="G72">
        <f t="shared" si="6"/>
        <v>4.8598124043616719</v>
      </c>
      <c r="H72">
        <f t="shared" si="6"/>
        <v>3.6579046498145056</v>
      </c>
      <c r="I72">
        <f t="shared" si="6"/>
        <v>-0.1848209888041159</v>
      </c>
      <c r="J72">
        <f t="shared" si="6"/>
        <v>7.0085051820822803</v>
      </c>
      <c r="L72">
        <f t="shared" si="7"/>
        <v>3205.7533499456931</v>
      </c>
      <c r="N72">
        <f t="shared" si="8"/>
        <v>8.1211832420788284</v>
      </c>
      <c r="O72">
        <f t="shared" si="9"/>
        <v>8.0727023963190092</v>
      </c>
      <c r="P72">
        <f t="shared" si="5"/>
        <v>2.3503924055873742E-3</v>
      </c>
      <c r="S72">
        <f t="shared" si="10"/>
        <v>4.9675265895613767E-2</v>
      </c>
    </row>
    <row r="73" spans="1:19" ht="15.75" x14ac:dyDescent="0.3">
      <c r="A73" s="20">
        <v>51</v>
      </c>
      <c r="B73" s="17">
        <v>137</v>
      </c>
      <c r="C73" s="3">
        <v>37.92</v>
      </c>
      <c r="D73" s="8">
        <v>0.8440983240223463</v>
      </c>
      <c r="E73" s="9">
        <v>716</v>
      </c>
      <c r="F73" s="4">
        <v>2415</v>
      </c>
      <c r="G73">
        <f t="shared" si="6"/>
        <v>4.9199809258281251</v>
      </c>
      <c r="H73">
        <f t="shared" si="6"/>
        <v>3.6354786773868213</v>
      </c>
      <c r="I73">
        <f t="shared" si="6"/>
        <v>-0.16948629351469657</v>
      </c>
      <c r="J73">
        <f t="shared" si="6"/>
        <v>6.5736801669606457</v>
      </c>
      <c r="L73">
        <f t="shared" si="7"/>
        <v>2672.4044908831415</v>
      </c>
      <c r="N73">
        <f t="shared" si="8"/>
        <v>7.7894545660866727</v>
      </c>
      <c r="O73">
        <f t="shared" si="9"/>
        <v>7.8907339045180818</v>
      </c>
      <c r="P73">
        <f t="shared" si="5"/>
        <v>1.0257504393103883E-2</v>
      </c>
      <c r="S73">
        <f t="shared" si="10"/>
        <v>9.631943508599547E-2</v>
      </c>
    </row>
    <row r="74" spans="1:19" ht="15.75" x14ac:dyDescent="0.3">
      <c r="A74" s="20">
        <v>52</v>
      </c>
      <c r="B74" s="17">
        <v>192</v>
      </c>
      <c r="C74" s="3">
        <v>51.74</v>
      </c>
      <c r="D74" s="8">
        <f>(7889*1.0674*0.7451+26*0.9251+21*1.3754)/(7889*1.0674+47)</f>
        <v>0.7472158355451255</v>
      </c>
      <c r="E74" s="9">
        <f>(7889*1.0674+47)</f>
        <v>8467.7186000000002</v>
      </c>
      <c r="F74" s="4">
        <v>5435</v>
      </c>
      <c r="G74">
        <f t="shared" si="6"/>
        <v>5.2574953720277815</v>
      </c>
      <c r="H74">
        <f t="shared" si="6"/>
        <v>3.946231176757883</v>
      </c>
      <c r="I74">
        <f t="shared" si="6"/>
        <v>-0.29140119911069867</v>
      </c>
      <c r="J74">
        <f t="shared" si="6"/>
        <v>9.0440164007153481</v>
      </c>
      <c r="L74">
        <f t="shared" si="7"/>
        <v>6086.2962053283836</v>
      </c>
      <c r="N74">
        <f t="shared" si="8"/>
        <v>8.6006147995553093</v>
      </c>
      <c r="O74">
        <f t="shared" si="9"/>
        <v>8.7137949992246568</v>
      </c>
      <c r="P74">
        <f t="shared" si="5"/>
        <v>1.2809757597193381E-2</v>
      </c>
      <c r="S74">
        <f t="shared" si="10"/>
        <v>0.10701027083732663</v>
      </c>
    </row>
    <row r="75" spans="1:19" ht="15.75" x14ac:dyDescent="0.3">
      <c r="A75" s="20">
        <v>53</v>
      </c>
      <c r="B75" s="17">
        <v>177</v>
      </c>
      <c r="C75" s="3">
        <v>47.68</v>
      </c>
      <c r="D75" s="8">
        <v>0.78466681175390973</v>
      </c>
      <c r="E75" s="9">
        <v>2583</v>
      </c>
      <c r="F75" s="4">
        <v>4535</v>
      </c>
      <c r="G75">
        <f t="shared" si="6"/>
        <v>5.1761497325738288</v>
      </c>
      <c r="H75">
        <f t="shared" si="6"/>
        <v>3.8645120227570944</v>
      </c>
      <c r="I75">
        <f t="shared" si="6"/>
        <v>-0.24249609492701327</v>
      </c>
      <c r="J75">
        <f t="shared" si="6"/>
        <v>7.8567067930958405</v>
      </c>
      <c r="L75">
        <f t="shared" si="7"/>
        <v>4250.3520139028496</v>
      </c>
      <c r="N75">
        <f t="shared" si="8"/>
        <v>8.4195803625492367</v>
      </c>
      <c r="O75">
        <f t="shared" si="9"/>
        <v>8.354757085289183</v>
      </c>
      <c r="P75">
        <f t="shared" si="5"/>
        <v>4.2020572747337899E-3</v>
      </c>
      <c r="S75">
        <f t="shared" si="10"/>
        <v>6.6970449780646465E-2</v>
      </c>
    </row>
    <row r="76" spans="1:19" ht="15.75" x14ac:dyDescent="0.3">
      <c r="A76" s="20">
        <v>54</v>
      </c>
      <c r="B76" s="17">
        <v>176</v>
      </c>
      <c r="C76" s="3">
        <v>48.11</v>
      </c>
      <c r="D76" s="8">
        <v>0.79100877299711558</v>
      </c>
      <c r="E76" s="9">
        <v>2592.8721580424876</v>
      </c>
      <c r="F76" s="4">
        <v>4575</v>
      </c>
      <c r="G76">
        <f t="shared" si="6"/>
        <v>5.1704839950381514</v>
      </c>
      <c r="H76">
        <f t="shared" si="6"/>
        <v>3.8734900557113625</v>
      </c>
      <c r="I76">
        <f t="shared" si="6"/>
        <v>-0.2344462202556144</v>
      </c>
      <c r="J76">
        <f t="shared" si="6"/>
        <v>7.8605214816014897</v>
      </c>
      <c r="L76">
        <f t="shared" si="7"/>
        <v>4242.7762881183735</v>
      </c>
      <c r="N76">
        <f t="shared" si="8"/>
        <v>8.4283619777096224</v>
      </c>
      <c r="O76">
        <f t="shared" si="9"/>
        <v>8.3529731188814598</v>
      </c>
      <c r="P76">
        <f t="shared" si="5"/>
        <v>5.6834800354126297E-3</v>
      </c>
      <c r="S76">
        <f t="shared" si="10"/>
        <v>7.8303377157074722E-2</v>
      </c>
    </row>
    <row r="77" spans="1:19" ht="15.75" x14ac:dyDescent="0.3">
      <c r="A77" s="20">
        <v>55</v>
      </c>
      <c r="B77" s="17">
        <v>180</v>
      </c>
      <c r="C77" s="3">
        <v>47.23</v>
      </c>
      <c r="D77" s="8">
        <f>(3708*1.0517*0.7831+10*0.8186+12*0.9849+13*1.2101)/(3780*1.0517+34)</f>
        <v>0.77058261934750771</v>
      </c>
      <c r="E77" s="9">
        <f>(3780*1.0517+34)</f>
        <v>4009.4260000000004</v>
      </c>
      <c r="F77" s="4">
        <v>5238</v>
      </c>
      <c r="G77">
        <f t="shared" si="6"/>
        <v>5.1929568508902104</v>
      </c>
      <c r="H77">
        <f t="shared" si="6"/>
        <v>3.8550292839080256</v>
      </c>
      <c r="I77">
        <f t="shared" si="6"/>
        <v>-0.26060840174531336</v>
      </c>
      <c r="J77">
        <f t="shared" si="6"/>
        <v>8.2964033679101625</v>
      </c>
      <c r="L77">
        <f t="shared" si="7"/>
        <v>4890.1452636376725</v>
      </c>
      <c r="N77">
        <f t="shared" si="8"/>
        <v>8.5636950250676573</v>
      </c>
      <c r="O77">
        <f t="shared" si="9"/>
        <v>8.4949772882930681</v>
      </c>
      <c r="P77">
        <f t="shared" si="5"/>
        <v>4.7221273474217368E-3</v>
      </c>
      <c r="S77">
        <f t="shared" si="10"/>
        <v>7.1133824786130367E-2</v>
      </c>
    </row>
    <row r="78" spans="1:19" ht="15.75" x14ac:dyDescent="0.3">
      <c r="A78" s="20">
        <v>56</v>
      </c>
      <c r="B78" s="17">
        <v>182</v>
      </c>
      <c r="C78" s="3">
        <v>48.62</v>
      </c>
      <c r="D78" s="8">
        <v>0.77850099024655151</v>
      </c>
      <c r="E78" s="9">
        <f>(3692*1.0563+41)</f>
        <v>3940.8596000000002</v>
      </c>
      <c r="F78" s="4">
        <v>5055</v>
      </c>
      <c r="G78">
        <f t="shared" si="6"/>
        <v>5.2040066870767951</v>
      </c>
      <c r="H78">
        <f t="shared" si="6"/>
        <v>3.8840349688879772</v>
      </c>
      <c r="I78">
        <f t="shared" si="6"/>
        <v>-0.25038501571589172</v>
      </c>
      <c r="J78">
        <f t="shared" si="6"/>
        <v>8.2791541510846347</v>
      </c>
      <c r="L78">
        <f t="shared" si="7"/>
        <v>4838.0466164334593</v>
      </c>
      <c r="N78">
        <f t="shared" si="8"/>
        <v>8.5281331314545721</v>
      </c>
      <c r="O78">
        <f t="shared" si="9"/>
        <v>8.4842663265996698</v>
      </c>
      <c r="P78">
        <f t="shared" si="5"/>
        <v>1.9242965681780749E-3</v>
      </c>
      <c r="S78">
        <f t="shared" si="10"/>
        <v>4.4843177581136179E-2</v>
      </c>
    </row>
    <row r="79" spans="1:19" ht="15.75" x14ac:dyDescent="0.3">
      <c r="A79" s="20">
        <v>57</v>
      </c>
      <c r="B79" s="17">
        <v>195</v>
      </c>
      <c r="C79" s="3">
        <v>52.72</v>
      </c>
      <c r="D79" s="8">
        <f>(11314*1.0606*0.7582+9*0.7775+21*0.9886+9*1.1347)/(11314*1.0606+39)</f>
        <v>0.75889780374647986</v>
      </c>
      <c r="E79" s="9">
        <f>(11314*1.0606+39)</f>
        <v>12038.6284</v>
      </c>
      <c r="F79" s="4">
        <v>5210</v>
      </c>
      <c r="G79">
        <f t="shared" si="6"/>
        <v>5.2729995585637468</v>
      </c>
      <c r="H79">
        <f t="shared" si="6"/>
        <v>3.9649948901942516</v>
      </c>
      <c r="I79">
        <f t="shared" si="6"/>
        <v>-0.27588815657239923</v>
      </c>
      <c r="J79">
        <f t="shared" si="6"/>
        <v>9.3958757921076241</v>
      </c>
      <c r="L79">
        <f t="shared" si="7"/>
        <v>6589.4412665388481</v>
      </c>
      <c r="N79">
        <f t="shared" si="8"/>
        <v>8.5583351347474128</v>
      </c>
      <c r="O79">
        <f t="shared" si="9"/>
        <v>8.7932238388548818</v>
      </c>
      <c r="P79">
        <f t="shared" si="5"/>
        <v>5.5172703317286118E-2</v>
      </c>
      <c r="S79">
        <f t="shared" si="10"/>
        <v>0.20934115818645269</v>
      </c>
    </row>
    <row r="80" spans="1:19" ht="15.75" x14ac:dyDescent="0.3">
      <c r="A80" s="20">
        <v>58</v>
      </c>
      <c r="B80" s="17">
        <v>182</v>
      </c>
      <c r="C80" s="3">
        <v>50.99</v>
      </c>
      <c r="D80" s="8">
        <f>(3422*1.1688*0.7252+175*0.9668+52*1.4082+221.5793)/(3422*1.1688+249)</f>
        <v>0.79190871783342287</v>
      </c>
      <c r="E80" s="9">
        <f>(3422*1.1688+249)</f>
        <v>4248.6336000000001</v>
      </c>
      <c r="F80" s="4">
        <v>5019</v>
      </c>
      <c r="G80">
        <f t="shared" si="6"/>
        <v>5.2040066870767951</v>
      </c>
      <c r="H80">
        <f t="shared" si="6"/>
        <v>3.9316295350670645</v>
      </c>
      <c r="I80">
        <f t="shared" si="6"/>
        <v>-0.23330914907093886</v>
      </c>
      <c r="J80">
        <f t="shared" si="6"/>
        <v>8.3543527043420127</v>
      </c>
      <c r="L80">
        <f t="shared" si="7"/>
        <v>4911.9086769677324</v>
      </c>
      <c r="N80">
        <f t="shared" si="8"/>
        <v>8.5209859896549336</v>
      </c>
      <c r="O80">
        <f t="shared" si="9"/>
        <v>8.4994178778316183</v>
      </c>
      <c r="P80">
        <f t="shared" si="5"/>
        <v>4.6518344762303346E-4</v>
      </c>
      <c r="S80">
        <f t="shared" si="10"/>
        <v>2.1802384790748648E-2</v>
      </c>
    </row>
    <row r="81" spans="1:19" ht="15.75" x14ac:dyDescent="0.3">
      <c r="A81" s="20">
        <v>59</v>
      </c>
      <c r="B81" s="17">
        <v>184</v>
      </c>
      <c r="C81" s="3">
        <v>52.67</v>
      </c>
      <c r="D81" s="8">
        <v>0.74776942167439542</v>
      </c>
      <c r="E81" s="9">
        <f>3444*1.1903+272</f>
        <v>4371.3931999999995</v>
      </c>
      <c r="F81" s="4">
        <v>4786</v>
      </c>
      <c r="G81">
        <f t="shared" si="6"/>
        <v>5.2149357576089859</v>
      </c>
      <c r="H81">
        <f t="shared" si="6"/>
        <v>3.9640460334952978</v>
      </c>
      <c r="I81">
        <f t="shared" si="6"/>
        <v>-0.29066060832306528</v>
      </c>
      <c r="J81">
        <f t="shared" si="6"/>
        <v>8.3828370473491542</v>
      </c>
      <c r="L81">
        <f t="shared" si="7"/>
        <v>5109.0651092437829</v>
      </c>
      <c r="N81">
        <f t="shared" si="8"/>
        <v>8.4734502684683193</v>
      </c>
      <c r="O81">
        <f t="shared" si="9"/>
        <v>8.5387717132785195</v>
      </c>
      <c r="P81">
        <f t="shared" si="5"/>
        <v>4.2668911520920292E-3</v>
      </c>
      <c r="S81">
        <f t="shared" si="10"/>
        <v>6.3233703688618942E-2</v>
      </c>
    </row>
    <row r="82" spans="1:19" ht="15.75" x14ac:dyDescent="0.3">
      <c r="A82" s="20">
        <v>60</v>
      </c>
      <c r="B82" s="17">
        <v>182</v>
      </c>
      <c r="C82" s="3">
        <v>51.08</v>
      </c>
      <c r="D82" s="8">
        <v>0.76577585543240156</v>
      </c>
      <c r="E82" s="9">
        <f>6022*1.0868+73</f>
        <v>6617.7096000000001</v>
      </c>
      <c r="F82" s="4">
        <v>5326</v>
      </c>
      <c r="G82">
        <f t="shared" si="6"/>
        <v>5.2040066870767951</v>
      </c>
      <c r="H82">
        <f t="shared" si="6"/>
        <v>3.9333930311643384</v>
      </c>
      <c r="I82">
        <f t="shared" si="6"/>
        <v>-0.26686576899121256</v>
      </c>
      <c r="J82">
        <f t="shared" si="6"/>
        <v>8.7975046071924048</v>
      </c>
      <c r="L82">
        <f t="shared" si="7"/>
        <v>5664.6476827258639</v>
      </c>
      <c r="N82">
        <f t="shared" si="8"/>
        <v>8.5803557663738772</v>
      </c>
      <c r="O82">
        <f t="shared" si="9"/>
        <v>8.6419999795997526</v>
      </c>
      <c r="P82">
        <f t="shared" si="5"/>
        <v>3.8000090242371956E-3</v>
      </c>
      <c r="S82">
        <f t="shared" si="10"/>
        <v>5.9782655814333806E-2</v>
      </c>
    </row>
    <row r="83" spans="1:19" ht="15.75" x14ac:dyDescent="0.3">
      <c r="A83" s="20">
        <v>61</v>
      </c>
      <c r="B83" s="17">
        <v>186</v>
      </c>
      <c r="C83" s="3">
        <v>51.01</v>
      </c>
      <c r="D83" s="8">
        <f>(4400*1.1237*0.7604+75.8464+42*1.295+12*1.3607)/(4400*1.1237+129)</f>
        <v>0.76995460766998858</v>
      </c>
      <c r="E83" s="9">
        <f>(4400*1.1237+129)</f>
        <v>5073.28</v>
      </c>
      <c r="F83" s="4">
        <v>5217</v>
      </c>
      <c r="G83">
        <f t="shared" si="6"/>
        <v>5.2257466737132017</v>
      </c>
      <c r="H83">
        <f t="shared" si="6"/>
        <v>3.932021691934835</v>
      </c>
      <c r="I83">
        <f t="shared" si="6"/>
        <v>-0.26142371695002753</v>
      </c>
      <c r="J83">
        <f t="shared" si="6"/>
        <v>8.5317428302087368</v>
      </c>
      <c r="L83">
        <f t="shared" si="7"/>
        <v>5230.1278037636357</v>
      </c>
      <c r="N83">
        <f t="shared" si="8"/>
        <v>8.5596778030223923</v>
      </c>
      <c r="O83">
        <f t="shared" si="9"/>
        <v>8.5621909934264853</v>
      </c>
      <c r="P83">
        <f t="shared" si="5"/>
        <v>6.3161260072247564E-6</v>
      </c>
      <c r="S83">
        <f t="shared" si="10"/>
        <v>2.5100349850320776E-3</v>
      </c>
    </row>
    <row r="84" spans="1:19" ht="15.75" x14ac:dyDescent="0.3">
      <c r="A84" s="20">
        <v>62</v>
      </c>
      <c r="B84" s="17">
        <v>203</v>
      </c>
      <c r="C84" s="3">
        <v>54.78</v>
      </c>
      <c r="D84" s="8">
        <f>(10226*1.0717*0.7267+59*1.0275+32*1.5444)/(10226*1.0717+91)</f>
        <v>0.73067400800973437</v>
      </c>
      <c r="E84" s="9">
        <f>(10226*1.0717+91)</f>
        <v>11050.2042</v>
      </c>
      <c r="F84" s="4">
        <v>5179</v>
      </c>
      <c r="G84">
        <f t="shared" si="6"/>
        <v>5.3132059790417872</v>
      </c>
      <c r="H84">
        <f t="shared" si="6"/>
        <v>4.0033251638349325</v>
      </c>
      <c r="I84">
        <f t="shared" si="6"/>
        <v>-0.31378787217423793</v>
      </c>
      <c r="J84">
        <f t="shared" si="6"/>
        <v>9.3102041864131611</v>
      </c>
      <c r="L84">
        <f t="shared" si="7"/>
        <v>6561.7620045048016</v>
      </c>
      <c r="N84">
        <f t="shared" si="8"/>
        <v>8.5523672664238912</v>
      </c>
      <c r="O84">
        <f t="shared" si="9"/>
        <v>8.7890144441197666</v>
      </c>
      <c r="P84">
        <f t="shared" si="5"/>
        <v>5.6001886711423227E-2</v>
      </c>
      <c r="S84">
        <f t="shared" si="10"/>
        <v>0.2107302891442121</v>
      </c>
    </row>
    <row r="85" spans="1:19" ht="15.75" x14ac:dyDescent="0.3">
      <c r="A85" s="20">
        <v>63</v>
      </c>
      <c r="B85" s="17">
        <v>157</v>
      </c>
      <c r="C85" s="3">
        <v>46.15</v>
      </c>
      <c r="D85" s="8">
        <f>(2213*0.7641*1.1661+19*0.939+15*1.247+29*1.457)/(2213*1.1661+63)</f>
        <v>0.77569817675981945</v>
      </c>
      <c r="E85" s="9">
        <f>(2213*1.1661+63)</f>
        <v>2643.5792999999999</v>
      </c>
      <c r="F85" s="4">
        <v>4756.0249999999996</v>
      </c>
      <c r="G85">
        <f t="shared" si="6"/>
        <v>5.0562458053483077</v>
      </c>
      <c r="H85">
        <f t="shared" si="6"/>
        <v>3.8318969609488613</v>
      </c>
      <c r="I85">
        <f t="shared" si="6"/>
        <v>-0.25399178193306576</v>
      </c>
      <c r="J85">
        <f t="shared" si="6"/>
        <v>7.8798890733341391</v>
      </c>
      <c r="L85">
        <f t="shared" si="7"/>
        <v>4376.6222817650068</v>
      </c>
      <c r="N85">
        <f t="shared" si="8"/>
        <v>8.467167514314939</v>
      </c>
      <c r="O85">
        <f t="shared" si="9"/>
        <v>8.384032537320266</v>
      </c>
      <c r="P85">
        <f t="shared" si="5"/>
        <v>6.9114243999048057E-3</v>
      </c>
      <c r="S85">
        <f t="shared" si="10"/>
        <v>8.6688476594326311E-2</v>
      </c>
    </row>
    <row r="86" spans="1:19" ht="15.75" x14ac:dyDescent="0.3">
      <c r="A86" s="20">
        <v>64</v>
      </c>
      <c r="B86" s="17">
        <v>143</v>
      </c>
      <c r="C86" s="3">
        <v>44.34</v>
      </c>
      <c r="D86" s="8">
        <v>0.69889205702647672</v>
      </c>
      <c r="E86" s="9">
        <v>1964</v>
      </c>
      <c r="F86" s="4">
        <v>5249.65</v>
      </c>
      <c r="G86">
        <f t="shared" si="6"/>
        <v>4.962844630259907</v>
      </c>
      <c r="H86">
        <f t="shared" si="6"/>
        <v>3.7918872041881655</v>
      </c>
      <c r="I86">
        <f t="shared" si="6"/>
        <v>-0.35825897352789821</v>
      </c>
      <c r="J86">
        <f t="shared" si="6"/>
        <v>7.5827384889144112</v>
      </c>
      <c r="L86">
        <f t="shared" si="7"/>
        <v>4253.9758725686706</v>
      </c>
      <c r="N86">
        <f t="shared" si="8"/>
        <v>8.5659166866966814</v>
      </c>
      <c r="O86">
        <f t="shared" si="9"/>
        <v>8.3556093240395075</v>
      </c>
      <c r="P86">
        <f t="shared" si="5"/>
        <v>4.4229186787816052E-2</v>
      </c>
      <c r="S86">
        <f t="shared" si="10"/>
        <v>0.23405730480321527</v>
      </c>
    </row>
    <row r="87" spans="1:19" ht="15.75" x14ac:dyDescent="0.3">
      <c r="A87" s="20">
        <v>65</v>
      </c>
      <c r="B87" s="17">
        <v>165</v>
      </c>
      <c r="C87" s="3">
        <v>45.91</v>
      </c>
      <c r="D87" s="8">
        <v>0.76893049792531121</v>
      </c>
      <c r="E87" s="9">
        <v>1928</v>
      </c>
      <c r="F87" s="4">
        <v>4315.0249999999996</v>
      </c>
      <c r="G87">
        <f t="shared" ref="G87:J118" si="11">LN(B87)</f>
        <v>5.1059454739005803</v>
      </c>
      <c r="H87">
        <f t="shared" si="11"/>
        <v>3.8266829582611308</v>
      </c>
      <c r="I87">
        <f t="shared" si="11"/>
        <v>-0.26275469337203305</v>
      </c>
      <c r="J87">
        <f t="shared" si="11"/>
        <v>7.564238475170491</v>
      </c>
      <c r="L87">
        <f t="shared" ref="L87:L118" si="12">EXP((_C1_exp16+_C2_exp16*G87)*(_C3_exp16+_C4_exp16*H87)*(_C5_exp16+_C6_exp16*J87)*(_C7_exp16+_C8_exp16*I87)/((d1_exp16+d2_exp16*G87)*(d3_exp16+d4_exp16*H87)*(d5_exp16+d6_exp16*J87)*(d7_exp16+d8_exp16*I87)))</f>
        <v>3941.6348573816545</v>
      </c>
      <c r="N87">
        <f t="shared" ref="N87:N118" si="13">LN(F87)</f>
        <v>8.3698583972435028</v>
      </c>
      <c r="O87">
        <f t="shared" ref="O87:O118" si="14">LN(L87)</f>
        <v>8.2793508546505787</v>
      </c>
      <c r="P87">
        <f t="shared" si="5"/>
        <v>8.1916152662099596E-3</v>
      </c>
      <c r="S87">
        <f t="shared" ref="S87:S118" si="15">ABS((F87-L87)/L87)</f>
        <v>9.4729764711483311E-2</v>
      </c>
    </row>
    <row r="88" spans="1:19" ht="15.75" x14ac:dyDescent="0.3">
      <c r="A88" s="20">
        <v>66</v>
      </c>
      <c r="B88" s="17">
        <v>147</v>
      </c>
      <c r="C88" s="3">
        <v>41.15</v>
      </c>
      <c r="D88" s="8">
        <v>0.85086647116324532</v>
      </c>
      <c r="E88" s="9">
        <v>1022</v>
      </c>
      <c r="F88" s="4">
        <v>2965</v>
      </c>
      <c r="G88">
        <f t="shared" si="11"/>
        <v>4.990432586778736</v>
      </c>
      <c r="H88">
        <f t="shared" si="11"/>
        <v>3.7172239271230789</v>
      </c>
      <c r="I88">
        <f t="shared" si="11"/>
        <v>-0.16150007087143284</v>
      </c>
      <c r="J88">
        <f t="shared" si="11"/>
        <v>6.9295167707636498</v>
      </c>
      <c r="L88">
        <f t="shared" si="12"/>
        <v>3030.7298006250558</v>
      </c>
      <c r="N88">
        <f t="shared" si="13"/>
        <v>7.9946323114318254</v>
      </c>
      <c r="O88">
        <f t="shared" si="14"/>
        <v>8.0165587277938108</v>
      </c>
      <c r="P88">
        <f t="shared" ref="P88:P151" si="16">(N88-O88)^2</f>
        <v>4.8076773447914309E-4</v>
      </c>
      <c r="S88">
        <f t="shared" si="15"/>
        <v>2.1687779825011022E-2</v>
      </c>
    </row>
    <row r="89" spans="1:19" ht="15.75" x14ac:dyDescent="0.3">
      <c r="A89" s="20">
        <v>67</v>
      </c>
      <c r="B89" s="17">
        <v>157.9</v>
      </c>
      <c r="C89" s="3">
        <v>42.3</v>
      </c>
      <c r="D89" s="8">
        <v>0.8476117647058824</v>
      </c>
      <c r="E89" s="9">
        <v>1190</v>
      </c>
      <c r="F89" s="4">
        <v>3169.6959999999999</v>
      </c>
      <c r="G89">
        <f t="shared" si="11"/>
        <v>5.0619619212615961</v>
      </c>
      <c r="H89">
        <f t="shared" si="11"/>
        <v>3.7447870860522321</v>
      </c>
      <c r="I89">
        <f t="shared" si="11"/>
        <v>-0.16533257266322196</v>
      </c>
      <c r="J89">
        <f t="shared" si="11"/>
        <v>7.0817085861055746</v>
      </c>
      <c r="L89">
        <f t="shared" si="12"/>
        <v>3181.266958948474</v>
      </c>
      <c r="N89">
        <f t="shared" si="13"/>
        <v>8.0613909632190897</v>
      </c>
      <c r="O89">
        <f t="shared" si="14"/>
        <v>8.065034811191806</v>
      </c>
      <c r="P89">
        <f t="shared" si="16"/>
        <v>1.3277628048268906E-5</v>
      </c>
      <c r="S89">
        <f t="shared" si="15"/>
        <v>3.6372172149610167E-3</v>
      </c>
    </row>
    <row r="90" spans="1:19" ht="15.75" x14ac:dyDescent="0.3">
      <c r="A90" s="20">
        <v>68</v>
      </c>
      <c r="B90" s="17">
        <v>147</v>
      </c>
      <c r="C90" s="3">
        <v>45.53</v>
      </c>
      <c r="D90" s="8">
        <v>0.82734391819160391</v>
      </c>
      <c r="E90" s="9">
        <v>1858</v>
      </c>
      <c r="F90" s="4">
        <v>4115.0249999999996</v>
      </c>
      <c r="G90">
        <f t="shared" si="11"/>
        <v>4.990432586778736</v>
      </c>
      <c r="H90">
        <f t="shared" si="11"/>
        <v>3.8183714493466909</v>
      </c>
      <c r="I90">
        <f t="shared" si="11"/>
        <v>-0.18953480802119774</v>
      </c>
      <c r="J90">
        <f t="shared" si="11"/>
        <v>7.5272559193737836</v>
      </c>
      <c r="L90">
        <f t="shared" si="12"/>
        <v>3809.1451818715168</v>
      </c>
      <c r="N90">
        <f t="shared" si="13"/>
        <v>8.3224001884268581</v>
      </c>
      <c r="O90">
        <f t="shared" si="14"/>
        <v>8.2451600812343795</v>
      </c>
      <c r="P90">
        <f t="shared" si="16"/>
        <v>5.9660341591055918E-3</v>
      </c>
      <c r="S90">
        <f t="shared" si="15"/>
        <v>8.0301433398817679E-2</v>
      </c>
    </row>
    <row r="91" spans="1:19" ht="15.75" x14ac:dyDescent="0.3">
      <c r="A91" s="20">
        <v>69</v>
      </c>
      <c r="B91" s="17">
        <v>156</v>
      </c>
      <c r="C91" s="3">
        <v>42.3</v>
      </c>
      <c r="D91" s="8">
        <v>0.86626456310679611</v>
      </c>
      <c r="E91" s="9">
        <v>1235</v>
      </c>
      <c r="F91" s="4">
        <v>3005.6959999999999</v>
      </c>
      <c r="G91">
        <f t="shared" si="11"/>
        <v>5.0498560072495371</v>
      </c>
      <c r="H91">
        <f t="shared" si="11"/>
        <v>3.7447870860522321</v>
      </c>
      <c r="I91">
        <f t="shared" si="11"/>
        <v>-0.14356491695204146</v>
      </c>
      <c r="J91">
        <f t="shared" si="11"/>
        <v>7.1188262490620779</v>
      </c>
      <c r="L91">
        <f t="shared" si="12"/>
        <v>3193.9122450853315</v>
      </c>
      <c r="N91">
        <f t="shared" si="13"/>
        <v>8.0082644341276374</v>
      </c>
      <c r="O91">
        <f t="shared" si="14"/>
        <v>8.0690018534711943</v>
      </c>
      <c r="P91">
        <f t="shared" si="16"/>
        <v>3.6890341085150688E-3</v>
      </c>
      <c r="S91">
        <f t="shared" si="15"/>
        <v>5.8929685803030894E-2</v>
      </c>
    </row>
    <row r="92" spans="1:19" ht="15.75" x14ac:dyDescent="0.3">
      <c r="A92" s="20">
        <v>70</v>
      </c>
      <c r="B92" s="17">
        <v>157</v>
      </c>
      <c r="C92" s="3">
        <v>43.65</v>
      </c>
      <c r="D92" s="8">
        <v>0.82463204747774488</v>
      </c>
      <c r="E92" s="9">
        <v>338</v>
      </c>
      <c r="F92" s="4">
        <v>1265.0250000000001</v>
      </c>
      <c r="G92">
        <f t="shared" si="11"/>
        <v>5.0562458053483077</v>
      </c>
      <c r="H92">
        <f t="shared" si="11"/>
        <v>3.7762032822856111</v>
      </c>
      <c r="I92">
        <f t="shared" si="11"/>
        <v>-0.19281799519368123</v>
      </c>
      <c r="J92">
        <f t="shared" si="11"/>
        <v>5.8230458954830189</v>
      </c>
      <c r="L92">
        <f t="shared" si="12"/>
        <v>1945.8696467230805</v>
      </c>
      <c r="N92">
        <f t="shared" si="13"/>
        <v>7.1428471638121884</v>
      </c>
      <c r="O92">
        <f t="shared" si="14"/>
        <v>7.5734642752624008</v>
      </c>
      <c r="P92">
        <f t="shared" si="16"/>
        <v>0.18543109667372468</v>
      </c>
      <c r="S92">
        <f t="shared" si="15"/>
        <v>0.34989221804741599</v>
      </c>
    </row>
    <row r="93" spans="1:19" ht="15.75" x14ac:dyDescent="0.3">
      <c r="A93" s="20">
        <v>71</v>
      </c>
      <c r="B93" s="17">
        <v>170</v>
      </c>
      <c r="C93" s="3">
        <v>51.27</v>
      </c>
      <c r="D93" s="8">
        <f>(7187*1.2099*0.7258+263*1.2356)/(7187*1.2099+263)</f>
        <v>0.74076641538459465</v>
      </c>
      <c r="E93" s="9">
        <f>(7187*1.2099+263)</f>
        <v>8958.5512999999992</v>
      </c>
      <c r="F93" s="4">
        <v>5276</v>
      </c>
      <c r="G93">
        <f t="shared" si="11"/>
        <v>5.1357984370502621</v>
      </c>
      <c r="H93">
        <f t="shared" si="11"/>
        <v>3.9371057857956093</v>
      </c>
      <c r="I93">
        <f t="shared" si="11"/>
        <v>-0.3000699322818059</v>
      </c>
      <c r="J93">
        <f t="shared" si="11"/>
        <v>9.1003638076286464</v>
      </c>
      <c r="L93">
        <f t="shared" si="12"/>
        <v>6319.0913673705782</v>
      </c>
      <c r="N93">
        <f t="shared" si="13"/>
        <v>8.5709235138372044</v>
      </c>
      <c r="O93">
        <f t="shared" si="14"/>
        <v>8.7513307058191963</v>
      </c>
      <c r="P93">
        <f t="shared" si="16"/>
        <v>3.2546754918827261E-2</v>
      </c>
      <c r="S93">
        <f t="shared" si="15"/>
        <v>0.1650698346848902</v>
      </c>
    </row>
    <row r="94" spans="1:19" ht="15.75" x14ac:dyDescent="0.3">
      <c r="A94" s="20">
        <v>72</v>
      </c>
      <c r="B94" s="17">
        <v>174</v>
      </c>
      <c r="C94" s="3">
        <v>48.39</v>
      </c>
      <c r="D94" s="8">
        <f>(3423*1.1713*0.7514+106*0.8642+95*1.4455)/(3423*1.1713+201)</f>
        <v>0.76990110248294918</v>
      </c>
      <c r="E94" s="9">
        <f>3423*1.1713+201</f>
        <v>4210.3598999999995</v>
      </c>
      <c r="F94" s="4">
        <v>4925</v>
      </c>
      <c r="G94">
        <f t="shared" si="11"/>
        <v>5.1590552992145291</v>
      </c>
      <c r="H94">
        <f t="shared" si="11"/>
        <v>3.8792931808052273</v>
      </c>
      <c r="I94">
        <f t="shared" si="11"/>
        <v>-0.26149321071714887</v>
      </c>
      <c r="J94">
        <f t="shared" si="11"/>
        <v>8.3453034099584933</v>
      </c>
      <c r="L94">
        <f t="shared" si="12"/>
        <v>4994.1061720819753</v>
      </c>
      <c r="N94">
        <f t="shared" si="13"/>
        <v>8.5020795536061886</v>
      </c>
      <c r="O94">
        <f t="shared" si="14"/>
        <v>8.5160137305420385</v>
      </c>
      <c r="P94">
        <f t="shared" si="16"/>
        <v>1.9416128687957027E-4</v>
      </c>
      <c r="S94">
        <f t="shared" si="15"/>
        <v>1.3837545638955819E-2</v>
      </c>
    </row>
    <row r="95" spans="1:19" ht="15.75" x14ac:dyDescent="0.3">
      <c r="A95" s="20">
        <v>73</v>
      </c>
      <c r="B95" s="17">
        <v>178</v>
      </c>
      <c r="C95" s="3">
        <v>49.47</v>
      </c>
      <c r="D95" s="8">
        <f>(4003*1.2158*0.7362+288*1.2696)/(4003*1.2158+288)</f>
        <v>0.7660009209739167</v>
      </c>
      <c r="E95" s="9">
        <f>(4003*1.2158+288)</f>
        <v>5154.8473999999997</v>
      </c>
      <c r="F95" s="4">
        <v>4884</v>
      </c>
      <c r="G95">
        <f t="shared" si="11"/>
        <v>5.181783550292085</v>
      </c>
      <c r="H95">
        <f t="shared" si="11"/>
        <v>3.9013664252396172</v>
      </c>
      <c r="I95">
        <f t="shared" si="11"/>
        <v>-0.26657190692645039</v>
      </c>
      <c r="J95">
        <f t="shared" si="11"/>
        <v>8.5476927936850657</v>
      </c>
      <c r="L95">
        <f t="shared" si="12"/>
        <v>5294.821384380296</v>
      </c>
      <c r="N95">
        <f t="shared" si="13"/>
        <v>8.4937198352305945</v>
      </c>
      <c r="O95">
        <f t="shared" si="14"/>
        <v>8.5744845245827435</v>
      </c>
      <c r="P95">
        <f t="shared" si="16"/>
        <v>6.5229350461491267E-3</v>
      </c>
      <c r="S95">
        <f t="shared" si="15"/>
        <v>7.7589281026970533E-2</v>
      </c>
    </row>
    <row r="96" spans="1:19" ht="15.75" x14ac:dyDescent="0.3">
      <c r="A96" s="20">
        <v>74</v>
      </c>
      <c r="B96" s="17">
        <v>174</v>
      </c>
      <c r="C96" s="3">
        <v>48.3</v>
      </c>
      <c r="D96" s="8">
        <v>0.83123413677130042</v>
      </c>
      <c r="E96" s="9">
        <v>1784</v>
      </c>
      <c r="F96" s="4">
        <v>3815</v>
      </c>
      <c r="G96">
        <f t="shared" si="11"/>
        <v>5.1590552992145291</v>
      </c>
      <c r="H96">
        <f t="shared" si="11"/>
        <v>3.8774315606585268</v>
      </c>
      <c r="I96">
        <f t="shared" si="11"/>
        <v>-0.18484377077756503</v>
      </c>
      <c r="J96">
        <f t="shared" si="11"/>
        <v>7.486613313139955</v>
      </c>
      <c r="L96">
        <f t="shared" si="12"/>
        <v>3669.6217245827042</v>
      </c>
      <c r="N96">
        <f t="shared" si="13"/>
        <v>8.2466959437185565</v>
      </c>
      <c r="O96">
        <f t="shared" si="14"/>
        <v>8.2078438634155102</v>
      </c>
      <c r="P96">
        <f t="shared" si="16"/>
        <v>1.5094841438743599E-3</v>
      </c>
      <c r="S96">
        <f t="shared" si="15"/>
        <v>3.9616692489967104E-2</v>
      </c>
    </row>
    <row r="97" spans="1:19" ht="15.75" x14ac:dyDescent="0.3">
      <c r="A97" s="20">
        <v>75</v>
      </c>
      <c r="B97" s="17">
        <v>174</v>
      </c>
      <c r="C97" s="3">
        <v>47.5</v>
      </c>
      <c r="D97" s="8">
        <v>0.79573762906309753</v>
      </c>
      <c r="E97" s="9">
        <v>2615</v>
      </c>
      <c r="F97" s="4">
        <v>4374</v>
      </c>
      <c r="G97">
        <f t="shared" si="11"/>
        <v>5.1590552992145291</v>
      </c>
      <c r="H97">
        <f t="shared" si="11"/>
        <v>3.8607297110405954</v>
      </c>
      <c r="I97">
        <f t="shared" si="11"/>
        <v>-0.22848575920141692</v>
      </c>
      <c r="J97">
        <f t="shared" si="11"/>
        <v>7.8690193764990228</v>
      </c>
      <c r="L97">
        <f t="shared" si="12"/>
        <v>4245.0209420754563</v>
      </c>
      <c r="N97">
        <f t="shared" si="13"/>
        <v>8.3834332012367128</v>
      </c>
      <c r="O97">
        <f t="shared" si="14"/>
        <v>8.3535020320843874</v>
      </c>
      <c r="P97">
        <f t="shared" si="16"/>
        <v>8.9587488682511623E-4</v>
      </c>
      <c r="S97">
        <f t="shared" si="15"/>
        <v>3.0383609335383824E-2</v>
      </c>
    </row>
    <row r="98" spans="1:19" ht="15.75" x14ac:dyDescent="0.3">
      <c r="A98" s="20">
        <v>76</v>
      </c>
      <c r="B98" s="17">
        <v>169</v>
      </c>
      <c r="C98" s="3">
        <v>46.200069761207317</v>
      </c>
      <c r="D98" s="8">
        <v>0.81640797824116051</v>
      </c>
      <c r="E98" s="9">
        <v>2206</v>
      </c>
      <c r="F98" s="4">
        <v>4161</v>
      </c>
      <c r="G98">
        <f t="shared" si="11"/>
        <v>5.1298987149230735</v>
      </c>
      <c r="H98">
        <f t="shared" si="11"/>
        <v>3.8329813080693955</v>
      </c>
      <c r="I98">
        <f t="shared" si="11"/>
        <v>-0.20284107562829787</v>
      </c>
      <c r="J98">
        <f t="shared" si="11"/>
        <v>7.6989361998134473</v>
      </c>
      <c r="L98">
        <f t="shared" si="12"/>
        <v>3978.8948899774928</v>
      </c>
      <c r="N98">
        <f t="shared" si="13"/>
        <v>8.3335107089829421</v>
      </c>
      <c r="O98">
        <f t="shared" si="14"/>
        <v>8.2887593938873874</v>
      </c>
      <c r="P98">
        <f t="shared" si="16"/>
        <v>2.0026802027816259E-3</v>
      </c>
      <c r="S98">
        <f t="shared" si="15"/>
        <v>4.5767760913015057E-2</v>
      </c>
    </row>
    <row r="99" spans="1:19" ht="15.75" x14ac:dyDescent="0.3">
      <c r="A99" s="20">
        <v>77</v>
      </c>
      <c r="B99" s="17">
        <v>173</v>
      </c>
      <c r="C99" s="3">
        <v>53.3</v>
      </c>
      <c r="D99" s="8">
        <f>(5372*1.1437*0.708+126*0.8667+11*0.8733+25*1.0918+44*1.501)/(5372*1.1437+205)</f>
        <v>0.71855441174552726</v>
      </c>
      <c r="E99" s="9">
        <f>(5372*1.1437+205)</f>
        <v>6348.9564</v>
      </c>
      <c r="F99" s="4">
        <v>5490</v>
      </c>
      <c r="G99">
        <f t="shared" si="11"/>
        <v>5.1532915944977793</v>
      </c>
      <c r="H99">
        <f t="shared" si="11"/>
        <v>3.9759363311717988</v>
      </c>
      <c r="I99">
        <f t="shared" si="11"/>
        <v>-0.33051384669153294</v>
      </c>
      <c r="J99">
        <f t="shared" si="11"/>
        <v>8.7560457319236864</v>
      </c>
      <c r="L99">
        <f t="shared" si="12"/>
        <v>5859.325899221868</v>
      </c>
      <c r="N99">
        <f t="shared" si="13"/>
        <v>8.6106835345035755</v>
      </c>
      <c r="O99">
        <f t="shared" si="14"/>
        <v>8.6757898416916301</v>
      </c>
      <c r="P99">
        <f t="shared" si="16"/>
        <v>4.2388312356653373E-3</v>
      </c>
      <c r="S99">
        <f t="shared" si="15"/>
        <v>6.3032148334830687E-2</v>
      </c>
    </row>
    <row r="100" spans="1:19" ht="15.75" x14ac:dyDescent="0.3">
      <c r="A100" s="20">
        <v>78</v>
      </c>
      <c r="B100" s="17">
        <v>175</v>
      </c>
      <c r="C100" s="3">
        <v>50.2</v>
      </c>
      <c r="D100" s="8">
        <v>0.77762717770034839</v>
      </c>
      <c r="E100" s="9">
        <v>2870</v>
      </c>
      <c r="F100" s="4">
        <v>4633</v>
      </c>
      <c r="G100">
        <f t="shared" si="11"/>
        <v>5.1647859739235145</v>
      </c>
      <c r="H100">
        <f t="shared" si="11"/>
        <v>3.9160150266976834</v>
      </c>
      <c r="I100">
        <f t="shared" si="11"/>
        <v>-0.25150807570033801</v>
      </c>
      <c r="J100">
        <f t="shared" si="11"/>
        <v>7.9620673087536664</v>
      </c>
      <c r="L100">
        <f t="shared" si="12"/>
        <v>4432.295922700182</v>
      </c>
      <c r="N100">
        <f t="shared" si="13"/>
        <v>8.4409598854166479</v>
      </c>
      <c r="O100">
        <f t="shared" si="14"/>
        <v>8.3966729957604471</v>
      </c>
      <c r="P100">
        <f t="shared" si="16"/>
        <v>1.9613285954205016E-3</v>
      </c>
      <c r="S100">
        <f t="shared" si="15"/>
        <v>4.5282192525075766E-2</v>
      </c>
    </row>
    <row r="101" spans="1:19" ht="15.75" x14ac:dyDescent="0.3">
      <c r="A101" s="20">
        <v>79</v>
      </c>
      <c r="B101" s="17">
        <v>205</v>
      </c>
      <c r="C101" s="3">
        <v>47.6</v>
      </c>
      <c r="D101" s="8">
        <v>0.7799001584786055</v>
      </c>
      <c r="E101" s="9">
        <v>3786</v>
      </c>
      <c r="F101" s="4">
        <v>4618</v>
      </c>
      <c r="G101">
        <f t="shared" si="11"/>
        <v>5.3230099791384085</v>
      </c>
      <c r="H101">
        <f t="shared" si="11"/>
        <v>3.8628327612373745</v>
      </c>
      <c r="I101">
        <f t="shared" si="11"/>
        <v>-0.24858936944195423</v>
      </c>
      <c r="J101">
        <f t="shared" si="11"/>
        <v>8.2390653317692681</v>
      </c>
      <c r="L101">
        <f t="shared" si="12"/>
        <v>4689.0222855557413</v>
      </c>
      <c r="N101">
        <f t="shared" si="13"/>
        <v>8.4377169899144402</v>
      </c>
      <c r="O101">
        <f t="shared" si="14"/>
        <v>8.4529793718093096</v>
      </c>
      <c r="P101">
        <f t="shared" si="16"/>
        <v>2.3294030110483703E-4</v>
      </c>
      <c r="S101">
        <f t="shared" si="15"/>
        <v>1.5146502027623389E-2</v>
      </c>
    </row>
    <row r="102" spans="1:19" ht="15.75" x14ac:dyDescent="0.3">
      <c r="A102" s="20">
        <v>80</v>
      </c>
      <c r="B102" s="17">
        <v>165</v>
      </c>
      <c r="C102" s="3">
        <v>49.45</v>
      </c>
      <c r="D102" s="8">
        <v>0.81859073191566978</v>
      </c>
      <c r="E102" s="9">
        <v>3878</v>
      </c>
      <c r="F102" s="4">
        <v>4856</v>
      </c>
      <c r="G102">
        <f t="shared" si="11"/>
        <v>5.1059454739005803</v>
      </c>
      <c r="H102">
        <f t="shared" si="11"/>
        <v>3.9009620580687212</v>
      </c>
      <c r="I102">
        <f t="shared" si="11"/>
        <v>-0.2001710368598186</v>
      </c>
      <c r="J102">
        <f t="shared" si="11"/>
        <v>8.2630748358025965</v>
      </c>
      <c r="L102">
        <f t="shared" si="12"/>
        <v>4759.8672362183725</v>
      </c>
      <c r="N102">
        <f t="shared" si="13"/>
        <v>8.4879703327393337</v>
      </c>
      <c r="O102">
        <f t="shared" si="14"/>
        <v>8.4679750552857271</v>
      </c>
      <c r="P102">
        <f t="shared" si="16"/>
        <v>3.9981112044670521E-4</v>
      </c>
      <c r="S102">
        <f t="shared" si="15"/>
        <v>2.0196522089973936E-2</v>
      </c>
    </row>
    <row r="103" spans="1:19" ht="15.75" x14ac:dyDescent="0.3">
      <c r="A103" s="20">
        <v>81</v>
      </c>
      <c r="B103" s="17">
        <v>173</v>
      </c>
      <c r="C103" s="3">
        <v>50.63</v>
      </c>
      <c r="D103" s="8">
        <f>(8735*1.0801*0.8086+36*0.8771+29*1.416)/(8735*1.0801+65)</f>
        <v>0.81071382001707748</v>
      </c>
      <c r="E103" s="9">
        <f>(8735*1.0801+65)</f>
        <v>9499.6735000000008</v>
      </c>
      <c r="F103" s="4">
        <v>5098</v>
      </c>
      <c r="G103">
        <f t="shared" si="11"/>
        <v>5.1532915944977793</v>
      </c>
      <c r="H103">
        <f t="shared" si="11"/>
        <v>3.9245442859818178</v>
      </c>
      <c r="I103">
        <f t="shared" si="11"/>
        <v>-0.20984016011628639</v>
      </c>
      <c r="J103">
        <f t="shared" si="11"/>
        <v>9.1590127085769719</v>
      </c>
      <c r="L103">
        <f t="shared" si="12"/>
        <v>6081.6902804483907</v>
      </c>
      <c r="N103">
        <f t="shared" si="13"/>
        <v>8.53660358493606</v>
      </c>
      <c r="O103">
        <f t="shared" si="14"/>
        <v>8.7130379429762197</v>
      </c>
      <c r="P103">
        <f t="shared" si="16"/>
        <v>3.1129082697043273E-2</v>
      </c>
      <c r="S103">
        <f t="shared" si="15"/>
        <v>0.16174619802833254</v>
      </c>
    </row>
    <row r="104" spans="1:19" ht="15.75" x14ac:dyDescent="0.3">
      <c r="A104" s="20">
        <v>82</v>
      </c>
      <c r="B104" s="17">
        <v>184</v>
      </c>
      <c r="C104" s="3">
        <v>54.68</v>
      </c>
      <c r="D104" s="8">
        <f>(13859*1.0736*0.7393+30*1.0133+28*1.3807)/(13859*1.0736+58)</f>
        <v>0.74105263846427649</v>
      </c>
      <c r="E104" s="9">
        <f>(13859*1.0736+58)</f>
        <v>14937.022400000002</v>
      </c>
      <c r="F104" s="4">
        <v>4695</v>
      </c>
      <c r="G104">
        <f t="shared" si="11"/>
        <v>5.2149357576089859</v>
      </c>
      <c r="H104">
        <f t="shared" si="11"/>
        <v>4.001498011855749</v>
      </c>
      <c r="I104">
        <f t="shared" si="11"/>
        <v>-0.29968361914526198</v>
      </c>
      <c r="J104">
        <f t="shared" si="11"/>
        <v>9.6115981349409552</v>
      </c>
      <c r="L104">
        <f t="shared" si="12"/>
        <v>7115.666404595765</v>
      </c>
      <c r="N104">
        <f t="shared" si="13"/>
        <v>8.4542533916423626</v>
      </c>
      <c r="O104">
        <f t="shared" si="14"/>
        <v>8.8700541680628628</v>
      </c>
      <c r="P104">
        <f t="shared" si="16"/>
        <v>0.17289028567189085</v>
      </c>
      <c r="S104">
        <f t="shared" si="15"/>
        <v>0.34018829255856337</v>
      </c>
    </row>
    <row r="105" spans="1:19" ht="15.75" x14ac:dyDescent="0.3">
      <c r="A105" s="20">
        <v>83</v>
      </c>
      <c r="B105" s="17">
        <v>165</v>
      </c>
      <c r="C105" s="3">
        <v>46.8</v>
      </c>
      <c r="D105" s="8">
        <v>0.81186086770028443</v>
      </c>
      <c r="E105" s="9">
        <v>1925</v>
      </c>
      <c r="F105" s="4">
        <v>3658</v>
      </c>
      <c r="G105">
        <f t="shared" si="11"/>
        <v>5.1059454739005803</v>
      </c>
      <c r="H105">
        <f t="shared" si="11"/>
        <v>3.8458832029236012</v>
      </c>
      <c r="I105">
        <f t="shared" si="11"/>
        <v>-0.20842629869841844</v>
      </c>
      <c r="J105">
        <f t="shared" si="11"/>
        <v>7.5626812467218842</v>
      </c>
      <c r="L105">
        <f t="shared" si="12"/>
        <v>3832.8286366871207</v>
      </c>
      <c r="N105">
        <f t="shared" si="13"/>
        <v>8.2046718289508114</v>
      </c>
      <c r="O105">
        <f t="shared" si="14"/>
        <v>8.2513583570206297</v>
      </c>
      <c r="P105">
        <f t="shared" si="16"/>
        <v>2.1796319032139342E-3</v>
      </c>
      <c r="S105">
        <f t="shared" si="15"/>
        <v>4.5613475910113388E-2</v>
      </c>
    </row>
    <row r="106" spans="1:19" ht="15.75" x14ac:dyDescent="0.3">
      <c r="A106" s="20">
        <v>84</v>
      </c>
      <c r="B106" s="17">
        <v>185</v>
      </c>
      <c r="C106" s="3">
        <v>45.82</v>
      </c>
      <c r="D106" s="8">
        <v>0.84594531668754847</v>
      </c>
      <c r="E106" s="9">
        <v>1573</v>
      </c>
      <c r="F106" s="4">
        <v>3515</v>
      </c>
      <c r="G106">
        <f t="shared" si="11"/>
        <v>5.2203558250783244</v>
      </c>
      <c r="H106">
        <f t="shared" si="11"/>
        <v>3.8247206770253497</v>
      </c>
      <c r="I106">
        <f t="shared" si="11"/>
        <v>-0.16730055895017334</v>
      </c>
      <c r="J106">
        <f t="shared" si="11"/>
        <v>7.3607399030582776</v>
      </c>
      <c r="L106">
        <f t="shared" si="12"/>
        <v>3446.3647606572044</v>
      </c>
      <c r="N106">
        <f t="shared" si="13"/>
        <v>8.1647948042447656</v>
      </c>
      <c r="O106">
        <f t="shared" si="14"/>
        <v>8.1450752619379987</v>
      </c>
      <c r="P106">
        <f t="shared" si="16"/>
        <v>3.888603487883684E-4</v>
      </c>
      <c r="S106">
        <f t="shared" si="15"/>
        <v>1.9915256831290012E-2</v>
      </c>
    </row>
    <row r="107" spans="1:19" ht="15.75" x14ac:dyDescent="0.3">
      <c r="A107" s="20">
        <v>85</v>
      </c>
      <c r="B107" s="17">
        <v>190</v>
      </c>
      <c r="C107" s="3">
        <v>45.31</v>
      </c>
      <c r="D107" s="8">
        <v>0.8405067484662575</v>
      </c>
      <c r="E107" s="9">
        <v>1303</v>
      </c>
      <c r="F107" s="4">
        <v>3515</v>
      </c>
      <c r="G107">
        <f t="shared" si="11"/>
        <v>5.2470240721604862</v>
      </c>
      <c r="H107">
        <f t="shared" si="11"/>
        <v>3.8135277586790468</v>
      </c>
      <c r="I107">
        <f t="shared" si="11"/>
        <v>-0.17375029705652975</v>
      </c>
      <c r="J107">
        <f t="shared" si="11"/>
        <v>7.1724245771248452</v>
      </c>
      <c r="L107">
        <f t="shared" si="12"/>
        <v>3225.8150860589917</v>
      </c>
      <c r="N107">
        <f t="shared" si="13"/>
        <v>8.1647948042447656</v>
      </c>
      <c r="O107">
        <f t="shared" si="14"/>
        <v>8.0789409371597873</v>
      </c>
      <c r="P107">
        <f t="shared" si="16"/>
        <v>7.3708864934451061E-3</v>
      </c>
      <c r="S107">
        <f t="shared" si="15"/>
        <v>8.9647083365310992E-2</v>
      </c>
    </row>
    <row r="108" spans="1:19" ht="15.75" x14ac:dyDescent="0.3">
      <c r="A108" s="20">
        <v>86</v>
      </c>
      <c r="B108" s="17">
        <v>171</v>
      </c>
      <c r="C108" s="3">
        <v>47.73</v>
      </c>
      <c r="D108" s="8">
        <v>0.82248795518505935</v>
      </c>
      <c r="E108" s="9">
        <v>3198</v>
      </c>
      <c r="F108" s="4">
        <v>4815</v>
      </c>
      <c r="G108">
        <f t="shared" si="11"/>
        <v>5.1416635565026603</v>
      </c>
      <c r="H108">
        <f t="shared" si="11"/>
        <v>3.8655601310178049</v>
      </c>
      <c r="I108">
        <f t="shared" si="11"/>
        <v>-0.19542144060174027</v>
      </c>
      <c r="J108">
        <f t="shared" si="11"/>
        <v>8.0702808933938996</v>
      </c>
      <c r="L108">
        <f t="shared" si="12"/>
        <v>4450.8262063934526</v>
      </c>
      <c r="N108">
        <f t="shared" si="13"/>
        <v>8.4794913242322263</v>
      </c>
      <c r="O108">
        <f t="shared" si="14"/>
        <v>8.4008450222848712</v>
      </c>
      <c r="P108">
        <f t="shared" si="16"/>
        <v>6.185240809994553E-3</v>
      </c>
      <c r="S108">
        <f t="shared" si="15"/>
        <v>8.1821616194185431E-2</v>
      </c>
    </row>
    <row r="109" spans="1:19" ht="15.75" x14ac:dyDescent="0.3">
      <c r="A109" s="20">
        <v>87</v>
      </c>
      <c r="B109" s="17">
        <v>181</v>
      </c>
      <c r="C109" s="3">
        <v>51.15</v>
      </c>
      <c r="D109" s="8">
        <f>(14468*1.0403*0.6844+28*0.9129+11*1.3494)/(14468*1.0403+39)</f>
        <v>0.68530874387752616</v>
      </c>
      <c r="E109" s="9">
        <f>(14468*1.0403+39)</f>
        <v>15090.0604</v>
      </c>
      <c r="F109" s="4">
        <v>7295</v>
      </c>
      <c r="G109">
        <f t="shared" si="11"/>
        <v>5.1984970312658261</v>
      </c>
      <c r="H109">
        <f t="shared" si="11"/>
        <v>3.9347624923976356</v>
      </c>
      <c r="I109">
        <f t="shared" si="11"/>
        <v>-0.37788582127501658</v>
      </c>
      <c r="J109">
        <f t="shared" si="11"/>
        <v>9.6217915544046466</v>
      </c>
      <c r="L109">
        <f t="shared" si="12"/>
        <v>7453.647423052138</v>
      </c>
      <c r="N109">
        <f t="shared" si="13"/>
        <v>8.8949444609568857</v>
      </c>
      <c r="O109">
        <f t="shared" si="14"/>
        <v>8.9164587785518634</v>
      </c>
      <c r="P109">
        <f t="shared" si="16"/>
        <v>4.6286586157756631E-4</v>
      </c>
      <c r="S109">
        <f t="shared" si="15"/>
        <v>2.1284535482787123E-2</v>
      </c>
    </row>
    <row r="110" spans="1:19" ht="15.75" x14ac:dyDescent="0.3">
      <c r="A110" s="20">
        <v>88</v>
      </c>
      <c r="B110" s="17">
        <v>169</v>
      </c>
      <c r="C110" s="3">
        <v>47.84</v>
      </c>
      <c r="D110" s="8">
        <v>0.80864126002039083</v>
      </c>
      <c r="E110" s="9">
        <v>3019.0898226608274</v>
      </c>
      <c r="F110" s="4">
        <v>4735</v>
      </c>
      <c r="G110">
        <f t="shared" si="11"/>
        <v>5.1298987149230735</v>
      </c>
      <c r="H110">
        <f t="shared" si="11"/>
        <v>3.8678621096423762</v>
      </c>
      <c r="I110">
        <f t="shared" si="11"/>
        <v>-0.21239989658656028</v>
      </c>
      <c r="J110">
        <f t="shared" si="11"/>
        <v>8.012710681718973</v>
      </c>
      <c r="L110">
        <f t="shared" si="12"/>
        <v>4421.1015792459266</v>
      </c>
      <c r="N110">
        <f t="shared" si="13"/>
        <v>8.4627370056201787</v>
      </c>
      <c r="O110">
        <f t="shared" si="14"/>
        <v>8.3941441700938242</v>
      </c>
      <c r="P110">
        <f t="shared" si="16"/>
        <v>4.7049770855455246E-3</v>
      </c>
      <c r="S110">
        <f t="shared" si="15"/>
        <v>7.1000047189056587E-2</v>
      </c>
    </row>
    <row r="111" spans="1:19" ht="15.75" x14ac:dyDescent="0.3">
      <c r="A111" s="20">
        <v>89</v>
      </c>
      <c r="B111" s="17">
        <v>155</v>
      </c>
      <c r="C111" s="3">
        <v>40.33</v>
      </c>
      <c r="D111" s="8">
        <v>0.8641896139865074</v>
      </c>
      <c r="E111" s="9">
        <v>897</v>
      </c>
      <c r="F111" s="4">
        <v>2236.6959999999999</v>
      </c>
      <c r="G111">
        <f t="shared" si="11"/>
        <v>5.0434251169192468</v>
      </c>
      <c r="H111">
        <f t="shared" si="11"/>
        <v>3.6970956088852769</v>
      </c>
      <c r="I111">
        <f t="shared" si="11"/>
        <v>-0.14596307362351163</v>
      </c>
      <c r="J111">
        <f t="shared" si="11"/>
        <v>6.799055862058796</v>
      </c>
      <c r="L111">
        <f t="shared" si="12"/>
        <v>2840.5380364220609</v>
      </c>
      <c r="N111">
        <f t="shared" si="13"/>
        <v>7.7127550559657188</v>
      </c>
      <c r="O111">
        <f t="shared" si="14"/>
        <v>7.9517487626563597</v>
      </c>
      <c r="P111">
        <f t="shared" si="16"/>
        <v>5.7117991837732099E-2</v>
      </c>
      <c r="S111">
        <f t="shared" si="15"/>
        <v>0.2125801621662704</v>
      </c>
    </row>
    <row r="112" spans="1:19" ht="15.75" x14ac:dyDescent="0.3">
      <c r="A112" s="20">
        <v>90</v>
      </c>
      <c r="B112" s="17">
        <v>165</v>
      </c>
      <c r="C112" s="3">
        <v>42.16</v>
      </c>
      <c r="D112" s="8">
        <v>0.75937338889354078</v>
      </c>
      <c r="E112" s="9">
        <v>1230</v>
      </c>
      <c r="F112" s="4">
        <v>3314.6959999999999</v>
      </c>
      <c r="G112">
        <f t="shared" si="11"/>
        <v>5.1059454739005803</v>
      </c>
      <c r="H112">
        <f t="shared" si="11"/>
        <v>3.7414719042331068</v>
      </c>
      <c r="I112">
        <f t="shared" si="11"/>
        <v>-0.27526167407714913</v>
      </c>
      <c r="J112">
        <f t="shared" si="11"/>
        <v>7.114769448366463</v>
      </c>
      <c r="L112">
        <f t="shared" si="12"/>
        <v>3383.6535872080576</v>
      </c>
      <c r="N112">
        <f t="shared" si="13"/>
        <v>8.1061211940408029</v>
      </c>
      <c r="O112">
        <f t="shared" si="14"/>
        <v>8.1267113476398496</v>
      </c>
      <c r="P112">
        <f t="shared" si="16"/>
        <v>4.2395442523233582E-4</v>
      </c>
      <c r="S112">
        <f t="shared" si="15"/>
        <v>2.0379623809231737E-2</v>
      </c>
    </row>
    <row r="113" spans="1:19" ht="15.75" x14ac:dyDescent="0.3">
      <c r="A113" s="20">
        <v>91</v>
      </c>
      <c r="B113" s="17">
        <v>148</v>
      </c>
      <c r="C113" s="3">
        <v>44.8</v>
      </c>
      <c r="D113" s="8">
        <v>0.88665790947270184</v>
      </c>
      <c r="E113" s="9">
        <v>2143</v>
      </c>
      <c r="F113" s="4">
        <v>4498</v>
      </c>
      <c r="G113">
        <f t="shared" si="11"/>
        <v>4.9972122737641147</v>
      </c>
      <c r="H113">
        <f t="shared" si="11"/>
        <v>3.8022081394209395</v>
      </c>
      <c r="I113">
        <f t="shared" si="11"/>
        <v>-0.12029604245782206</v>
      </c>
      <c r="J113">
        <f t="shared" si="11"/>
        <v>7.6699619954735772</v>
      </c>
      <c r="L113">
        <f t="shared" si="12"/>
        <v>3844.330650214979</v>
      </c>
      <c r="N113">
        <f t="shared" si="13"/>
        <v>8.4113881325192619</v>
      </c>
      <c r="O113">
        <f t="shared" si="14"/>
        <v>8.2543547836164546</v>
      </c>
      <c r="P113">
        <f t="shared" si="16"/>
        <v>2.4659472667630807E-2</v>
      </c>
      <c r="S113">
        <f t="shared" si="15"/>
        <v>0.17003463262153767</v>
      </c>
    </row>
    <row r="114" spans="1:19" ht="15.75" x14ac:dyDescent="0.3">
      <c r="A114" s="20">
        <v>92</v>
      </c>
      <c r="B114" s="17">
        <v>154</v>
      </c>
      <c r="C114" s="3">
        <v>44.91</v>
      </c>
      <c r="D114" s="8">
        <v>0.83274397003745326</v>
      </c>
      <c r="E114" s="9">
        <v>1335</v>
      </c>
      <c r="F114" s="4">
        <v>3365</v>
      </c>
      <c r="G114">
        <f t="shared" si="11"/>
        <v>5.0369526024136295</v>
      </c>
      <c r="H114">
        <f t="shared" si="11"/>
        <v>3.8046604870996465</v>
      </c>
      <c r="I114">
        <f t="shared" si="11"/>
        <v>-0.18302904295833708</v>
      </c>
      <c r="J114">
        <f t="shared" si="11"/>
        <v>7.1966865708343501</v>
      </c>
      <c r="L114">
        <f t="shared" si="12"/>
        <v>3365.8870304383395</v>
      </c>
      <c r="N114">
        <f t="shared" si="13"/>
        <v>8.1211832420788284</v>
      </c>
      <c r="O114">
        <f t="shared" si="14"/>
        <v>8.1214468122262584</v>
      </c>
      <c r="P114">
        <f t="shared" si="16"/>
        <v>6.9469222616302995E-8</v>
      </c>
      <c r="S114">
        <f t="shared" si="15"/>
        <v>2.6353541587043744E-4</v>
      </c>
    </row>
    <row r="115" spans="1:19" ht="15.75" x14ac:dyDescent="0.3">
      <c r="A115" s="20">
        <v>93</v>
      </c>
      <c r="B115" s="17">
        <v>159</v>
      </c>
      <c r="C115" s="3">
        <v>46.47</v>
      </c>
      <c r="D115" s="8">
        <v>0.83111498405951112</v>
      </c>
      <c r="E115" s="9">
        <v>1882</v>
      </c>
      <c r="F115" s="4">
        <v>3955</v>
      </c>
      <c r="G115">
        <f t="shared" si="11"/>
        <v>5.0689042022202315</v>
      </c>
      <c r="H115">
        <f t="shared" si="11"/>
        <v>3.8388069430968867</v>
      </c>
      <c r="I115">
        <f t="shared" si="11"/>
        <v>-0.1849871253960387</v>
      </c>
      <c r="J115">
        <f t="shared" si="11"/>
        <v>7.5400903201453247</v>
      </c>
      <c r="L115">
        <f t="shared" si="12"/>
        <v>3777.1203160160103</v>
      </c>
      <c r="N115">
        <f t="shared" si="13"/>
        <v>8.2827358802017539</v>
      </c>
      <c r="O115">
        <f t="shared" si="14"/>
        <v>8.236717177120644</v>
      </c>
      <c r="P115">
        <f t="shared" si="16"/>
        <v>2.1177210332673528E-3</v>
      </c>
      <c r="S115">
        <f t="shared" si="15"/>
        <v>4.7093994657711011E-2</v>
      </c>
    </row>
    <row r="116" spans="1:19" ht="15.75" x14ac:dyDescent="0.3">
      <c r="A116" s="20">
        <v>94</v>
      </c>
      <c r="B116" s="17">
        <v>148</v>
      </c>
      <c r="C116" s="3">
        <v>44.56</v>
      </c>
      <c r="D116" s="8">
        <v>0.88824140253969686</v>
      </c>
      <c r="E116" s="9">
        <v>2038</v>
      </c>
      <c r="F116" s="4">
        <v>4349</v>
      </c>
      <c r="G116">
        <f t="shared" si="11"/>
        <v>4.9972122737641147</v>
      </c>
      <c r="H116">
        <f t="shared" si="11"/>
        <v>3.7968365956190286</v>
      </c>
      <c r="I116">
        <f t="shared" si="11"/>
        <v>-0.11851172322753732</v>
      </c>
      <c r="J116">
        <f t="shared" si="11"/>
        <v>7.6197242137826704</v>
      </c>
      <c r="L116">
        <f t="shared" si="12"/>
        <v>3777.7072524750097</v>
      </c>
      <c r="N116">
        <f t="shared" si="13"/>
        <v>8.3777012125976391</v>
      </c>
      <c r="O116">
        <f t="shared" si="14"/>
        <v>8.2368725576253237</v>
      </c>
      <c r="P116">
        <f t="shared" si="16"/>
        <v>1.983271006131147E-2</v>
      </c>
      <c r="S116">
        <f t="shared" si="15"/>
        <v>0.15122737399799868</v>
      </c>
    </row>
    <row r="117" spans="1:19" ht="15.75" x14ac:dyDescent="0.3">
      <c r="A117" s="20">
        <v>95</v>
      </c>
      <c r="B117" s="17">
        <v>154</v>
      </c>
      <c r="C117" s="3">
        <v>45.09</v>
      </c>
      <c r="D117" s="8">
        <v>0.84009799161896836</v>
      </c>
      <c r="E117" s="9">
        <v>1759</v>
      </c>
      <c r="F117" s="4">
        <v>3915</v>
      </c>
      <c r="G117">
        <f t="shared" si="11"/>
        <v>5.0369526024136295</v>
      </c>
      <c r="H117">
        <f t="shared" si="11"/>
        <v>3.8086604924329928</v>
      </c>
      <c r="I117">
        <f t="shared" si="11"/>
        <v>-0.17423673725939212</v>
      </c>
      <c r="J117">
        <f t="shared" si="11"/>
        <v>7.472500744737558</v>
      </c>
      <c r="L117">
        <f t="shared" si="12"/>
        <v>3683.9449165017504</v>
      </c>
      <c r="N117">
        <f t="shared" si="13"/>
        <v>8.2725706084249033</v>
      </c>
      <c r="O117">
        <f t="shared" si="14"/>
        <v>8.2117394451737695</v>
      </c>
      <c r="P117">
        <f t="shared" si="16"/>
        <v>3.7004304224860915E-3</v>
      </c>
      <c r="S117">
        <f t="shared" si="15"/>
        <v>6.2719472938715368E-2</v>
      </c>
    </row>
    <row r="118" spans="1:19" ht="15.75" x14ac:dyDescent="0.3">
      <c r="A118" s="20">
        <v>96</v>
      </c>
      <c r="B118" s="17">
        <v>162</v>
      </c>
      <c r="C118" s="3">
        <v>47.21</v>
      </c>
      <c r="D118" s="8">
        <v>0.84338973647711524</v>
      </c>
      <c r="E118" s="9">
        <v>2163</v>
      </c>
      <c r="F118" s="4">
        <v>4133</v>
      </c>
      <c r="G118">
        <f t="shared" si="11"/>
        <v>5.0875963352323836</v>
      </c>
      <c r="H118">
        <f t="shared" si="11"/>
        <v>3.8546057345581954</v>
      </c>
      <c r="I118">
        <f t="shared" si="11"/>
        <v>-0.17032610696696809</v>
      </c>
      <c r="J118">
        <f t="shared" si="11"/>
        <v>7.6792514259530584</v>
      </c>
      <c r="L118">
        <f t="shared" si="12"/>
        <v>3915.5785719199016</v>
      </c>
      <c r="N118">
        <f t="shared" si="13"/>
        <v>8.3267588145117326</v>
      </c>
      <c r="O118">
        <f t="shared" si="14"/>
        <v>8.2727183808827469</v>
      </c>
      <c r="P118">
        <f t="shared" si="16"/>
        <v>2.9203684668088082E-3</v>
      </c>
      <c r="S118">
        <f t="shared" si="15"/>
        <v>5.5527280090689503E-2</v>
      </c>
    </row>
    <row r="119" spans="1:19" ht="15.75" x14ac:dyDescent="0.3">
      <c r="A119" s="20">
        <v>97</v>
      </c>
      <c r="B119" s="17">
        <v>162</v>
      </c>
      <c r="C119" s="3">
        <v>47.8</v>
      </c>
      <c r="D119" s="8">
        <v>0.80202568367570037</v>
      </c>
      <c r="E119" s="9">
        <v>2369</v>
      </c>
      <c r="F119" s="4">
        <v>4397</v>
      </c>
      <c r="G119">
        <f t="shared" ref="G119:J150" si="17">LN(B119)</f>
        <v>5.0875963352323836</v>
      </c>
      <c r="H119">
        <f t="shared" si="17"/>
        <v>3.8670256394974101</v>
      </c>
      <c r="I119">
        <f t="shared" si="17"/>
        <v>-0.22061464709510473</v>
      </c>
      <c r="J119">
        <f t="shared" si="17"/>
        <v>7.7702232041587855</v>
      </c>
      <c r="L119">
        <f t="shared" ref="L119:L150" si="18">EXP((_C1_exp16+_C2_exp16*G119)*(_C3_exp16+_C4_exp16*H119)*(_C5_exp16+_C6_exp16*J119)*(_C7_exp16+_C8_exp16*I119)/((d1_exp16+d2_exp16*G119)*(d3_exp16+d4_exp16*H119)*(d5_exp16+d6_exp16*J119)*(d7_exp16+d8_exp16*I119)))</f>
        <v>4141.589731987704</v>
      </c>
      <c r="N119">
        <f t="shared" ref="N119:N150" si="19">LN(F119)</f>
        <v>8.388677769180811</v>
      </c>
      <c r="O119">
        <f t="shared" ref="O119:O150" si="20">LN(L119)</f>
        <v>8.3288349863465712</v>
      </c>
      <c r="P119">
        <f t="shared" si="16"/>
        <v>3.5811586573459889E-3</v>
      </c>
      <c r="S119">
        <f t="shared" ref="S119:S150" si="21">ABS((F119-L119)/L119)</f>
        <v>6.1669620735155493E-2</v>
      </c>
    </row>
    <row r="120" spans="1:19" ht="15.75" x14ac:dyDescent="0.3">
      <c r="A120" s="20">
        <v>98</v>
      </c>
      <c r="B120" s="1">
        <v>190</v>
      </c>
      <c r="C120" s="6">
        <v>54.83</v>
      </c>
      <c r="D120" s="8">
        <f>(9115*1.1799*0.7354+85*0.8537+66*1.0042+31*1.183+27*1.3195)/(9115*1.1799+210)</f>
        <v>0.74057175502290817</v>
      </c>
      <c r="E120" s="9">
        <f>(9115*1.1799+210)</f>
        <v>10964.788499999999</v>
      </c>
      <c r="F120" s="1">
        <v>5706</v>
      </c>
      <c r="G120">
        <f t="shared" si="17"/>
        <v>5.2470240721604862</v>
      </c>
      <c r="H120">
        <f t="shared" si="17"/>
        <v>4.0042374894159574</v>
      </c>
      <c r="I120">
        <f t="shared" si="17"/>
        <v>-0.30033274919518282</v>
      </c>
      <c r="J120">
        <f t="shared" si="17"/>
        <v>9.3024443720202701</v>
      </c>
      <c r="L120">
        <f t="shared" si="18"/>
        <v>6565.4378473552088</v>
      </c>
      <c r="N120">
        <f t="shared" si="19"/>
        <v>8.6492735317734457</v>
      </c>
      <c r="O120">
        <f t="shared" si="20"/>
        <v>8.7895744787026118</v>
      </c>
      <c r="P120">
        <f t="shared" si="16"/>
        <v>1.9684355709220672E-2</v>
      </c>
      <c r="S120">
        <f t="shared" si="21"/>
        <v>0.13090335592795549</v>
      </c>
    </row>
    <row r="121" spans="1:19" ht="15.75" x14ac:dyDescent="0.3">
      <c r="A121" s="20">
        <v>99</v>
      </c>
      <c r="B121" s="1">
        <v>177</v>
      </c>
      <c r="C121" s="6">
        <v>52.46</v>
      </c>
      <c r="D121" s="8">
        <f>(4572*1.2006*0.7484+163*1.1376+34*1.2528+35*1.3791)/(4572*1.2006+231)</f>
        <v>0.76647858586477324</v>
      </c>
      <c r="E121" s="9">
        <f>4572*1.2006+231</f>
        <v>5720.1431999999995</v>
      </c>
      <c r="F121" s="1">
        <v>4809</v>
      </c>
      <c r="G121">
        <f t="shared" si="17"/>
        <v>5.1761497325738288</v>
      </c>
      <c r="H121">
        <f t="shared" si="17"/>
        <v>3.9600509744387278</v>
      </c>
      <c r="I121">
        <f t="shared" si="17"/>
        <v>-0.26594851861464086</v>
      </c>
      <c r="J121">
        <f t="shared" si="17"/>
        <v>8.6517491190255083</v>
      </c>
      <c r="L121">
        <f t="shared" si="18"/>
        <v>5470.1131859901643</v>
      </c>
      <c r="N121">
        <f t="shared" si="19"/>
        <v>8.4782444412776634</v>
      </c>
      <c r="O121">
        <f t="shared" si="20"/>
        <v>8.6070545873390891</v>
      </c>
      <c r="P121">
        <f t="shared" si="16"/>
        <v>1.6592053728365825E-2</v>
      </c>
      <c r="S121">
        <f t="shared" si="21"/>
        <v>0.1208591419430554</v>
      </c>
    </row>
    <row r="122" spans="1:19" ht="15.75" x14ac:dyDescent="0.3">
      <c r="A122" s="20">
        <v>100</v>
      </c>
      <c r="B122" s="1">
        <v>165</v>
      </c>
      <c r="C122" s="6">
        <v>47.27</v>
      </c>
      <c r="D122" s="8">
        <v>0.83708334249218064</v>
      </c>
      <c r="E122" s="10">
        <v>2453</v>
      </c>
      <c r="F122" s="1">
        <v>4257</v>
      </c>
      <c r="G122">
        <f t="shared" si="17"/>
        <v>5.1059454739005803</v>
      </c>
      <c r="H122">
        <f t="shared" si="17"/>
        <v>3.8558758448051451</v>
      </c>
      <c r="I122">
        <f t="shared" si="17"/>
        <v>-0.17783164057972209</v>
      </c>
      <c r="J122">
        <f t="shared" si="17"/>
        <v>7.8050670442584895</v>
      </c>
      <c r="L122">
        <f t="shared" si="18"/>
        <v>4081.5559085164086</v>
      </c>
      <c r="N122">
        <f t="shared" si="19"/>
        <v>8.3563199658281526</v>
      </c>
      <c r="O122">
        <f t="shared" si="20"/>
        <v>8.3142335448292997</v>
      </c>
      <c r="P122">
        <f t="shared" si="16"/>
        <v>1.7712668324926912E-3</v>
      </c>
      <c r="S122">
        <f t="shared" si="21"/>
        <v>4.2984610627902181E-2</v>
      </c>
    </row>
    <row r="123" spans="1:19" ht="15.75" x14ac:dyDescent="0.3">
      <c r="A123" s="20">
        <v>101</v>
      </c>
      <c r="B123" s="1">
        <v>158</v>
      </c>
      <c r="C123" s="6">
        <v>47.86</v>
      </c>
      <c r="D123" s="8">
        <v>0.82586756361566482</v>
      </c>
      <c r="E123" s="9">
        <v>2179.0347581216583</v>
      </c>
      <c r="F123" s="1">
        <v>4127</v>
      </c>
      <c r="G123">
        <f t="shared" si="17"/>
        <v>5.0625950330269669</v>
      </c>
      <c r="H123">
        <f t="shared" si="17"/>
        <v>3.868280082480227</v>
      </c>
      <c r="I123">
        <f t="shared" si="17"/>
        <v>-0.19132085292185863</v>
      </c>
      <c r="J123">
        <f t="shared" si="17"/>
        <v>7.6866372862270618</v>
      </c>
      <c r="L123">
        <f t="shared" si="18"/>
        <v>3985.231468319862</v>
      </c>
      <c r="N123">
        <f t="shared" si="19"/>
        <v>8.325306029752582</v>
      </c>
      <c r="O123">
        <f t="shared" si="20"/>
        <v>8.2903506744357873</v>
      </c>
      <c r="P123">
        <f t="shared" si="16"/>
        <v>1.2218768653233692E-3</v>
      </c>
      <c r="S123">
        <f t="shared" si="21"/>
        <v>3.5573474917858755E-2</v>
      </c>
    </row>
    <row r="124" spans="1:19" ht="15.75" x14ac:dyDescent="0.3">
      <c r="A124" s="20">
        <v>102</v>
      </c>
      <c r="B124" s="1">
        <v>143</v>
      </c>
      <c r="C124" s="6">
        <v>47.09</v>
      </c>
      <c r="D124" s="8">
        <v>0.80344012511170682</v>
      </c>
      <c r="E124" s="10">
        <v>2238</v>
      </c>
      <c r="F124" s="1">
        <v>4503</v>
      </c>
      <c r="G124">
        <f t="shared" si="17"/>
        <v>4.962844630259907</v>
      </c>
      <c r="H124">
        <f t="shared" si="17"/>
        <v>3.8520606642554633</v>
      </c>
      <c r="I124">
        <f t="shared" si="17"/>
        <v>-0.21885261417702825</v>
      </c>
      <c r="J124">
        <f t="shared" si="17"/>
        <v>7.7133378888718704</v>
      </c>
      <c r="L124">
        <f t="shared" si="18"/>
        <v>4134.792008204663</v>
      </c>
      <c r="N124">
        <f t="shared" si="19"/>
        <v>8.4124991203015718</v>
      </c>
      <c r="O124">
        <f t="shared" si="20"/>
        <v>8.3271923058794268</v>
      </c>
      <c r="P124">
        <f t="shared" si="16"/>
        <v>7.2772525868542758E-3</v>
      </c>
      <c r="S124">
        <f t="shared" si="21"/>
        <v>8.9051152044577392E-2</v>
      </c>
    </row>
    <row r="125" spans="1:19" ht="15.75" x14ac:dyDescent="0.3">
      <c r="A125" s="20">
        <v>103</v>
      </c>
      <c r="B125" s="1">
        <v>135</v>
      </c>
      <c r="C125" s="6">
        <v>44.46</v>
      </c>
      <c r="D125" s="8">
        <v>0.84994320263829215</v>
      </c>
      <c r="E125" s="10">
        <v>1973</v>
      </c>
      <c r="F125" s="1">
        <v>4335</v>
      </c>
      <c r="G125">
        <f t="shared" si="17"/>
        <v>4.9052747784384296</v>
      </c>
      <c r="H125">
        <f t="shared" si="17"/>
        <v>3.7945899085360506</v>
      </c>
      <c r="I125">
        <f t="shared" si="17"/>
        <v>-0.16258575215589766</v>
      </c>
      <c r="J125">
        <f t="shared" si="17"/>
        <v>7.5873105060226154</v>
      </c>
      <c r="L125">
        <f t="shared" si="18"/>
        <v>3874.8984646058475</v>
      </c>
      <c r="N125">
        <f t="shared" si="19"/>
        <v>8.3744768892146428</v>
      </c>
      <c r="O125">
        <f t="shared" si="20"/>
        <v>8.2622747387617892</v>
      </c>
      <c r="P125">
        <f t="shared" si="16"/>
        <v>1.2589322566244805E-2</v>
      </c>
      <c r="S125">
        <f t="shared" si="21"/>
        <v>0.11873899138179193</v>
      </c>
    </row>
    <row r="126" spans="1:19" ht="15.75" x14ac:dyDescent="0.3">
      <c r="A126" s="20">
        <v>104</v>
      </c>
      <c r="B126" s="1">
        <v>159</v>
      </c>
      <c r="C126" s="15">
        <v>43.6</v>
      </c>
      <c r="D126" s="13">
        <v>0.89081440935686729</v>
      </c>
      <c r="E126" s="11">
        <v>1315</v>
      </c>
      <c r="F126" s="11">
        <v>2900</v>
      </c>
      <c r="G126">
        <f t="shared" si="17"/>
        <v>5.0689042022202315</v>
      </c>
      <c r="H126">
        <f t="shared" si="17"/>
        <v>3.7750571503549888</v>
      </c>
      <c r="I126">
        <f t="shared" si="17"/>
        <v>-0.11561916798113434</v>
      </c>
      <c r="J126">
        <f t="shared" si="17"/>
        <v>7.1815919446118652</v>
      </c>
      <c r="L126">
        <f t="shared" si="18"/>
        <v>3216.2415058081783</v>
      </c>
      <c r="N126">
        <f t="shared" si="19"/>
        <v>7.9724660159745655</v>
      </c>
      <c r="O126">
        <f t="shared" si="20"/>
        <v>8.0759687225689696</v>
      </c>
      <c r="P126">
        <f t="shared" si="16"/>
        <v>1.0712810272367299E-2</v>
      </c>
      <c r="S126">
        <f t="shared" si="21"/>
        <v>9.8326417726119428E-2</v>
      </c>
    </row>
    <row r="127" spans="1:19" ht="15.75" x14ac:dyDescent="0.3">
      <c r="A127" s="20">
        <v>105</v>
      </c>
      <c r="B127" s="1">
        <v>163</v>
      </c>
      <c r="C127" s="16">
        <v>47.771298521831739</v>
      </c>
      <c r="D127" s="13">
        <v>0.78564357945546592</v>
      </c>
      <c r="E127" s="11">
        <v>1883.8370124237647</v>
      </c>
      <c r="F127" s="11">
        <v>3584.9960000000001</v>
      </c>
      <c r="G127">
        <f t="shared" si="17"/>
        <v>5.0937502008067623</v>
      </c>
      <c r="H127">
        <f t="shared" si="17"/>
        <v>3.8664250098214503</v>
      </c>
      <c r="I127">
        <f t="shared" si="17"/>
        <v>-0.24125205065016408</v>
      </c>
      <c r="J127">
        <f t="shared" si="17"/>
        <v>7.5410659399416229</v>
      </c>
      <c r="L127">
        <f t="shared" si="18"/>
        <v>3882.1919394934121</v>
      </c>
      <c r="N127">
        <f t="shared" si="19"/>
        <v>8.1845126372729862</v>
      </c>
      <c r="O127">
        <f t="shared" si="20"/>
        <v>8.2641552059619521</v>
      </c>
      <c r="P127">
        <f t="shared" si="16"/>
        <v>6.342938747376653E-3</v>
      </c>
      <c r="S127">
        <f t="shared" si="21"/>
        <v>7.6553643953058415E-2</v>
      </c>
    </row>
    <row r="128" spans="1:19" ht="15.75" x14ac:dyDescent="0.3">
      <c r="A128" s="20">
        <v>106</v>
      </c>
      <c r="B128" s="1">
        <v>157</v>
      </c>
      <c r="C128" s="15">
        <v>40.200000000000003</v>
      </c>
      <c r="D128" s="13">
        <v>0.85875487465181055</v>
      </c>
      <c r="E128" s="11">
        <v>1077</v>
      </c>
      <c r="F128" s="11">
        <v>3313</v>
      </c>
      <c r="G128">
        <f t="shared" si="17"/>
        <v>5.0562458053483077</v>
      </c>
      <c r="H128">
        <f t="shared" si="17"/>
        <v>3.6938669956249757</v>
      </c>
      <c r="I128">
        <f t="shared" si="17"/>
        <v>-0.15227175901125453</v>
      </c>
      <c r="J128">
        <f t="shared" si="17"/>
        <v>6.9819346771563886</v>
      </c>
      <c r="L128">
        <f t="shared" si="18"/>
        <v>3042.9117951889484</v>
      </c>
      <c r="N128">
        <f t="shared" si="19"/>
        <v>8.1056094022998959</v>
      </c>
      <c r="O128">
        <f t="shared" si="20"/>
        <v>8.0205701633411266</v>
      </c>
      <c r="P128">
        <f t="shared" si="16"/>
        <v>7.2316721626866668E-3</v>
      </c>
      <c r="S128">
        <f t="shared" si="21"/>
        <v>8.8759787660647765E-2</v>
      </c>
    </row>
    <row r="129" spans="1:19" ht="15.75" x14ac:dyDescent="0.3">
      <c r="A129" s="20">
        <v>107</v>
      </c>
      <c r="B129" s="1">
        <v>151</v>
      </c>
      <c r="C129" s="15">
        <v>40.700000000000003</v>
      </c>
      <c r="D129" s="13">
        <v>0.89849999999999997</v>
      </c>
      <c r="E129" s="11">
        <v>828</v>
      </c>
      <c r="F129" s="11">
        <v>2551</v>
      </c>
      <c r="G129">
        <f t="shared" si="17"/>
        <v>5.0172798368149243</v>
      </c>
      <c r="H129">
        <f t="shared" si="17"/>
        <v>3.7062280924485496</v>
      </c>
      <c r="I129">
        <f t="shared" si="17"/>
        <v>-0.10702857275852336</v>
      </c>
      <c r="J129">
        <f t="shared" si="17"/>
        <v>6.7190131543852596</v>
      </c>
      <c r="L129">
        <f t="shared" si="18"/>
        <v>2714.5340374850225</v>
      </c>
      <c r="N129">
        <f t="shared" si="19"/>
        <v>7.844240718141811</v>
      </c>
      <c r="O129">
        <f t="shared" si="20"/>
        <v>7.9063755924030206</v>
      </c>
      <c r="P129">
        <f t="shared" si="16"/>
        <v>3.8607425994563222E-3</v>
      </c>
      <c r="S129">
        <f t="shared" si="21"/>
        <v>6.0243870670538539E-2</v>
      </c>
    </row>
    <row r="130" spans="1:19" ht="15.75" x14ac:dyDescent="0.3">
      <c r="A130" s="20">
        <v>108</v>
      </c>
      <c r="B130" s="1">
        <v>153</v>
      </c>
      <c r="C130" s="15">
        <v>39.299999999999997</v>
      </c>
      <c r="D130" s="14">
        <v>0.87901334951456311</v>
      </c>
      <c r="E130" s="11">
        <v>824</v>
      </c>
      <c r="F130" s="11">
        <v>2528</v>
      </c>
      <c r="G130">
        <f t="shared" si="17"/>
        <v>5.0304379213924353</v>
      </c>
      <c r="H130">
        <f t="shared" si="17"/>
        <v>3.6712245188752153</v>
      </c>
      <c r="I130">
        <f t="shared" si="17"/>
        <v>-0.12895519425123364</v>
      </c>
      <c r="J130">
        <f t="shared" si="17"/>
        <v>6.7141705299094721</v>
      </c>
      <c r="L130">
        <f t="shared" si="18"/>
        <v>2728.8183709860018</v>
      </c>
      <c r="N130">
        <f t="shared" si="19"/>
        <v>7.8351837552667485</v>
      </c>
      <c r="O130">
        <f t="shared" si="20"/>
        <v>7.9116239633399106</v>
      </c>
      <c r="P130">
        <f t="shared" si="16"/>
        <v>5.8431054102683162E-3</v>
      </c>
      <c r="S130">
        <f t="shared" si="21"/>
        <v>7.3591695629577666E-2</v>
      </c>
    </row>
    <row r="131" spans="1:19" ht="15.75" x14ac:dyDescent="0.3">
      <c r="A131" s="20">
        <v>109</v>
      </c>
      <c r="B131" s="1">
        <v>153</v>
      </c>
      <c r="C131" s="15">
        <v>42.6</v>
      </c>
      <c r="D131" s="14">
        <v>0.86815831435079716</v>
      </c>
      <c r="E131" s="11">
        <v>878</v>
      </c>
      <c r="F131" s="11">
        <v>2562</v>
      </c>
      <c r="G131">
        <f t="shared" si="17"/>
        <v>5.0304379213924353</v>
      </c>
      <c r="H131">
        <f t="shared" si="17"/>
        <v>3.751854253275325</v>
      </c>
      <c r="I131">
        <f t="shared" si="17"/>
        <v>-0.14138119114771935</v>
      </c>
      <c r="J131">
        <f t="shared" si="17"/>
        <v>6.7776465936351169</v>
      </c>
      <c r="L131">
        <f t="shared" si="18"/>
        <v>2824.4874295694408</v>
      </c>
      <c r="N131">
        <f t="shared" si="19"/>
        <v>7.8485434824566793</v>
      </c>
      <c r="O131">
        <f t="shared" si="20"/>
        <v>7.9460821862577822</v>
      </c>
      <c r="P131">
        <f t="shared" si="16"/>
        <v>9.5137987391992768E-3</v>
      </c>
      <c r="S131">
        <f t="shared" si="21"/>
        <v>9.2932766073401799E-2</v>
      </c>
    </row>
    <row r="132" spans="1:19" ht="15.75" x14ac:dyDescent="0.3">
      <c r="A132" s="20">
        <v>110</v>
      </c>
      <c r="B132" s="1">
        <v>170</v>
      </c>
      <c r="C132" s="16">
        <v>38.33</v>
      </c>
      <c r="D132" s="14">
        <v>0.98686008676789583</v>
      </c>
      <c r="E132" s="12">
        <v>461</v>
      </c>
      <c r="F132" s="11">
        <v>1714.9959999999999</v>
      </c>
      <c r="G132">
        <f t="shared" si="17"/>
        <v>5.1357984370502621</v>
      </c>
      <c r="H132">
        <f t="shared" si="17"/>
        <v>3.6462328793924637</v>
      </c>
      <c r="I132">
        <f t="shared" si="17"/>
        <v>-1.3227005657891307E-2</v>
      </c>
      <c r="J132">
        <f t="shared" si="17"/>
        <v>6.1333980429966486</v>
      </c>
      <c r="L132">
        <f t="shared" si="18"/>
        <v>2013.5231052565825</v>
      </c>
      <c r="N132">
        <f t="shared" si="19"/>
        <v>7.447166027235804</v>
      </c>
      <c r="O132">
        <f t="shared" si="20"/>
        <v>7.6076412553965573</v>
      </c>
      <c r="P132">
        <f t="shared" si="16"/>
        <v>2.5752298853245838E-2</v>
      </c>
      <c r="S132">
        <f t="shared" si="21"/>
        <v>0.14826107754971179</v>
      </c>
    </row>
    <row r="133" spans="1:19" ht="15.75" x14ac:dyDescent="0.3">
      <c r="A133" s="20">
        <v>111</v>
      </c>
      <c r="B133" s="1">
        <v>165</v>
      </c>
      <c r="C133" s="16">
        <v>37.9</v>
      </c>
      <c r="D133" s="14">
        <v>0.9594061224489796</v>
      </c>
      <c r="E133" s="12">
        <v>441</v>
      </c>
      <c r="F133" s="11">
        <v>1614.9959999999999</v>
      </c>
      <c r="G133">
        <f t="shared" si="17"/>
        <v>5.1059454739005803</v>
      </c>
      <c r="H133">
        <f t="shared" si="17"/>
        <v>3.6349511120883808</v>
      </c>
      <c r="I133">
        <f t="shared" si="17"/>
        <v>-4.144080839505284E-2</v>
      </c>
      <c r="J133">
        <f t="shared" si="17"/>
        <v>6.089044875446846</v>
      </c>
      <c r="L133">
        <f t="shared" si="18"/>
        <v>2008.9447723527624</v>
      </c>
      <c r="N133">
        <f t="shared" si="19"/>
        <v>7.3870877588735038</v>
      </c>
      <c r="O133">
        <f t="shared" si="20"/>
        <v>7.6053648743189868</v>
      </c>
      <c r="P133">
        <f t="shared" si="16"/>
        <v>4.7644899127200713E-2</v>
      </c>
      <c r="S133">
        <f t="shared" si="21"/>
        <v>0.19609736304069325</v>
      </c>
    </row>
    <row r="134" spans="1:19" ht="15.75" x14ac:dyDescent="0.3">
      <c r="A134" s="20">
        <v>112</v>
      </c>
      <c r="B134" s="1">
        <v>151</v>
      </c>
      <c r="C134" s="15">
        <v>44.7</v>
      </c>
      <c r="D134" s="14">
        <v>0.83362575680739615</v>
      </c>
      <c r="E134" s="11">
        <v>1428</v>
      </c>
      <c r="F134" s="11">
        <v>3575</v>
      </c>
      <c r="G134">
        <f t="shared" si="17"/>
        <v>5.0172798368149243</v>
      </c>
      <c r="H134">
        <f t="shared" si="17"/>
        <v>3.7999735016195233</v>
      </c>
      <c r="I134">
        <f t="shared" si="17"/>
        <v>-0.18197071017895133</v>
      </c>
      <c r="J134">
        <f t="shared" si="17"/>
        <v>7.2640301428995295</v>
      </c>
      <c r="L134">
        <f t="shared" si="18"/>
        <v>3453.0398572878498</v>
      </c>
      <c r="N134">
        <f t="shared" si="19"/>
        <v>8.181720455128108</v>
      </c>
      <c r="O134">
        <f t="shared" si="20"/>
        <v>8.1470102401232154</v>
      </c>
      <c r="P134">
        <f t="shared" si="16"/>
        <v>1.2047990256858698E-3</v>
      </c>
      <c r="S134">
        <f t="shared" si="21"/>
        <v>3.5319645226436033E-2</v>
      </c>
    </row>
    <row r="135" spans="1:19" ht="15.75" x14ac:dyDescent="0.3">
      <c r="A135" s="20">
        <v>113</v>
      </c>
      <c r="B135" s="1">
        <v>161</v>
      </c>
      <c r="C135" s="15">
        <v>43.6</v>
      </c>
      <c r="D135" s="14">
        <v>0.85542971530249112</v>
      </c>
      <c r="E135" s="11">
        <v>1124</v>
      </c>
      <c r="F135" s="11">
        <v>3131</v>
      </c>
      <c r="G135">
        <f t="shared" si="17"/>
        <v>5.0814043649844631</v>
      </c>
      <c r="H135">
        <f t="shared" si="17"/>
        <v>3.7750571503549888</v>
      </c>
      <c r="I135">
        <f t="shared" si="17"/>
        <v>-0.15615134530486452</v>
      </c>
      <c r="J135">
        <f t="shared" si="17"/>
        <v>7.0246490304536362</v>
      </c>
      <c r="L135">
        <f t="shared" si="18"/>
        <v>3098.6241610806287</v>
      </c>
      <c r="N135">
        <f t="shared" si="19"/>
        <v>8.049107721326406</v>
      </c>
      <c r="O135">
        <f t="shared" si="20"/>
        <v>8.0387134729501835</v>
      </c>
      <c r="P135">
        <f t="shared" si="16"/>
        <v>1.0804039930660392E-4</v>
      </c>
      <c r="S135">
        <f t="shared" si="21"/>
        <v>1.0448456229709507E-2</v>
      </c>
    </row>
    <row r="136" spans="1:19" ht="15.75" x14ac:dyDescent="0.3">
      <c r="A136" s="20">
        <v>114</v>
      </c>
      <c r="B136" s="1">
        <v>160</v>
      </c>
      <c r="C136" s="15">
        <v>44.4</v>
      </c>
      <c r="D136" s="14">
        <v>0.87219552541973877</v>
      </c>
      <c r="E136" s="11">
        <v>1178</v>
      </c>
      <c r="F136" s="11">
        <v>2992</v>
      </c>
      <c r="G136">
        <f t="shared" si="17"/>
        <v>5.0751738152338266</v>
      </c>
      <c r="H136">
        <f t="shared" si="17"/>
        <v>3.7932394694381792</v>
      </c>
      <c r="I136">
        <f t="shared" si="17"/>
        <v>-0.13674165380935618</v>
      </c>
      <c r="J136">
        <f t="shared" si="17"/>
        <v>7.0715733642115319</v>
      </c>
      <c r="L136">
        <f t="shared" si="18"/>
        <v>3126.423843187385</v>
      </c>
      <c r="N136">
        <f t="shared" si="19"/>
        <v>8.0036973390943675</v>
      </c>
      <c r="O136">
        <f t="shared" si="20"/>
        <v>8.0476450882227173</v>
      </c>
      <c r="P136">
        <f t="shared" si="16"/>
        <v>1.9314046534483667E-3</v>
      </c>
      <c r="S136">
        <f t="shared" si="21"/>
        <v>4.2996039542207466E-2</v>
      </c>
    </row>
    <row r="137" spans="1:19" ht="15.75" x14ac:dyDescent="0.3">
      <c r="A137" s="20">
        <v>115</v>
      </c>
      <c r="B137" s="1">
        <v>175</v>
      </c>
      <c r="C137" s="16">
        <v>37.82</v>
      </c>
      <c r="D137" s="14">
        <v>0.97651249999999989</v>
      </c>
      <c r="E137" s="12">
        <v>440</v>
      </c>
      <c r="F137" s="11">
        <v>1614.9959999999999</v>
      </c>
      <c r="G137">
        <f t="shared" si="17"/>
        <v>5.1647859739235145</v>
      </c>
      <c r="H137">
        <f t="shared" si="17"/>
        <v>3.6328380632303117</v>
      </c>
      <c r="I137">
        <f t="shared" si="17"/>
        <v>-2.3767727928080892E-2</v>
      </c>
      <c r="J137">
        <f t="shared" si="17"/>
        <v>6.0867747269123065</v>
      </c>
      <c r="L137">
        <f t="shared" si="18"/>
        <v>1974.8511774091955</v>
      </c>
      <c r="N137">
        <f t="shared" si="19"/>
        <v>7.3870877588735038</v>
      </c>
      <c r="O137">
        <f t="shared" si="20"/>
        <v>7.5882483212854925</v>
      </c>
      <c r="P137">
        <f t="shared" si="16"/>
        <v>4.0465571869907624E-2</v>
      </c>
      <c r="S137">
        <f t="shared" si="21"/>
        <v>0.18221888389650159</v>
      </c>
    </row>
    <row r="138" spans="1:19" ht="15.75" x14ac:dyDescent="0.3">
      <c r="A138" s="20">
        <v>116</v>
      </c>
      <c r="B138" s="1">
        <v>156</v>
      </c>
      <c r="C138" s="15">
        <v>44</v>
      </c>
      <c r="D138" s="14">
        <v>0.82269146712161434</v>
      </c>
      <c r="E138" s="11">
        <v>1477</v>
      </c>
      <c r="F138" s="18">
        <v>3629</v>
      </c>
      <c r="G138">
        <f t="shared" si="17"/>
        <v>5.0498560072495371</v>
      </c>
      <c r="H138">
        <f t="shared" si="17"/>
        <v>3.784189633918261</v>
      </c>
      <c r="I138">
        <f t="shared" si="17"/>
        <v>-0.19517403665924782</v>
      </c>
      <c r="J138">
        <f t="shared" si="17"/>
        <v>7.2977682825313801</v>
      </c>
      <c r="L138">
        <f t="shared" si="18"/>
        <v>3498.0929108257001</v>
      </c>
      <c r="N138">
        <f t="shared" si="19"/>
        <v>8.1967124072130702</v>
      </c>
      <c r="O138">
        <f t="shared" si="20"/>
        <v>8.1599732163537944</v>
      </c>
      <c r="P138">
        <f t="shared" si="16"/>
        <v>1.349768144994294E-3</v>
      </c>
      <c r="S138">
        <f t="shared" si="21"/>
        <v>3.7422416302659106E-2</v>
      </c>
    </row>
    <row r="139" spans="1:19" ht="15.75" x14ac:dyDescent="0.3">
      <c r="A139" s="20">
        <v>117</v>
      </c>
      <c r="B139" s="1">
        <v>159</v>
      </c>
      <c r="C139" s="15">
        <v>41.1</v>
      </c>
      <c r="D139" s="14">
        <v>0.84155519828510184</v>
      </c>
      <c r="E139" s="11">
        <v>933</v>
      </c>
      <c r="F139" s="11">
        <v>2788</v>
      </c>
      <c r="G139">
        <f t="shared" si="17"/>
        <v>5.0689042022202315</v>
      </c>
      <c r="H139">
        <f t="shared" si="17"/>
        <v>3.7160081215021892</v>
      </c>
      <c r="I139">
        <f t="shared" si="17"/>
        <v>-0.17250367239249773</v>
      </c>
      <c r="J139">
        <f t="shared" si="17"/>
        <v>6.8384052008473439</v>
      </c>
      <c r="L139">
        <f t="shared" si="18"/>
        <v>2913.6502801413772</v>
      </c>
      <c r="N139">
        <f t="shared" si="19"/>
        <v>7.9330797718804149</v>
      </c>
      <c r="O139">
        <f t="shared" si="20"/>
        <v>7.9771619658746129</v>
      </c>
      <c r="P139">
        <f t="shared" si="16"/>
        <v>1.9432398273421057E-3</v>
      </c>
      <c r="S139">
        <f t="shared" si="21"/>
        <v>4.3124695162550637E-2</v>
      </c>
    </row>
    <row r="140" spans="1:19" ht="15.75" x14ac:dyDescent="0.3">
      <c r="A140" s="20">
        <v>118</v>
      </c>
      <c r="B140" s="1">
        <v>165</v>
      </c>
      <c r="C140" s="15">
        <v>44.3</v>
      </c>
      <c r="D140" s="14">
        <v>0.84429487179487173</v>
      </c>
      <c r="E140" s="11">
        <v>1482</v>
      </c>
      <c r="F140" s="11">
        <v>3482</v>
      </c>
      <c r="G140">
        <f t="shared" si="17"/>
        <v>5.1059454739005803</v>
      </c>
      <c r="H140">
        <f t="shared" si="17"/>
        <v>3.7909846770510898</v>
      </c>
      <c r="I140">
        <f t="shared" si="17"/>
        <v>-0.16925347123858198</v>
      </c>
      <c r="J140">
        <f t="shared" si="17"/>
        <v>7.301147805856032</v>
      </c>
      <c r="L140">
        <f t="shared" si="18"/>
        <v>3429.5938479544411</v>
      </c>
      <c r="N140">
        <f t="shared" si="19"/>
        <v>8.1553621203281352</v>
      </c>
      <c r="O140">
        <f t="shared" si="20"/>
        <v>8.1401971214736797</v>
      </c>
      <c r="P140">
        <f t="shared" si="16"/>
        <v>2.2997719025563806E-4</v>
      </c>
      <c r="S140">
        <f t="shared" si="21"/>
        <v>1.5280570927317294E-2</v>
      </c>
    </row>
    <row r="141" spans="1:19" ht="15.75" x14ac:dyDescent="0.3">
      <c r="A141" s="20">
        <v>119</v>
      </c>
      <c r="B141" s="1">
        <v>157</v>
      </c>
      <c r="C141" s="15">
        <v>42.2</v>
      </c>
      <c r="D141" s="14">
        <v>0.84965544554455452</v>
      </c>
      <c r="E141" s="11">
        <v>1010</v>
      </c>
      <c r="F141" s="11">
        <v>2976</v>
      </c>
      <c r="G141">
        <f t="shared" si="17"/>
        <v>5.0562458053483077</v>
      </c>
      <c r="H141">
        <f t="shared" si="17"/>
        <v>3.7424202210419661</v>
      </c>
      <c r="I141">
        <f t="shared" si="17"/>
        <v>-0.16292436986048908</v>
      </c>
      <c r="J141">
        <f t="shared" si="17"/>
        <v>6.9177056098353047</v>
      </c>
      <c r="L141">
        <f t="shared" si="18"/>
        <v>2995.7640664829482</v>
      </c>
      <c r="N141">
        <f t="shared" si="19"/>
        <v>7.9983353959529824</v>
      </c>
      <c r="O141">
        <f t="shared" si="20"/>
        <v>8.0049545920311811</v>
      </c>
      <c r="P141">
        <f t="shared" si="16"/>
        <v>4.3813756721641304E-5</v>
      </c>
      <c r="S141">
        <f t="shared" si="21"/>
        <v>6.5973374552661E-3</v>
      </c>
    </row>
    <row r="142" spans="1:19" ht="15.75" x14ac:dyDescent="0.3">
      <c r="A142" s="20">
        <v>120</v>
      </c>
      <c r="B142" s="1">
        <v>159</v>
      </c>
      <c r="C142" s="16">
        <v>42.44</v>
      </c>
      <c r="D142" s="14">
        <f>(811*0.799+61*1.333)/(872)</f>
        <v>0.83635550458715602</v>
      </c>
      <c r="E142" s="12">
        <v>872</v>
      </c>
      <c r="F142" s="11">
        <v>2814.6959999999999</v>
      </c>
      <c r="G142">
        <f t="shared" si="17"/>
        <v>5.0689042022202315</v>
      </c>
      <c r="H142">
        <f t="shared" si="17"/>
        <v>3.7480913137457823</v>
      </c>
      <c r="I142">
        <f t="shared" si="17"/>
        <v>-0.17870151156686892</v>
      </c>
      <c r="J142">
        <f t="shared" si="17"/>
        <v>6.7707894239089796</v>
      </c>
      <c r="L142">
        <f t="shared" si="18"/>
        <v>2854.0396429784114</v>
      </c>
      <c r="N142">
        <f t="shared" si="19"/>
        <v>7.9426095418469336</v>
      </c>
      <c r="O142">
        <f t="shared" si="20"/>
        <v>7.95649068826211</v>
      </c>
      <c r="P142">
        <f t="shared" si="16"/>
        <v>1.9268622579956626E-4</v>
      </c>
      <c r="S142">
        <f t="shared" si="21"/>
        <v>1.3785247543847478E-2</v>
      </c>
    </row>
    <row r="143" spans="1:19" ht="15.75" x14ac:dyDescent="0.3">
      <c r="A143" s="20">
        <v>121</v>
      </c>
      <c r="B143" s="1">
        <v>156</v>
      </c>
      <c r="C143" s="16">
        <v>41.48</v>
      </c>
      <c r="D143" s="14">
        <v>0.83803829145728648</v>
      </c>
      <c r="E143" s="12">
        <v>779</v>
      </c>
      <c r="F143" s="11">
        <v>2364.6959999999999</v>
      </c>
      <c r="G143">
        <f t="shared" si="17"/>
        <v>5.0498560072495371</v>
      </c>
      <c r="H143">
        <f t="shared" si="17"/>
        <v>3.7252113833613265</v>
      </c>
      <c r="I143">
        <f t="shared" si="17"/>
        <v>-0.17669148568087642</v>
      </c>
      <c r="J143">
        <f t="shared" si="17"/>
        <v>6.6580110458707482</v>
      </c>
      <c r="L143">
        <f t="shared" si="18"/>
        <v>2734.7902609776602</v>
      </c>
      <c r="N143">
        <f t="shared" si="19"/>
        <v>7.7684047514376866</v>
      </c>
      <c r="O143">
        <f t="shared" si="20"/>
        <v>7.9138100248872032</v>
      </c>
      <c r="P143">
        <f t="shared" si="16"/>
        <v>2.1142693546928694E-2</v>
      </c>
      <c r="S143">
        <f t="shared" si="21"/>
        <v>0.13532820642902074</v>
      </c>
    </row>
    <row r="144" spans="1:19" ht="15.75" x14ac:dyDescent="0.3">
      <c r="A144" s="20">
        <v>122</v>
      </c>
      <c r="B144" s="1">
        <v>165</v>
      </c>
      <c r="C144" s="15">
        <v>44</v>
      </c>
      <c r="D144" s="14">
        <v>0.87540818768020245</v>
      </c>
      <c r="E144" s="11">
        <v>1147</v>
      </c>
      <c r="F144" s="11">
        <v>2988</v>
      </c>
      <c r="G144">
        <f t="shared" si="17"/>
        <v>5.1059454739005803</v>
      </c>
      <c r="H144">
        <f t="shared" si="17"/>
        <v>3.784189633918261</v>
      </c>
      <c r="I144">
        <f t="shared" si="17"/>
        <v>-0.13306500119596956</v>
      </c>
      <c r="J144">
        <f t="shared" si="17"/>
        <v>7.0449051171293711</v>
      </c>
      <c r="L144">
        <f t="shared" si="18"/>
        <v>3076.1721477077999</v>
      </c>
      <c r="N144">
        <f t="shared" si="19"/>
        <v>8.0023595462527073</v>
      </c>
      <c r="O144">
        <f t="shared" si="20"/>
        <v>8.0314412938540372</v>
      </c>
      <c r="P144">
        <f t="shared" si="16"/>
        <v>8.4574804354745536E-4</v>
      </c>
      <c r="S144">
        <f t="shared" si="21"/>
        <v>2.8662943253517564E-2</v>
      </c>
    </row>
    <row r="145" spans="1:19" ht="15.75" x14ac:dyDescent="0.3">
      <c r="A145" s="20">
        <v>123</v>
      </c>
      <c r="B145" s="1">
        <v>158</v>
      </c>
      <c r="C145" s="15">
        <v>41.7</v>
      </c>
      <c r="D145" s="14">
        <v>0.8943024523160763</v>
      </c>
      <c r="E145" s="11">
        <v>734</v>
      </c>
      <c r="F145" s="11">
        <v>2327</v>
      </c>
      <c r="G145">
        <f t="shared" si="17"/>
        <v>5.0625950330269669</v>
      </c>
      <c r="H145">
        <f t="shared" si="17"/>
        <v>3.730501128804756</v>
      </c>
      <c r="I145">
        <f t="shared" si="17"/>
        <v>-0.11171124747109074</v>
      </c>
      <c r="J145">
        <f t="shared" si="17"/>
        <v>6.5985090286145152</v>
      </c>
      <c r="L145">
        <f t="shared" si="18"/>
        <v>2584.3964908484108</v>
      </c>
      <c r="N145">
        <f t="shared" si="19"/>
        <v>7.7523351633022921</v>
      </c>
      <c r="O145">
        <f t="shared" si="20"/>
        <v>7.8572472938624767</v>
      </c>
      <c r="P145">
        <f t="shared" si="16"/>
        <v>1.100655513867721E-2</v>
      </c>
      <c r="S145">
        <f t="shared" si="21"/>
        <v>9.959636292646111E-2</v>
      </c>
    </row>
    <row r="146" spans="1:19" ht="15.75" x14ac:dyDescent="0.3">
      <c r="A146" s="20">
        <v>124</v>
      </c>
      <c r="B146" s="1">
        <v>161</v>
      </c>
      <c r="C146" s="15">
        <v>45.2</v>
      </c>
      <c r="D146" s="14">
        <v>0.83407938415369509</v>
      </c>
      <c r="E146" s="11">
        <v>1908</v>
      </c>
      <c r="F146" s="11">
        <v>3841.6959999999999</v>
      </c>
      <c r="G146">
        <f t="shared" si="17"/>
        <v>5.0814043649844631</v>
      </c>
      <c r="H146">
        <f t="shared" si="17"/>
        <v>3.8110970868381857</v>
      </c>
      <c r="I146">
        <f t="shared" si="17"/>
        <v>-0.18142669631661454</v>
      </c>
      <c r="J146">
        <f t="shared" si="17"/>
        <v>7.5538108520082314</v>
      </c>
      <c r="L146">
        <f t="shared" si="18"/>
        <v>3775.0989080654404</v>
      </c>
      <c r="N146">
        <f t="shared" si="19"/>
        <v>8.2536692147424269</v>
      </c>
      <c r="O146">
        <f t="shared" si="20"/>
        <v>8.2361818621519269</v>
      </c>
      <c r="P146">
        <f t="shared" si="16"/>
        <v>3.0580750062446491E-4</v>
      </c>
      <c r="S146">
        <f t="shared" si="21"/>
        <v>1.764115154500347E-2</v>
      </c>
    </row>
    <row r="147" spans="1:19" ht="15.75" x14ac:dyDescent="0.3">
      <c r="A147" s="20">
        <v>125</v>
      </c>
      <c r="B147" s="1">
        <v>175</v>
      </c>
      <c r="C147" s="15">
        <v>45.4</v>
      </c>
      <c r="D147" s="14">
        <v>0.84904356846473017</v>
      </c>
      <c r="E147" s="11">
        <v>1446</v>
      </c>
      <c r="F147" s="12">
        <v>3452</v>
      </c>
      <c r="G147">
        <f t="shared" si="17"/>
        <v>5.1647859739235145</v>
      </c>
      <c r="H147">
        <f t="shared" si="17"/>
        <v>3.8155121050473024</v>
      </c>
      <c r="I147">
        <f t="shared" si="17"/>
        <v>-0.16364477659675153</v>
      </c>
      <c r="J147">
        <f t="shared" si="17"/>
        <v>7.2765564027187102</v>
      </c>
      <c r="L147">
        <f t="shared" si="18"/>
        <v>3366.9356610783038</v>
      </c>
      <c r="N147">
        <f t="shared" si="19"/>
        <v>8.1467090522033185</v>
      </c>
      <c r="O147">
        <f t="shared" si="20"/>
        <v>8.1217583102996489</v>
      </c>
      <c r="P147">
        <f t="shared" si="16"/>
        <v>6.2253952154353598E-4</v>
      </c>
      <c r="S147">
        <f t="shared" si="21"/>
        <v>2.5264616697324483E-2</v>
      </c>
    </row>
    <row r="148" spans="1:19" ht="15.75" x14ac:dyDescent="0.3">
      <c r="A148" s="20">
        <v>126</v>
      </c>
      <c r="B148" s="1">
        <v>183</v>
      </c>
      <c r="C148" s="16">
        <v>43.58</v>
      </c>
      <c r="D148" s="13">
        <v>0.88906403013182678</v>
      </c>
      <c r="E148" s="11">
        <v>1062</v>
      </c>
      <c r="F148" s="11">
        <v>2774.6959999999999</v>
      </c>
      <c r="G148">
        <f t="shared" si="17"/>
        <v>5.2094861528414214</v>
      </c>
      <c r="H148">
        <f t="shared" si="17"/>
        <v>3.7745983295164738</v>
      </c>
      <c r="I148">
        <f t="shared" si="17"/>
        <v>-0.11758602116670748</v>
      </c>
      <c r="J148">
        <f t="shared" si="17"/>
        <v>6.9679092018018842</v>
      </c>
      <c r="L148">
        <f t="shared" si="18"/>
        <v>2924.7571424849511</v>
      </c>
      <c r="N148">
        <f t="shared" si="19"/>
        <v>7.928296470629995</v>
      </c>
      <c r="O148">
        <f t="shared" si="20"/>
        <v>7.9809667280086511</v>
      </c>
      <c r="P148">
        <f t="shared" si="16"/>
        <v>2.7741560123338838E-3</v>
      </c>
      <c r="S148">
        <f t="shared" si="21"/>
        <v>5.1307214641915642E-2</v>
      </c>
    </row>
    <row r="149" spans="1:19" ht="15.75" x14ac:dyDescent="0.3">
      <c r="A149" s="20">
        <v>127</v>
      </c>
      <c r="B149" s="1">
        <v>180</v>
      </c>
      <c r="C149" s="16">
        <v>44.1</v>
      </c>
      <c r="D149" s="14">
        <f>(923*0.844+105*1.292)/1028</f>
        <v>0.88975875486381317</v>
      </c>
      <c r="E149" s="11">
        <v>1028</v>
      </c>
      <c r="F149" s="11">
        <v>2737</v>
      </c>
      <c r="G149">
        <f t="shared" si="17"/>
        <v>5.1929568508902104</v>
      </c>
      <c r="H149">
        <f t="shared" si="17"/>
        <v>3.7864597824528001</v>
      </c>
      <c r="I149">
        <f t="shared" si="17"/>
        <v>-0.1168049149506539</v>
      </c>
      <c r="J149">
        <f t="shared" si="17"/>
        <v>6.93537044601511</v>
      </c>
      <c r="L149">
        <f t="shared" si="18"/>
        <v>2897.5446115854434</v>
      </c>
      <c r="N149">
        <f t="shared" si="19"/>
        <v>7.9146177090406793</v>
      </c>
      <c r="O149">
        <f t="shared" si="20"/>
        <v>7.9716189716736183</v>
      </c>
      <c r="P149">
        <f t="shared" si="16"/>
        <v>3.2491439417492917E-3</v>
      </c>
      <c r="S149">
        <f t="shared" si="21"/>
        <v>5.5407123308309825E-2</v>
      </c>
    </row>
    <row r="150" spans="1:19" ht="15.75" x14ac:dyDescent="0.3">
      <c r="A150" s="20">
        <v>128</v>
      </c>
      <c r="B150" s="1">
        <v>190</v>
      </c>
      <c r="C150" s="16">
        <v>42.1</v>
      </c>
      <c r="D150" s="13">
        <v>0.89860640942942094</v>
      </c>
      <c r="E150" s="11">
        <v>875.9778633928637</v>
      </c>
      <c r="F150" s="11">
        <v>2665</v>
      </c>
      <c r="G150">
        <f t="shared" si="17"/>
        <v>5.2470240721604862</v>
      </c>
      <c r="H150">
        <f t="shared" si="17"/>
        <v>3.7400477406883357</v>
      </c>
      <c r="I150">
        <f t="shared" si="17"/>
        <v>-0.10691014968798396</v>
      </c>
      <c r="J150">
        <f t="shared" si="17"/>
        <v>6.7753408205176262</v>
      </c>
      <c r="L150">
        <f t="shared" si="18"/>
        <v>2690.9446804717732</v>
      </c>
      <c r="N150">
        <f t="shared" si="19"/>
        <v>7.8879593365999447</v>
      </c>
      <c r="O150">
        <f t="shared" si="20"/>
        <v>7.8976475932773171</v>
      </c>
      <c r="P150">
        <f t="shared" si="16"/>
        <v>9.3862317446650635E-5</v>
      </c>
      <c r="S150">
        <f t="shared" si="21"/>
        <v>9.6414767126407688E-3</v>
      </c>
    </row>
    <row r="151" spans="1:19" ht="15.75" x14ac:dyDescent="0.3">
      <c r="A151" s="20">
        <v>129</v>
      </c>
      <c r="B151" s="1">
        <v>180</v>
      </c>
      <c r="C151" s="16">
        <v>40.200000000000003</v>
      </c>
      <c r="D151" s="13">
        <v>0.91390951743438698</v>
      </c>
      <c r="E151" s="11">
        <v>878.71586985293175</v>
      </c>
      <c r="F151" s="11">
        <v>2665</v>
      </c>
      <c r="G151">
        <f t="shared" ref="G151:J160" si="22">LN(B151)</f>
        <v>5.1929568508902104</v>
      </c>
      <c r="H151">
        <f t="shared" si="22"/>
        <v>3.6938669956249757</v>
      </c>
      <c r="I151">
        <f t="shared" si="22"/>
        <v>-9.0023708670903493E-2</v>
      </c>
      <c r="J151">
        <f t="shared" si="22"/>
        <v>6.7784616029429312</v>
      </c>
      <c r="L151">
        <f t="shared" ref="L151:L176" si="23">EXP((_C1_exp16+_C2_exp16*G151)*(_C3_exp16+_C4_exp16*H151)*(_C5_exp16+_C6_exp16*J151)*(_C7_exp16+_C8_exp16*I151)/((d1_exp16+d2_exp16*G151)*(d3_exp16+d4_exp16*H151)*(d5_exp16+d6_exp16*J151)*(d7_exp16+d8_exp16*I151)))</f>
        <v>2685.3447484462245</v>
      </c>
      <c r="N151">
        <f t="shared" ref="N151:N176" si="24">LN(F151)</f>
        <v>7.8879593365999447</v>
      </c>
      <c r="O151">
        <f t="shared" ref="O151:O176" si="25">LN(L151)</f>
        <v>7.8955643966322109</v>
      </c>
      <c r="P151">
        <f t="shared" si="16"/>
        <v>5.7836938094371728E-5</v>
      </c>
      <c r="S151">
        <f t="shared" ref="S151:S160" si="26">ABS((F151-L151)/L151)</f>
        <v>7.5762147329486076E-3</v>
      </c>
    </row>
    <row r="152" spans="1:19" ht="15.75" x14ac:dyDescent="0.3">
      <c r="A152" s="20">
        <v>130</v>
      </c>
      <c r="B152" s="1">
        <v>175</v>
      </c>
      <c r="C152" s="16">
        <v>39.619999999999997</v>
      </c>
      <c r="D152" s="13">
        <v>0.91801860641097199</v>
      </c>
      <c r="E152" s="11">
        <v>893.50580230451294</v>
      </c>
      <c r="F152" s="11">
        <v>2765</v>
      </c>
      <c r="G152">
        <f t="shared" si="22"/>
        <v>5.1647859739235145</v>
      </c>
      <c r="H152">
        <f t="shared" si="22"/>
        <v>3.6793340412704048</v>
      </c>
      <c r="I152">
        <f t="shared" si="22"/>
        <v>-8.5537620145510154E-2</v>
      </c>
      <c r="J152">
        <f t="shared" si="22"/>
        <v>6.7951528284838396</v>
      </c>
      <c r="L152">
        <f t="shared" si="23"/>
        <v>2704.6575091103796</v>
      </c>
      <c r="N152">
        <f t="shared" si="24"/>
        <v>7.9247959139564355</v>
      </c>
      <c r="O152">
        <f t="shared" si="25"/>
        <v>7.9027305692570984</v>
      </c>
      <c r="P152">
        <f t="shared" ref="P152:P160" si="27">(N152-O152)^2</f>
        <v>4.8687943670056277E-4</v>
      </c>
      <c r="S152">
        <f t="shared" si="26"/>
        <v>2.2310584865685407E-2</v>
      </c>
    </row>
    <row r="153" spans="1:19" ht="15.75" x14ac:dyDescent="0.3">
      <c r="A153" s="20">
        <v>131</v>
      </c>
      <c r="B153" s="1">
        <v>125</v>
      </c>
      <c r="C153" s="16">
        <v>37.68</v>
      </c>
      <c r="D153" s="13">
        <v>1.0250941951674821</v>
      </c>
      <c r="E153" s="11">
        <v>819.2574068129552</v>
      </c>
      <c r="F153" s="11">
        <v>2665</v>
      </c>
      <c r="G153">
        <f t="shared" si="22"/>
        <v>4.8283137373023015</v>
      </c>
      <c r="H153">
        <f t="shared" si="22"/>
        <v>3.6291294497081621</v>
      </c>
      <c r="I153">
        <f t="shared" si="22"/>
        <v>2.4784506092407114E-2</v>
      </c>
      <c r="J153">
        <f t="shared" si="22"/>
        <v>6.7083983285059583</v>
      </c>
      <c r="L153">
        <f t="shared" si="23"/>
        <v>2593.837688694412</v>
      </c>
      <c r="N153">
        <f t="shared" si="24"/>
        <v>7.8879593365999447</v>
      </c>
      <c r="O153">
        <f t="shared" si="25"/>
        <v>7.8608937910969532</v>
      </c>
      <c r="P153">
        <f t="shared" si="27"/>
        <v>7.3254375337450676E-4</v>
      </c>
      <c r="S153">
        <f t="shared" si="26"/>
        <v>2.7435144309822634E-2</v>
      </c>
    </row>
    <row r="154" spans="1:19" ht="15.75" x14ac:dyDescent="0.3">
      <c r="A154" s="20">
        <v>132</v>
      </c>
      <c r="B154" s="1">
        <v>152</v>
      </c>
      <c r="C154" s="16">
        <v>41.82</v>
      </c>
      <c r="D154" s="13">
        <v>0.88702597887453039</v>
      </c>
      <c r="E154" s="11">
        <v>1014.8050338327058</v>
      </c>
      <c r="F154" s="11">
        <v>2865</v>
      </c>
      <c r="G154">
        <f t="shared" si="22"/>
        <v>5.0238805208462765</v>
      </c>
      <c r="H154">
        <f t="shared" si="22"/>
        <v>3.7333746940004877</v>
      </c>
      <c r="I154">
        <f t="shared" si="22"/>
        <v>-0.11988100862960711</v>
      </c>
      <c r="J154">
        <f t="shared" si="22"/>
        <v>6.9224517881313359</v>
      </c>
      <c r="L154">
        <f t="shared" si="23"/>
        <v>2949.2456425969076</v>
      </c>
      <c r="N154">
        <f t="shared" si="24"/>
        <v>7.9603236291488395</v>
      </c>
      <c r="O154">
        <f t="shared" si="25"/>
        <v>7.9893047022594406</v>
      </c>
      <c r="P154">
        <f t="shared" si="27"/>
        <v>8.3990259864200338E-4</v>
      </c>
      <c r="S154">
        <f t="shared" si="26"/>
        <v>2.8565149467416538E-2</v>
      </c>
    </row>
    <row r="155" spans="1:19" ht="15.75" x14ac:dyDescent="0.3">
      <c r="A155" s="20">
        <v>133</v>
      </c>
      <c r="B155" s="1">
        <v>155</v>
      </c>
      <c r="C155" s="16">
        <v>41.4</v>
      </c>
      <c r="D155" s="13">
        <v>0.91363998027137561</v>
      </c>
      <c r="E155" s="11">
        <v>1316.8520531613119</v>
      </c>
      <c r="F155" s="11">
        <v>3265</v>
      </c>
      <c r="G155">
        <f t="shared" si="22"/>
        <v>5.0434251169192468</v>
      </c>
      <c r="H155">
        <f t="shared" si="22"/>
        <v>3.7232808808312687</v>
      </c>
      <c r="I155">
        <f t="shared" si="22"/>
        <v>-9.0318679795137399E-2</v>
      </c>
      <c r="J155">
        <f t="shared" si="22"/>
        <v>7.1829993591850378</v>
      </c>
      <c r="L155">
        <f t="shared" si="23"/>
        <v>3180.2278911291123</v>
      </c>
      <c r="N155">
        <f t="shared" si="24"/>
        <v>8.0910150417105307</v>
      </c>
      <c r="O155">
        <f t="shared" si="25"/>
        <v>8.0647081370835689</v>
      </c>
      <c r="P155">
        <f t="shared" si="27"/>
        <v>6.9205323105206017E-4</v>
      </c>
      <c r="S155">
        <f t="shared" si="26"/>
        <v>2.6655985600072853E-2</v>
      </c>
    </row>
    <row r="156" spans="1:19" ht="15.75" x14ac:dyDescent="0.3">
      <c r="A156" s="20">
        <v>134</v>
      </c>
      <c r="B156" s="1">
        <v>159</v>
      </c>
      <c r="C156" s="16">
        <v>44.21</v>
      </c>
      <c r="D156" s="13">
        <v>0.86290875140960577</v>
      </c>
      <c r="E156" s="11">
        <v>1309.5712971320097</v>
      </c>
      <c r="F156" s="11">
        <v>3165</v>
      </c>
      <c r="G156">
        <f t="shared" si="22"/>
        <v>5.0689042022202315</v>
      </c>
      <c r="H156">
        <f t="shared" si="22"/>
        <v>3.7889510078381519</v>
      </c>
      <c r="I156">
        <f t="shared" si="22"/>
        <v>-0.14744632766091231</v>
      </c>
      <c r="J156">
        <f t="shared" si="22"/>
        <v>7.1774551085381875</v>
      </c>
      <c r="L156">
        <f t="shared" si="23"/>
        <v>3265.7994951796541</v>
      </c>
      <c r="N156">
        <f t="shared" si="24"/>
        <v>8.0599083345782763</v>
      </c>
      <c r="O156">
        <f t="shared" si="25"/>
        <v>8.0912598800903464</v>
      </c>
      <c r="P156">
        <f t="shared" si="27"/>
        <v>9.8291940599540208E-4</v>
      </c>
      <c r="S156">
        <f t="shared" si="26"/>
        <v>3.0865181811815121E-2</v>
      </c>
    </row>
    <row r="157" spans="1:19" ht="15.75" x14ac:dyDescent="0.3">
      <c r="A157" s="20">
        <v>135</v>
      </c>
      <c r="B157" s="1">
        <v>155</v>
      </c>
      <c r="C157" s="16">
        <v>40.6</v>
      </c>
      <c r="D157" s="13">
        <v>0.90748600249209299</v>
      </c>
      <c r="E157" s="11">
        <v>1255.9824334889472</v>
      </c>
      <c r="F157" s="11">
        <v>3215</v>
      </c>
      <c r="G157">
        <f t="shared" si="22"/>
        <v>5.0434251169192468</v>
      </c>
      <c r="H157">
        <f t="shared" si="22"/>
        <v>3.7037680666076871</v>
      </c>
      <c r="I157">
        <f t="shared" si="22"/>
        <v>-9.7077137213223391E-2</v>
      </c>
      <c r="J157">
        <f t="shared" si="22"/>
        <v>7.1356733608546588</v>
      </c>
      <c r="L157">
        <f t="shared" si="23"/>
        <v>3135.0766316270988</v>
      </c>
      <c r="N157">
        <f t="shared" si="24"/>
        <v>8.0755826366717205</v>
      </c>
      <c r="O157">
        <f t="shared" si="25"/>
        <v>8.0504088966684648</v>
      </c>
      <c r="P157">
        <f t="shared" si="27"/>
        <v>6.3371718575151498E-4</v>
      </c>
      <c r="S157">
        <f t="shared" si="26"/>
        <v>2.5493274252572622E-2</v>
      </c>
    </row>
    <row r="158" spans="1:19" ht="15.75" x14ac:dyDescent="0.3">
      <c r="A158" s="20">
        <v>136</v>
      </c>
      <c r="B158" s="1">
        <v>188</v>
      </c>
      <c r="C158" s="15">
        <v>45.1</v>
      </c>
      <c r="D158" s="14">
        <v>0.9249433431781553</v>
      </c>
      <c r="E158" s="11">
        <v>1662.9066039752083</v>
      </c>
      <c r="F158" s="11">
        <v>3259</v>
      </c>
      <c r="G158">
        <f t="shared" si="22"/>
        <v>5.2364419628299492</v>
      </c>
      <c r="H158">
        <f t="shared" si="22"/>
        <v>3.8088822465086327</v>
      </c>
      <c r="I158">
        <f t="shared" si="22"/>
        <v>-7.802279396381806E-2</v>
      </c>
      <c r="J158">
        <f t="shared" si="22"/>
        <v>7.4163223164463821</v>
      </c>
      <c r="L158">
        <f t="shared" si="23"/>
        <v>3346.2731908067067</v>
      </c>
      <c r="N158">
        <f t="shared" si="24"/>
        <v>8.0891756788375613</v>
      </c>
      <c r="O158">
        <f t="shared" si="25"/>
        <v>8.1156025251973105</v>
      </c>
      <c r="P158">
        <f t="shared" si="27"/>
        <v>6.9837820852179135E-4</v>
      </c>
      <c r="S158">
        <f t="shared" si="26"/>
        <v>2.6080713029191498E-2</v>
      </c>
    </row>
    <row r="159" spans="1:19" ht="15.75" x14ac:dyDescent="0.3">
      <c r="A159" s="20">
        <v>137</v>
      </c>
      <c r="B159" s="1">
        <v>147</v>
      </c>
      <c r="C159" s="15">
        <v>41.9</v>
      </c>
      <c r="D159" s="14">
        <v>0.92190427125757779</v>
      </c>
      <c r="E159" s="11">
        <v>926.67416705051619</v>
      </c>
      <c r="F159" s="11">
        <v>2290</v>
      </c>
      <c r="G159">
        <f t="shared" si="22"/>
        <v>4.990432586778736</v>
      </c>
      <c r="H159">
        <f t="shared" si="22"/>
        <v>3.735285826928092</v>
      </c>
      <c r="I159">
        <f t="shared" si="22"/>
        <v>-8.1313888085405683E-2</v>
      </c>
      <c r="J159">
        <f t="shared" si="22"/>
        <v>6.8316020119232235</v>
      </c>
      <c r="L159">
        <f t="shared" si="23"/>
        <v>2811.4230222651572</v>
      </c>
      <c r="N159">
        <f t="shared" si="24"/>
        <v>7.736307096548285</v>
      </c>
      <c r="O159">
        <f t="shared" si="25"/>
        <v>7.9414460477611835</v>
      </c>
      <c r="P159">
        <f t="shared" si="27"/>
        <v>4.2081989304727944E-2</v>
      </c>
      <c r="S159">
        <f t="shared" si="26"/>
        <v>0.18546587195727232</v>
      </c>
    </row>
    <row r="160" spans="1:19" ht="15.75" x14ac:dyDescent="0.3">
      <c r="A160" s="20">
        <v>138</v>
      </c>
      <c r="B160" s="1">
        <v>189</v>
      </c>
      <c r="C160" s="15">
        <v>45.1</v>
      </c>
      <c r="D160" s="14">
        <v>0.90878470942589007</v>
      </c>
      <c r="E160" s="11">
        <v>1669.824655779699</v>
      </c>
      <c r="F160" s="11">
        <v>3478</v>
      </c>
      <c r="G160">
        <f t="shared" si="22"/>
        <v>5.2417470150596426</v>
      </c>
      <c r="H160">
        <f t="shared" si="22"/>
        <v>3.8088822465086327</v>
      </c>
      <c r="I160">
        <f t="shared" si="22"/>
        <v>-9.5647056172318196E-2</v>
      </c>
      <c r="J160">
        <f t="shared" si="22"/>
        <v>7.4204739033591762</v>
      </c>
      <c r="L160">
        <f t="shared" si="23"/>
        <v>3378.195536232945</v>
      </c>
      <c r="N160">
        <f t="shared" si="24"/>
        <v>8.1542126949142286</v>
      </c>
      <c r="O160">
        <f t="shared" si="25"/>
        <v>8.1250969809005564</v>
      </c>
      <c r="P160">
        <f t="shared" si="27"/>
        <v>8.4772480252594707E-4</v>
      </c>
      <c r="S160">
        <f t="shared" si="26"/>
        <v>2.9543720218856206E-2</v>
      </c>
    </row>
    <row r="161" spans="2:19" ht="15.75" x14ac:dyDescent="0.3">
      <c r="B161" s="1">
        <v>161</v>
      </c>
      <c r="C161" s="15">
        <v>42.825489712948126</v>
      </c>
      <c r="D161" s="13">
        <v>0.92547543459989179</v>
      </c>
      <c r="E161" s="11">
        <v>1078.8275574104816</v>
      </c>
      <c r="F161" s="11">
        <v>2656.22</v>
      </c>
      <c r="G161">
        <f t="shared" ref="G161:G176" si="28">LN(B161)</f>
        <v>5.0814043649844631</v>
      </c>
      <c r="H161">
        <f t="shared" ref="H161:H176" si="29">LN(C161)</f>
        <v>3.7571334793566673</v>
      </c>
      <c r="I161">
        <f t="shared" ref="I161:I176" si="30">LN(D161)</f>
        <v>-7.7447690162676427E-2</v>
      </c>
      <c r="J161">
        <f t="shared" ref="J161:J176" si="31">LN(E161)</f>
        <v>6.983630135442918</v>
      </c>
      <c r="L161">
        <f t="shared" si="23"/>
        <v>2932.9711080030829</v>
      </c>
      <c r="N161">
        <f t="shared" si="24"/>
        <v>7.8846593384913009</v>
      </c>
      <c r="O161">
        <f t="shared" si="25"/>
        <v>7.9837712182651357</v>
      </c>
      <c r="P161">
        <f t="shared" ref="P161:P176" si="32">(N161-O161)^2</f>
        <v>9.8231647123030921E-3</v>
      </c>
      <c r="S161">
        <f t="shared" ref="S161:S176" si="33">ABS((F161-L161)/L161)</f>
        <v>9.4358620597360554E-2</v>
      </c>
    </row>
    <row r="162" spans="2:19" ht="15.75" x14ac:dyDescent="0.3">
      <c r="B162" s="1">
        <v>165</v>
      </c>
      <c r="C162" s="16">
        <v>37.130000000000003</v>
      </c>
      <c r="D162" s="14">
        <v>0.92645137195121963</v>
      </c>
      <c r="E162" s="11">
        <v>656</v>
      </c>
      <c r="F162" s="11">
        <v>2265</v>
      </c>
      <c r="G162">
        <f t="shared" si="28"/>
        <v>5.1059454739005803</v>
      </c>
      <c r="H162">
        <f t="shared" si="29"/>
        <v>3.6144252681889886</v>
      </c>
      <c r="I162">
        <f t="shared" si="30"/>
        <v>-7.6393720385664693E-2</v>
      </c>
      <c r="J162">
        <f t="shared" si="31"/>
        <v>6.4861607889440887</v>
      </c>
      <c r="L162">
        <f t="shared" si="23"/>
        <v>2401.7853835558235</v>
      </c>
      <c r="N162">
        <f t="shared" si="24"/>
        <v>7.7253300379171348</v>
      </c>
      <c r="O162">
        <f t="shared" si="25"/>
        <v>7.7839676495872077</v>
      </c>
      <c r="P162">
        <f t="shared" si="32"/>
        <v>3.4383695023702653E-3</v>
      </c>
      <c r="S162">
        <f t="shared" si="33"/>
        <v>5.6951543003111241E-2</v>
      </c>
    </row>
    <row r="163" spans="2:19" ht="15.75" x14ac:dyDescent="0.3">
      <c r="B163" s="1">
        <v>280</v>
      </c>
      <c r="C163" s="6">
        <v>43.3</v>
      </c>
      <c r="D163" s="7">
        <v>0.87214580467675373</v>
      </c>
      <c r="E163" s="17">
        <v>1454</v>
      </c>
      <c r="F163" s="1">
        <v>3280</v>
      </c>
      <c r="G163">
        <f t="shared" si="28"/>
        <v>5.6347896031692493</v>
      </c>
      <c r="H163">
        <f t="shared" si="29"/>
        <v>3.7681526350084442</v>
      </c>
      <c r="I163">
        <f t="shared" si="30"/>
        <v>-0.1367986618526108</v>
      </c>
      <c r="J163">
        <f t="shared" si="31"/>
        <v>7.2820736580934646</v>
      </c>
      <c r="L163">
        <f t="shared" si="23"/>
        <v>3110.7674157713268</v>
      </c>
      <c r="N163">
        <f t="shared" si="24"/>
        <v>8.09559870137819</v>
      </c>
      <c r="O163">
        <f t="shared" si="25"/>
        <v>8.0426247322164013</v>
      </c>
      <c r="P163">
        <f t="shared" si="32"/>
        <v>2.8062414087541465E-3</v>
      </c>
      <c r="S163">
        <f t="shared" si="33"/>
        <v>5.4402197789098071E-2</v>
      </c>
    </row>
    <row r="164" spans="2:19" ht="15.75" x14ac:dyDescent="0.3">
      <c r="B164" s="1">
        <v>270</v>
      </c>
      <c r="C164" s="6">
        <v>44.4</v>
      </c>
      <c r="D164" s="7">
        <v>0.9681445936820593</v>
      </c>
      <c r="E164" s="17">
        <v>2205.9741313164527</v>
      </c>
      <c r="F164" s="1">
        <v>3722</v>
      </c>
      <c r="G164">
        <f t="shared" si="28"/>
        <v>5.598421958998375</v>
      </c>
      <c r="H164">
        <f t="shared" si="29"/>
        <v>3.7932394694381792</v>
      </c>
      <c r="I164">
        <f t="shared" si="30"/>
        <v>-3.2373829222200126E-2</v>
      </c>
      <c r="J164">
        <f t="shared" si="31"/>
        <v>7.6989244732335642</v>
      </c>
      <c r="L164">
        <f t="shared" si="23"/>
        <v>3407.2281278734922</v>
      </c>
      <c r="N164">
        <f t="shared" si="24"/>
        <v>8.2220164372021962</v>
      </c>
      <c r="O164">
        <f t="shared" si="25"/>
        <v>8.1336543739968263</v>
      </c>
      <c r="P164">
        <f t="shared" si="32"/>
        <v>7.8078542139097817E-3</v>
      </c>
      <c r="S164">
        <f t="shared" si="33"/>
        <v>9.2383562330756577E-2</v>
      </c>
    </row>
    <row r="165" spans="2:19" ht="15.75" x14ac:dyDescent="0.3">
      <c r="B165" s="1">
        <v>270</v>
      </c>
      <c r="C165" s="6">
        <v>44.2</v>
      </c>
      <c r="D165" s="7">
        <v>0.98172449597075817</v>
      </c>
      <c r="E165" s="17">
        <v>2185.1652241112824</v>
      </c>
      <c r="F165" s="1">
        <v>3697</v>
      </c>
      <c r="G165">
        <f t="shared" si="28"/>
        <v>5.598421958998375</v>
      </c>
      <c r="H165">
        <f t="shared" si="29"/>
        <v>3.7887247890836524</v>
      </c>
      <c r="I165">
        <f t="shared" si="30"/>
        <v>-1.8444563991571971E-2</v>
      </c>
      <c r="J165">
        <f t="shared" si="31"/>
        <v>7.68944672211307</v>
      </c>
      <c r="L165">
        <f t="shared" si="23"/>
        <v>3372.7746117849629</v>
      </c>
      <c r="N165">
        <f t="shared" si="24"/>
        <v>8.2152769589366326</v>
      </c>
      <c r="O165">
        <f t="shared" si="25"/>
        <v>8.1234910115378618</v>
      </c>
      <c r="P165">
        <f t="shared" si="32"/>
        <v>8.4246601398899144E-3</v>
      </c>
      <c r="S165">
        <f t="shared" si="33"/>
        <v>9.6130167453866225E-2</v>
      </c>
    </row>
    <row r="166" spans="2:19" ht="15.75" x14ac:dyDescent="0.3">
      <c r="B166" s="1">
        <v>270</v>
      </c>
      <c r="C166" s="6">
        <v>41.8</v>
      </c>
      <c r="D166" s="7">
        <v>0.97099999999999997</v>
      </c>
      <c r="E166" s="17">
        <v>1317.9111629386198</v>
      </c>
      <c r="F166" s="1">
        <v>3066</v>
      </c>
      <c r="G166">
        <f t="shared" si="28"/>
        <v>5.598421958998375</v>
      </c>
      <c r="H166">
        <f t="shared" si="29"/>
        <v>3.7328963395307104</v>
      </c>
      <c r="I166">
        <f t="shared" si="30"/>
        <v>-2.9428810690812168E-2</v>
      </c>
      <c r="J166">
        <f t="shared" si="31"/>
        <v>7.1838033098610463</v>
      </c>
      <c r="L166">
        <f t="shared" si="23"/>
        <v>2860.8043231993529</v>
      </c>
      <c r="N166">
        <f t="shared" si="24"/>
        <v>8.0281290594317589</v>
      </c>
      <c r="O166">
        <f t="shared" si="25"/>
        <v>7.9588580961635094</v>
      </c>
      <c r="P166">
        <f t="shared" si="32"/>
        <v>4.7984663521111791E-3</v>
      </c>
      <c r="S166">
        <f t="shared" si="33"/>
        <v>7.1726568341860059E-2</v>
      </c>
    </row>
    <row r="167" spans="2:19" ht="15.75" x14ac:dyDescent="0.3">
      <c r="B167" s="1">
        <v>270</v>
      </c>
      <c r="C167" s="6">
        <v>42.5</v>
      </c>
      <c r="D167" s="7">
        <v>0.99283819657972716</v>
      </c>
      <c r="E167" s="17">
        <v>1300.3197900526727</v>
      </c>
      <c r="F167" s="1">
        <v>2944</v>
      </c>
      <c r="G167">
        <f t="shared" si="28"/>
        <v>5.598421958998375</v>
      </c>
      <c r="H167">
        <f t="shared" si="29"/>
        <v>3.7495040759303713</v>
      </c>
      <c r="I167">
        <f t="shared" si="30"/>
        <v>-7.187572242257083E-3</v>
      </c>
      <c r="J167">
        <f t="shared" si="31"/>
        <v>7.1703655055466813</v>
      </c>
      <c r="L167">
        <f t="shared" si="23"/>
        <v>2819.3424598004044</v>
      </c>
      <c r="N167">
        <f t="shared" si="24"/>
        <v>7.9875244798487666</v>
      </c>
      <c r="O167">
        <f t="shared" si="25"/>
        <v>7.9442589664601977</v>
      </c>
      <c r="P167">
        <f t="shared" si="32"/>
        <v>1.8719046487764327E-3</v>
      </c>
      <c r="S167">
        <f t="shared" si="33"/>
        <v>4.4215111139219582E-2</v>
      </c>
    </row>
    <row r="168" spans="2:19" ht="15.75" x14ac:dyDescent="0.3">
      <c r="B168" s="1">
        <v>270</v>
      </c>
      <c r="C168" s="6">
        <v>42.6</v>
      </c>
      <c r="D168" s="7">
        <v>0.95694427106172286</v>
      </c>
      <c r="E168" s="17">
        <v>1220.3824306769673</v>
      </c>
      <c r="F168" s="1">
        <v>2923</v>
      </c>
      <c r="G168">
        <f t="shared" si="28"/>
        <v>5.598421958998375</v>
      </c>
      <c r="H168">
        <f t="shared" si="29"/>
        <v>3.751854253275325</v>
      </c>
      <c r="I168">
        <f t="shared" si="30"/>
        <v>-4.4010122180144676E-2</v>
      </c>
      <c r="J168">
        <f t="shared" si="31"/>
        <v>7.1069195563745522</v>
      </c>
      <c r="L168">
        <f t="shared" si="23"/>
        <v>2807.9411739443922</v>
      </c>
      <c r="N168">
        <f t="shared" si="24"/>
        <v>7.9803657651112463</v>
      </c>
      <c r="O168">
        <f t="shared" si="25"/>
        <v>7.9402068154762562</v>
      </c>
      <c r="P168">
        <f t="shared" si="32"/>
        <v>1.6127412357856727E-3</v>
      </c>
      <c r="S168">
        <f t="shared" si="33"/>
        <v>4.0976223833771253E-2</v>
      </c>
    </row>
    <row r="169" spans="2:19" ht="15.75" x14ac:dyDescent="0.3">
      <c r="B169" s="1">
        <v>270</v>
      </c>
      <c r="C169" s="6">
        <v>46.088188442211049</v>
      </c>
      <c r="D169" s="7">
        <v>0.91100000000000003</v>
      </c>
      <c r="E169" s="17">
        <v>2716.0284119008852</v>
      </c>
      <c r="F169" s="1">
        <v>3789</v>
      </c>
      <c r="G169">
        <f t="shared" si="28"/>
        <v>5.598421958998375</v>
      </c>
      <c r="H169">
        <f t="shared" si="29"/>
        <v>3.8305567011695763</v>
      </c>
      <c r="I169">
        <f t="shared" si="30"/>
        <v>-9.3212381722178703E-2</v>
      </c>
      <c r="J169">
        <f t="shared" si="31"/>
        <v>7.9069259495593966</v>
      </c>
      <c r="L169">
        <f t="shared" si="23"/>
        <v>3755.6370947456066</v>
      </c>
      <c r="N169">
        <f t="shared" si="24"/>
        <v>8.2398574110186011</v>
      </c>
      <c r="O169">
        <f t="shared" si="25"/>
        <v>8.2310132155178497</v>
      </c>
      <c r="P169">
        <f t="shared" si="32"/>
        <v>7.8219794055512008E-5</v>
      </c>
      <c r="S169">
        <f t="shared" si="33"/>
        <v>8.8834209516862918E-3</v>
      </c>
    </row>
    <row r="170" spans="2:19" ht="15.75" x14ac:dyDescent="0.3">
      <c r="B170" s="1">
        <v>234</v>
      </c>
      <c r="C170" s="6">
        <v>42.5</v>
      </c>
      <c r="D170" s="7">
        <v>1.05</v>
      </c>
      <c r="E170" s="17">
        <v>997</v>
      </c>
      <c r="F170" s="1">
        <v>2356</v>
      </c>
      <c r="G170">
        <f t="shared" si="28"/>
        <v>5.4553211153577017</v>
      </c>
      <c r="H170">
        <f t="shared" si="29"/>
        <v>3.7495040759303713</v>
      </c>
      <c r="I170">
        <f t="shared" si="30"/>
        <v>4.8790164169432049E-2</v>
      </c>
      <c r="J170">
        <f t="shared" si="31"/>
        <v>6.9047507699618382</v>
      </c>
      <c r="L170">
        <f t="shared" si="23"/>
        <v>2546.8142742633013</v>
      </c>
      <c r="N170">
        <f t="shared" si="24"/>
        <v>7.7647205447714773</v>
      </c>
      <c r="O170">
        <f t="shared" si="25"/>
        <v>7.8425985529109319</v>
      </c>
      <c r="P170">
        <f t="shared" si="32"/>
        <v>6.0649841517689505E-3</v>
      </c>
      <c r="S170">
        <f t="shared" si="33"/>
        <v>7.492272844218166E-2</v>
      </c>
    </row>
    <row r="171" spans="2:19" ht="15.75" x14ac:dyDescent="0.3">
      <c r="B171" s="1">
        <v>234</v>
      </c>
      <c r="C171" s="6">
        <v>41.8</v>
      </c>
      <c r="D171" s="7">
        <v>1.042</v>
      </c>
      <c r="E171" s="17">
        <v>847.10507033279407</v>
      </c>
      <c r="F171" s="1">
        <v>2212</v>
      </c>
      <c r="G171">
        <f t="shared" si="28"/>
        <v>5.4553211153577017</v>
      </c>
      <c r="H171">
        <f t="shared" si="29"/>
        <v>3.7328963395307104</v>
      </c>
      <c r="I171">
        <f t="shared" si="30"/>
        <v>4.1141943331175213E-2</v>
      </c>
      <c r="J171">
        <f t="shared" si="31"/>
        <v>6.7418247369381783</v>
      </c>
      <c r="L171">
        <f t="shared" si="23"/>
        <v>2405.4646550437255</v>
      </c>
      <c r="N171">
        <f t="shared" si="24"/>
        <v>7.7016523626422257</v>
      </c>
      <c r="O171">
        <f t="shared" si="25"/>
        <v>7.7854983676388034</v>
      </c>
      <c r="P171">
        <f t="shared" si="32"/>
        <v>7.0301525538861301E-3</v>
      </c>
      <c r="S171">
        <f t="shared" si="33"/>
        <v>8.0427145182978721E-2</v>
      </c>
    </row>
    <row r="172" spans="2:19" ht="15.75" x14ac:dyDescent="0.3">
      <c r="B172" s="1">
        <v>240</v>
      </c>
      <c r="C172" s="6">
        <v>44.7</v>
      </c>
      <c r="D172" s="7">
        <v>0.84899999999999998</v>
      </c>
      <c r="E172" s="17">
        <v>1471.8214907124384</v>
      </c>
      <c r="F172" s="1">
        <v>3310</v>
      </c>
      <c r="G172">
        <f t="shared" si="28"/>
        <v>5.4806389233419912</v>
      </c>
      <c r="H172">
        <f t="shared" si="29"/>
        <v>3.7999735016195233</v>
      </c>
      <c r="I172">
        <f t="shared" si="30"/>
        <v>-0.16369609267078977</v>
      </c>
      <c r="J172">
        <f t="shared" si="31"/>
        <v>7.2942560220385921</v>
      </c>
      <c r="L172">
        <f t="shared" si="23"/>
        <v>3238.9445481771822</v>
      </c>
      <c r="N172">
        <f t="shared" si="24"/>
        <v>8.1047034683711079</v>
      </c>
      <c r="O172">
        <f t="shared" si="25"/>
        <v>8.0830027989806865</v>
      </c>
      <c r="P172">
        <f t="shared" si="32"/>
        <v>4.7091905199237089E-4</v>
      </c>
      <c r="S172">
        <f t="shared" si="33"/>
        <v>2.1937841406641692E-2</v>
      </c>
    </row>
    <row r="173" spans="2:19" ht="15.75" x14ac:dyDescent="0.3">
      <c r="B173" s="1">
        <v>242</v>
      </c>
      <c r="C173" s="6">
        <v>40.9</v>
      </c>
      <c r="D173" s="7">
        <v>0.91600000000000004</v>
      </c>
      <c r="E173" s="17">
        <v>1195.9951434878585</v>
      </c>
      <c r="F173" s="1">
        <v>3067</v>
      </c>
      <c r="G173">
        <f t="shared" si="28"/>
        <v>5.4889377261566867</v>
      </c>
      <c r="H173">
        <f t="shared" si="29"/>
        <v>3.7111300630487558</v>
      </c>
      <c r="I173">
        <f t="shared" si="30"/>
        <v>-8.7738914308006746E-2</v>
      </c>
      <c r="J173">
        <f t="shared" si="31"/>
        <v>7.0867338738734516</v>
      </c>
      <c r="L173">
        <f t="shared" si="23"/>
        <v>2884.6922209511154</v>
      </c>
      <c r="N173">
        <f t="shared" si="24"/>
        <v>8.0284551641142521</v>
      </c>
      <c r="O173">
        <f t="shared" si="25"/>
        <v>7.9671734907386043</v>
      </c>
      <c r="P173">
        <f t="shared" si="32"/>
        <v>3.7554434917195837E-3</v>
      </c>
      <c r="S173">
        <f t="shared" si="33"/>
        <v>6.3198346681427153E-2</v>
      </c>
    </row>
    <row r="174" spans="2:19" ht="15.75" x14ac:dyDescent="0.3">
      <c r="B174" s="1">
        <v>241</v>
      </c>
      <c r="C174" s="6">
        <v>42.8</v>
      </c>
      <c r="D174" s="7">
        <v>0.88902905853998426</v>
      </c>
      <c r="E174" s="17">
        <v>1302.9698972755696</v>
      </c>
      <c r="F174" s="1">
        <v>3149</v>
      </c>
      <c r="G174">
        <f t="shared" si="28"/>
        <v>5.4847969334906548</v>
      </c>
      <c r="H174">
        <f t="shared" si="29"/>
        <v>3.7565381025877511</v>
      </c>
      <c r="I174">
        <f t="shared" si="30"/>
        <v>-0.11762535723079751</v>
      </c>
      <c r="J174">
        <f t="shared" si="31"/>
        <v>7.1724014742298632</v>
      </c>
      <c r="L174">
        <f t="shared" si="23"/>
        <v>3025.9204427660857</v>
      </c>
      <c r="N174">
        <f t="shared" si="24"/>
        <v>8.0548402211010242</v>
      </c>
      <c r="O174">
        <f t="shared" si="25"/>
        <v>8.0149706027819558</v>
      </c>
      <c r="P174">
        <f t="shared" si="32"/>
        <v>1.5895864649081884E-3</v>
      </c>
      <c r="S174">
        <f t="shared" si="33"/>
        <v>4.0675080380303576E-2</v>
      </c>
    </row>
    <row r="175" spans="2:19" ht="15.75" x14ac:dyDescent="0.3">
      <c r="B175" s="1">
        <v>242</v>
      </c>
      <c r="C175" s="6">
        <v>44.9</v>
      </c>
      <c r="D175" s="7">
        <v>0.90783856762258497</v>
      </c>
      <c r="E175" s="17">
        <v>1290.7743124026983</v>
      </c>
      <c r="F175" s="1">
        <v>3005</v>
      </c>
      <c r="G175">
        <f t="shared" si="28"/>
        <v>5.4889377261566867</v>
      </c>
      <c r="H175">
        <f t="shared" si="29"/>
        <v>3.8044377947482086</v>
      </c>
      <c r="I175">
        <f t="shared" si="30"/>
        <v>-9.6688705149085563E-2</v>
      </c>
      <c r="J175">
        <f t="shared" si="31"/>
        <v>7.1629975594550741</v>
      </c>
      <c r="L175">
        <f t="shared" si="23"/>
        <v>2990.4143880452443</v>
      </c>
      <c r="N175">
        <f t="shared" si="24"/>
        <v>8.0080328469693072</v>
      </c>
      <c r="O175">
        <f t="shared" si="25"/>
        <v>8.0031672481013221</v>
      </c>
      <c r="P175">
        <f t="shared" si="32"/>
        <v>2.3674052344137878E-5</v>
      </c>
      <c r="S175">
        <f t="shared" si="33"/>
        <v>4.8774551156068741E-3</v>
      </c>
    </row>
    <row r="176" spans="2:19" ht="15.75" x14ac:dyDescent="0.3">
      <c r="B176" s="1">
        <v>240</v>
      </c>
      <c r="C176" s="6">
        <v>41.4</v>
      </c>
      <c r="D176" s="7">
        <v>0.99679574727810316</v>
      </c>
      <c r="E176" s="17">
        <v>1830</v>
      </c>
      <c r="F176" s="1">
        <v>3609</v>
      </c>
      <c r="G176">
        <f t="shared" si="28"/>
        <v>5.4806389233419912</v>
      </c>
      <c r="H176">
        <f t="shared" si="29"/>
        <v>3.7232808808312687</v>
      </c>
      <c r="I176">
        <f t="shared" si="30"/>
        <v>-3.2093973323439368E-3</v>
      </c>
      <c r="J176">
        <f t="shared" si="31"/>
        <v>7.5120712458354664</v>
      </c>
      <c r="L176">
        <f t="shared" si="23"/>
        <v>3202.5137487854504</v>
      </c>
      <c r="N176">
        <f t="shared" si="24"/>
        <v>8.1911860046427893</v>
      </c>
      <c r="O176">
        <f t="shared" si="25"/>
        <v>8.0716913269031103</v>
      </c>
      <c r="P176">
        <f t="shared" si="32"/>
        <v>1.4278978008109743E-2</v>
      </c>
      <c r="S176">
        <f t="shared" si="33"/>
        <v>0.12692724625107668</v>
      </c>
    </row>
    <row r="177" spans="2:2" ht="15.75" x14ac:dyDescent="0.3">
      <c r="B177" s="1">
        <v>240</v>
      </c>
    </row>
  </sheetData>
  <autoFilter ref="A22:T177" xr:uid="{5CCFD1A8-D0BA-4446-ACA4-85829DCAD61F}"/>
  <mergeCells count="3">
    <mergeCell ref="A1:B1"/>
    <mergeCell ref="N21:Q21"/>
    <mergeCell ref="S21:T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91E3-DF99-42E8-984F-3A9411C5B001}">
  <dimension ref="A1:T177"/>
  <sheetViews>
    <sheetView tabSelected="1" topLeftCell="B2" workbookViewId="0">
      <selection activeCell="I20" sqref="I20"/>
    </sheetView>
  </sheetViews>
  <sheetFormatPr defaultRowHeight="15" x14ac:dyDescent="0.25"/>
  <cols>
    <col min="1" max="1" width="9.42578125" style="20" bestFit="1" customWidth="1"/>
    <col min="2" max="2" width="32.5703125" style="20" bestFit="1" customWidth="1"/>
    <col min="3" max="3" width="9.5703125" style="20" customWidth="1"/>
    <col min="4" max="4" width="27" style="20" customWidth="1"/>
    <col min="5" max="5" width="26.42578125" style="20" customWidth="1"/>
    <col min="6" max="6" width="26.42578125" style="20" bestFit="1" customWidth="1"/>
    <col min="7" max="7" width="18.42578125" bestFit="1" customWidth="1"/>
    <col min="8" max="8" width="17.28515625" bestFit="1" customWidth="1"/>
    <col min="9" max="9" width="11.42578125" customWidth="1"/>
    <col min="11" max="11" width="5" customWidth="1"/>
    <col min="12" max="12" width="16.7109375" bestFit="1" customWidth="1"/>
    <col min="13" max="13" width="18.42578125" bestFit="1" customWidth="1"/>
    <col min="14" max="14" width="18" bestFit="1" customWidth="1"/>
    <col min="15" max="15" width="12" bestFit="1" customWidth="1"/>
    <col min="16" max="16" width="11.140625" bestFit="1" customWidth="1"/>
    <col min="19" max="19" width="18.42578125" bestFit="1" customWidth="1"/>
  </cols>
  <sheetData>
    <row r="1" spans="1:8" ht="30" x14ac:dyDescent="0.25">
      <c r="A1" s="35" t="s">
        <v>33</v>
      </c>
      <c r="B1" s="36"/>
      <c r="D1" s="26" t="s">
        <v>34</v>
      </c>
      <c r="E1" s="26" t="s">
        <v>56</v>
      </c>
      <c r="F1" s="26" t="s">
        <v>35</v>
      </c>
      <c r="G1" s="27" t="s">
        <v>36</v>
      </c>
      <c r="H1" s="27" t="s">
        <v>37</v>
      </c>
    </row>
    <row r="2" spans="1:8" x14ac:dyDescent="0.25">
      <c r="A2" s="33" t="s">
        <v>38</v>
      </c>
      <c r="B2" s="22">
        <v>0.89818488963440302</v>
      </c>
      <c r="C2" s="22"/>
      <c r="D2" s="28">
        <v>0.85799999999999998</v>
      </c>
      <c r="E2" s="28">
        <v>0.72585460000000002</v>
      </c>
      <c r="F2" s="22">
        <v>0.89818488963440302</v>
      </c>
      <c r="G2" s="22">
        <v>0.93861046527881498</v>
      </c>
      <c r="H2" s="28">
        <v>0.61016936572313629</v>
      </c>
    </row>
    <row r="3" spans="1:8" x14ac:dyDescent="0.25">
      <c r="A3" s="33" t="s">
        <v>39</v>
      </c>
      <c r="B3" s="22">
        <v>-8.1171931742601247E-2</v>
      </c>
      <c r="C3" s="22"/>
      <c r="D3" s="28">
        <v>-7.8810000000000005E-2</v>
      </c>
      <c r="E3" s="28">
        <v>-4.562008E-2</v>
      </c>
      <c r="F3" s="22">
        <v>-8.1171931742601247E-2</v>
      </c>
      <c r="G3" s="22">
        <v>3.2774941056297954E-2</v>
      </c>
      <c r="H3" s="28">
        <v>2.9978438378524319E-2</v>
      </c>
    </row>
    <row r="4" spans="1:8" x14ac:dyDescent="0.25">
      <c r="A4" s="33" t="s">
        <v>40</v>
      </c>
      <c r="B4" s="22">
        <v>3.3311210228280297</v>
      </c>
      <c r="C4" s="22"/>
      <c r="D4" s="28">
        <v>3.198</v>
      </c>
      <c r="E4" s="28">
        <v>3.198814</v>
      </c>
      <c r="F4" s="22">
        <v>3.3311210228280297</v>
      </c>
      <c r="G4" s="22">
        <v>0.15100541608847465</v>
      </c>
      <c r="H4" s="28">
        <v>2.3440759500883597E-2</v>
      </c>
    </row>
    <row r="5" spans="1:8" x14ac:dyDescent="0.25">
      <c r="A5" s="33" t="s">
        <v>41</v>
      </c>
      <c r="B5" s="22">
        <v>-0.47435122642471783</v>
      </c>
      <c r="C5" s="22"/>
      <c r="D5" s="28">
        <v>-0.45700000000000002</v>
      </c>
      <c r="E5" s="28">
        <v>-0.39946979999999999</v>
      </c>
      <c r="F5" s="22">
        <v>-0.47435122642471783</v>
      </c>
      <c r="G5" s="22">
        <v>0.99326507155406241</v>
      </c>
      <c r="H5" s="28">
        <v>0.41319181823745266</v>
      </c>
    </row>
    <row r="6" spans="1:8" x14ac:dyDescent="0.25">
      <c r="A6" s="33" t="s">
        <v>42</v>
      </c>
      <c r="B6" s="22">
        <v>0.13525381739955739</v>
      </c>
      <c r="C6" s="22"/>
      <c r="D6" s="28">
        <v>0.14599999999999999</v>
      </c>
      <c r="E6" s="28">
        <v>-0.14834149999999999</v>
      </c>
      <c r="F6" s="22">
        <v>0.13525381739955739</v>
      </c>
      <c r="G6" s="22">
        <v>0.128347455203036</v>
      </c>
      <c r="H6" s="28">
        <v>1.2789889603498581E-2</v>
      </c>
    </row>
    <row r="7" spans="1:8" x14ac:dyDescent="0.25">
      <c r="A7" s="33" t="s">
        <v>43</v>
      </c>
      <c r="B7" s="22">
        <v>0.28100358509659229</v>
      </c>
      <c r="C7" s="22"/>
      <c r="D7" s="28">
        <v>0.32200000000000001</v>
      </c>
      <c r="E7" s="28">
        <v>0.35508529999999999</v>
      </c>
      <c r="F7" s="22">
        <v>0.28100358509659229</v>
      </c>
      <c r="G7" s="22">
        <v>0.34325725096064635</v>
      </c>
      <c r="H7" s="28">
        <v>0.4057584998843749</v>
      </c>
    </row>
    <row r="8" spans="1:8" x14ac:dyDescent="0.25">
      <c r="A8" s="33" t="s">
        <v>44</v>
      </c>
      <c r="B8" s="22">
        <v>3.3021028620987254</v>
      </c>
      <c r="C8" s="22"/>
      <c r="D8" s="28">
        <v>3.1720000000000002</v>
      </c>
      <c r="E8" s="28">
        <v>2.9144600000000001</v>
      </c>
      <c r="F8" s="22">
        <v>3.3021028620987254</v>
      </c>
      <c r="G8" s="22">
        <v>2.0571932838262801</v>
      </c>
      <c r="H8" s="28">
        <v>1.3752358537723883</v>
      </c>
    </row>
    <row r="9" spans="1:8" x14ac:dyDescent="0.25">
      <c r="A9" s="33" t="s">
        <v>45</v>
      </c>
      <c r="B9" s="22">
        <v>1.0467633888953267</v>
      </c>
      <c r="C9" s="22"/>
      <c r="D9" s="28">
        <v>1.0149999999999999</v>
      </c>
      <c r="E9" s="28">
        <v>0.44022250000000002</v>
      </c>
      <c r="F9" s="22">
        <v>1.0467633888953267</v>
      </c>
      <c r="G9" s="22">
        <v>0.11063269409236202</v>
      </c>
      <c r="H9" s="28">
        <v>6.8998278557761833E-2</v>
      </c>
    </row>
    <row r="10" spans="1:8" x14ac:dyDescent="0.25">
      <c r="A10" s="33" t="s">
        <v>46</v>
      </c>
      <c r="B10" s="22">
        <v>-0.35106205611611918</v>
      </c>
      <c r="C10" s="22"/>
      <c r="D10" s="28">
        <v>-0.34</v>
      </c>
      <c r="E10" s="28">
        <v>-0.17915510000000001</v>
      </c>
      <c r="F10" s="22">
        <v>-0.35106205611611918</v>
      </c>
      <c r="G10" s="22">
        <v>0.76413815297138599</v>
      </c>
      <c r="H10" s="28">
        <v>0.5655644989677896</v>
      </c>
    </row>
    <row r="11" spans="1:8" x14ac:dyDescent="0.25">
      <c r="A11" s="33" t="s">
        <v>47</v>
      </c>
      <c r="B11" s="22">
        <v>0.56379623294381842</v>
      </c>
      <c r="C11" s="22"/>
      <c r="D11" s="28">
        <v>0.54</v>
      </c>
      <c r="E11" s="28">
        <v>0.6955443</v>
      </c>
      <c r="F11" s="22">
        <v>0.56379623294381842</v>
      </c>
      <c r="G11" s="22">
        <v>4.7153751602672905E-2</v>
      </c>
      <c r="H11" s="28">
        <v>5.7873934324297549E-2</v>
      </c>
    </row>
    <row r="12" spans="1:8" x14ac:dyDescent="0.25">
      <c r="A12" s="33" t="s">
        <v>48</v>
      </c>
      <c r="B12" s="22">
        <v>-0.64343106405932837</v>
      </c>
      <c r="C12" s="22"/>
      <c r="D12" s="28">
        <v>-0.66500000000000004</v>
      </c>
      <c r="E12" s="28">
        <v>-0.8172007</v>
      </c>
      <c r="F12" s="22">
        <v>-0.64343106405932837</v>
      </c>
      <c r="G12" s="22">
        <v>0.10593748252530302</v>
      </c>
      <c r="H12" s="28">
        <v>0.17281163753413703</v>
      </c>
    </row>
    <row r="13" spans="1:8" x14ac:dyDescent="0.25">
      <c r="A13" s="33" t="s">
        <v>49</v>
      </c>
      <c r="B13" s="22">
        <v>0.42641397343040999</v>
      </c>
      <c r="C13" s="22"/>
      <c r="D13" s="28">
        <v>0.45800000000000002</v>
      </c>
      <c r="E13" s="28">
        <v>0.422981</v>
      </c>
      <c r="F13" s="22">
        <v>0.42641397343040999</v>
      </c>
      <c r="G13" s="22">
        <v>1.1559306556047135</v>
      </c>
      <c r="H13" s="28">
        <v>0.3061449583085693</v>
      </c>
    </row>
    <row r="14" spans="1:8" x14ac:dyDescent="0.25">
      <c r="A14" s="33" t="s">
        <v>50</v>
      </c>
      <c r="B14" s="22">
        <v>-0.57055813507193753</v>
      </c>
      <c r="C14" s="22"/>
      <c r="D14" s="28">
        <v>-0.54500000000000004</v>
      </c>
      <c r="E14" s="28">
        <v>-0.56126310000000001</v>
      </c>
      <c r="F14" s="22">
        <v>-0.57055813507193753</v>
      </c>
      <c r="G14" s="22">
        <v>0.22291454032201452</v>
      </c>
      <c r="H14" s="28">
        <v>6.9427123585989223E-2</v>
      </c>
    </row>
    <row r="15" spans="1:8" x14ac:dyDescent="0.25">
      <c r="A15" s="33" t="s">
        <v>51</v>
      </c>
      <c r="B15" s="22">
        <v>3.5591113227760061E-2</v>
      </c>
      <c r="C15" s="22"/>
      <c r="D15" s="28">
        <v>3.3430000000000001E-2</v>
      </c>
      <c r="E15" s="28">
        <v>4.7359039999999998E-2</v>
      </c>
      <c r="F15" s="22">
        <v>3.5591113227760061E-2</v>
      </c>
      <c r="G15" s="22">
        <v>4.4963597028149484E-2</v>
      </c>
      <c r="H15" s="28">
        <v>6.6725539356280103E-2</v>
      </c>
    </row>
    <row r="16" spans="1:8" x14ac:dyDescent="0.25">
      <c r="A16" s="33" t="s">
        <v>52</v>
      </c>
      <c r="B16" s="22">
        <v>0.452287276638766</v>
      </c>
      <c r="C16" s="22"/>
      <c r="D16" s="28">
        <v>0.45400000000000001</v>
      </c>
      <c r="E16" s="28">
        <v>0.47469899999999998</v>
      </c>
      <c r="F16" s="22">
        <v>0.452287276638766</v>
      </c>
      <c r="G16" s="22">
        <v>1.1661624742679209</v>
      </c>
      <c r="H16" s="28">
        <v>0.97459058403978061</v>
      </c>
    </row>
    <row r="17" spans="1:20" x14ac:dyDescent="0.25">
      <c r="A17" s="33" t="s">
        <v>53</v>
      </c>
      <c r="B17" s="22">
        <v>-0.28758765057829266</v>
      </c>
      <c r="C17" s="22"/>
      <c r="D17" s="28">
        <v>-0.28100000000000003</v>
      </c>
      <c r="E17" s="28">
        <v>-0.25150090000000003</v>
      </c>
      <c r="F17" s="22">
        <v>-0.28758765057829266</v>
      </c>
      <c r="G17" s="22">
        <v>0.11104600484565433</v>
      </c>
      <c r="H17" s="28">
        <v>0.13055450739764987</v>
      </c>
    </row>
    <row r="18" spans="1:20" x14ac:dyDescent="0.25">
      <c r="D18" s="34">
        <v>2.6517451783708839</v>
      </c>
      <c r="F18" s="33">
        <v>2.6313727183989535</v>
      </c>
      <c r="G18" s="22"/>
    </row>
    <row r="19" spans="1:20" x14ac:dyDescent="0.25">
      <c r="D19" s="34">
        <v>6.8284939030449765</v>
      </c>
      <c r="F19" s="33">
        <v>6.7582879152905075</v>
      </c>
      <c r="G19" s="22"/>
    </row>
    <row r="20" spans="1:20" x14ac:dyDescent="0.25">
      <c r="F20" s="33"/>
      <c r="G20" s="22"/>
    </row>
    <row r="21" spans="1:20" ht="78.75" x14ac:dyDescent="0.25"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G21" s="39"/>
      <c r="H21" s="39"/>
      <c r="L21" s="33" t="s">
        <v>54</v>
      </c>
      <c r="N21" s="38" t="s">
        <v>21</v>
      </c>
      <c r="O21" s="38"/>
      <c r="P21" s="38"/>
      <c r="Q21" s="38"/>
      <c r="S21" s="38" t="s">
        <v>22</v>
      </c>
      <c r="T21" s="38"/>
    </row>
    <row r="22" spans="1:20" ht="31.5" x14ac:dyDescent="0.25">
      <c r="A22" s="2" t="s">
        <v>23</v>
      </c>
      <c r="B22" s="2" t="s">
        <v>3</v>
      </c>
      <c r="C22" s="5" t="s">
        <v>1</v>
      </c>
      <c r="D22" s="2" t="s">
        <v>4</v>
      </c>
      <c r="E22" s="2" t="s">
        <v>0</v>
      </c>
      <c r="F22" s="2" t="s">
        <v>2</v>
      </c>
      <c r="G22" s="19" t="s">
        <v>24</v>
      </c>
      <c r="H22" s="19" t="s">
        <v>25</v>
      </c>
      <c r="I22" s="19" t="s">
        <v>26</v>
      </c>
      <c r="J22" s="19" t="s">
        <v>27</v>
      </c>
      <c r="L22" s="24" t="s">
        <v>74</v>
      </c>
      <c r="N22" s="19" t="s">
        <v>29</v>
      </c>
      <c r="O22" s="19" t="s">
        <v>30</v>
      </c>
      <c r="P22" s="19" t="s">
        <v>31</v>
      </c>
      <c r="Q22" s="25">
        <f>SUM(P23:P176)</f>
        <v>2.6313727183989535</v>
      </c>
      <c r="S22" t="s">
        <v>32</v>
      </c>
      <c r="T22">
        <f>SUM(S23:S176)*100/COUNT(S23:S176)</f>
        <v>6.7582879152905075</v>
      </c>
    </row>
    <row r="23" spans="1:20" ht="15.75" x14ac:dyDescent="0.3">
      <c r="A23" s="20">
        <v>1</v>
      </c>
      <c r="B23" s="17">
        <v>174</v>
      </c>
      <c r="C23" s="3">
        <v>46.658961138443573</v>
      </c>
      <c r="D23" s="8">
        <v>0.83574909006792664</v>
      </c>
      <c r="E23" s="9">
        <v>1667.7686823505701</v>
      </c>
      <c r="F23" s="4">
        <v>3501</v>
      </c>
      <c r="G23">
        <f t="shared" ref="G23:J54" si="0">LN(B23)</f>
        <v>5.1590552992145291</v>
      </c>
      <c r="H23">
        <f t="shared" si="0"/>
        <v>3.8428650018457171</v>
      </c>
      <c r="I23">
        <f t="shared" si="0"/>
        <v>-0.17942684244360266</v>
      </c>
      <c r="J23">
        <f t="shared" si="0"/>
        <v>7.4192418936558395</v>
      </c>
      <c r="L23">
        <f>EXP((_C1_exp16+_C2_exp16*G23)*(_C3_exp16+_C4_exp16*H23)*(_C5_exp16+_C6_exp16*J23)*(_C7_exp16+_C8_exp16*I23)/(1+(d1_exp16+d2_exp16*G23)*(d3_exp16+d4_exp16*H23)*(d5_exp16+d6_exp16*J23)*(d7_exp16+d8_exp16*I23)))</f>
        <v>3780.6856491810536</v>
      </c>
      <c r="N23">
        <f t="shared" ref="N23:N86" si="1">LN(F23)</f>
        <v>8.160803920954665</v>
      </c>
      <c r="O23">
        <f t="shared" ref="O23:O86" si="2">LN(L23)</f>
        <v>8.2376606608369336</v>
      </c>
      <c r="P23">
        <f>(N23-O23)^2</f>
        <v>5.9069584653306962E-3</v>
      </c>
      <c r="S23">
        <f>ABS((F23-L23)/L23)</f>
        <v>7.3977493802384012E-2</v>
      </c>
    </row>
    <row r="24" spans="1:20" ht="15.75" x14ac:dyDescent="0.3">
      <c r="A24" s="20">
        <v>2</v>
      </c>
      <c r="B24" s="17">
        <v>159</v>
      </c>
      <c r="C24" s="3">
        <v>42.1</v>
      </c>
      <c r="D24" s="8">
        <f>(3011*1.0461*0.7329+24*1.0283+15*1.3503)/(3011*1.0461+39)</f>
        <v>0.73802749736413975</v>
      </c>
      <c r="E24" s="9">
        <f>(3011*1.0461+39)</f>
        <v>3188.8071</v>
      </c>
      <c r="F24" s="4">
        <v>6415</v>
      </c>
      <c r="G24">
        <f t="shared" si="0"/>
        <v>5.0689042022202315</v>
      </c>
      <c r="H24">
        <f t="shared" si="0"/>
        <v>3.7400477406883357</v>
      </c>
      <c r="I24">
        <f t="shared" si="0"/>
        <v>-0.30377419577477272</v>
      </c>
      <c r="J24">
        <f t="shared" si="0"/>
        <v>8.0674021759989518</v>
      </c>
      <c r="L24">
        <f>EXP((_C1_exp16+_C2_exp16*G24)*(_C3_exp16+_C4_exp16*H24)*(_C5_exp16+_C6_exp16*J24)*(_C7_exp16+_C8_exp16*I24)/(1+(d1_exp16+d2_exp16*G24)*(d3_exp16+d4_exp16*H24)*(d5_exp16+d6_exp16*J24)*(d7_exp16+d8_exp16*I24)))</f>
        <v>5179.1369584217373</v>
      </c>
      <c r="N24">
        <f t="shared" si="1"/>
        <v>8.7663942770497361</v>
      </c>
      <c r="O24">
        <f t="shared" si="2"/>
        <v>8.5523937110291897</v>
      </c>
      <c r="P24">
        <f t="shared" ref="P24:P87" si="3">(N24-O24)^2</f>
        <v>4.5796242257114241E-2</v>
      </c>
      <c r="S24">
        <f t="shared" ref="S24:S87" si="4">ABS((F24-L24)/L24)</f>
        <v>0.23862335587952341</v>
      </c>
    </row>
    <row r="25" spans="1:20" ht="15.75" x14ac:dyDescent="0.3">
      <c r="A25" s="20">
        <v>3</v>
      </c>
      <c r="B25" s="17">
        <v>157</v>
      </c>
      <c r="C25" s="3">
        <v>44.23</v>
      </c>
      <c r="D25" s="8">
        <v>0.8500077412459377</v>
      </c>
      <c r="E25" s="9">
        <v>1133.4462691607539</v>
      </c>
      <c r="F25" s="4">
        <v>3265</v>
      </c>
      <c r="G25">
        <f t="shared" si="0"/>
        <v>5.0562458053483077</v>
      </c>
      <c r="H25">
        <f t="shared" si="0"/>
        <v>3.7894032918802352</v>
      </c>
      <c r="I25">
        <f t="shared" si="0"/>
        <v>-0.16250982219108456</v>
      </c>
      <c r="J25">
        <f t="shared" si="0"/>
        <v>7.0330180662309738</v>
      </c>
      <c r="L25">
        <f>EXP((_C1_exp16+_C2_exp16*G25)*(_C3_exp16+_C4_exp16*H25)*(_C5_exp16+_C6_exp16*J25)*(_C7_exp16+_C8_exp16*I25)/(1+(d1_exp16+d2_exp16*G25)*(d3_exp16+d4_exp16*H25)*(d5_exp16+d6_exp16*J25)*(d7_exp16+d8_exp16*I25)))</f>
        <v>3259.5257640235918</v>
      </c>
      <c r="N25">
        <f t="shared" si="1"/>
        <v>8.0910150417105307</v>
      </c>
      <c r="O25">
        <f t="shared" si="2"/>
        <v>8.0893369926203906</v>
      </c>
      <c r="P25">
        <f t="shared" si="3"/>
        <v>2.8158487489197533E-6</v>
      </c>
      <c r="S25">
        <f t="shared" si="4"/>
        <v>1.6794578023677678E-3</v>
      </c>
    </row>
    <row r="26" spans="1:20" ht="15.75" x14ac:dyDescent="0.3">
      <c r="A26" s="20">
        <v>4</v>
      </c>
      <c r="B26" s="17">
        <v>190</v>
      </c>
      <c r="C26" s="3">
        <v>51.48</v>
      </c>
      <c r="D26" s="8">
        <f>(7899*1.0611*0.742+23*0.9619+19*1.4441)/(7899*1.0611+41)</f>
        <v>0.74427240214750523</v>
      </c>
      <c r="E26" s="9">
        <f>(7899*1.0611+41)</f>
        <v>8422.6288999999997</v>
      </c>
      <c r="F26" s="4">
        <v>5575</v>
      </c>
      <c r="G26">
        <f t="shared" si="0"/>
        <v>5.2470240721604862</v>
      </c>
      <c r="H26">
        <f t="shared" si="0"/>
        <v>3.941193382727926</v>
      </c>
      <c r="I26">
        <f t="shared" si="0"/>
        <v>-0.2953481792402905</v>
      </c>
      <c r="J26">
        <f t="shared" si="0"/>
        <v>9.0386772794081818</v>
      </c>
      <c r="L26">
        <f>EXP((_C1_exp16+_C2_exp16*G26)*(_C3_exp16+_C4_exp16*H26)*(_C5_exp16+_C6_exp16*J26)*(_C7_exp16+_C8_exp16*I26)/(1+(d1_exp16+d2_exp16*G26)*(d3_exp16+d4_exp16*H26)*(d5_exp16+d6_exp16*J26)*(d7_exp16+d8_exp16*I26)))</f>
        <v>5745.2339309598756</v>
      </c>
      <c r="N26">
        <f t="shared" si="1"/>
        <v>8.6260475963283199</v>
      </c>
      <c r="O26">
        <f t="shared" si="2"/>
        <v>8.656125908506926</v>
      </c>
      <c r="P26">
        <f t="shared" si="3"/>
        <v>9.0470486351368557E-4</v>
      </c>
      <c r="S26">
        <f t="shared" si="4"/>
        <v>2.9630461179747648E-2</v>
      </c>
    </row>
    <row r="27" spans="1:20" ht="15.75" x14ac:dyDescent="0.3">
      <c r="A27" s="20">
        <v>5</v>
      </c>
      <c r="B27" s="17">
        <v>153</v>
      </c>
      <c r="C27" s="3">
        <v>45.07</v>
      </c>
      <c r="D27" s="8">
        <v>0.84958189781021909</v>
      </c>
      <c r="E27" s="9">
        <v>1371</v>
      </c>
      <c r="F27" s="4">
        <v>3415</v>
      </c>
      <c r="G27">
        <f t="shared" si="0"/>
        <v>5.0304379213924353</v>
      </c>
      <c r="H27">
        <f t="shared" si="0"/>
        <v>3.8082168367025568</v>
      </c>
      <c r="I27">
        <f t="shared" si="0"/>
        <v>-0.16301093544200598</v>
      </c>
      <c r="J27">
        <f t="shared" si="0"/>
        <v>7.2232956795623142</v>
      </c>
      <c r="L27">
        <f>EXP((_C1_exp16+_C2_exp16*G27)*(_C3_exp16+_C4_exp16*H27)*(_C5_exp16+_C6_exp16*J27)*(_C7_exp16+_C8_exp16*I27)/(1+(d1_exp16+d2_exp16*G27)*(d3_exp16+d4_exp16*H27)*(d5_exp16+d6_exp16*J27)*(d7_exp16+d8_exp16*I27)))</f>
        <v>3581.7302071446961</v>
      </c>
      <c r="N27">
        <f t="shared" si="1"/>
        <v>8.1359327720048906</v>
      </c>
      <c r="O27">
        <f t="shared" si="2"/>
        <v>8.1836012607289526</v>
      </c>
      <c r="P27">
        <f t="shared" si="3"/>
        <v>2.2722848172360196E-3</v>
      </c>
      <c r="S27">
        <f t="shared" si="4"/>
        <v>4.6550185944242588E-2</v>
      </c>
    </row>
    <row r="28" spans="1:20" ht="15.75" x14ac:dyDescent="0.3">
      <c r="A28" s="20">
        <v>6</v>
      </c>
      <c r="B28" s="17">
        <v>156</v>
      </c>
      <c r="C28" s="3">
        <v>41.5</v>
      </c>
      <c r="D28" s="8">
        <v>0.84233779366700712</v>
      </c>
      <c r="E28" s="9">
        <v>979</v>
      </c>
      <c r="F28" s="4">
        <v>2965</v>
      </c>
      <c r="G28">
        <f t="shared" si="0"/>
        <v>5.0498560072495371</v>
      </c>
      <c r="H28">
        <f t="shared" si="0"/>
        <v>3.7256934272366524</v>
      </c>
      <c r="I28">
        <f t="shared" si="0"/>
        <v>-0.17157416506395443</v>
      </c>
      <c r="J28">
        <f t="shared" si="0"/>
        <v>6.8865316425305103</v>
      </c>
      <c r="L28">
        <f>EXP((_C1_exp16+_C2_exp16*G28)*(_C3_exp16+_C4_exp16*H28)*(_C5_exp16+_C6_exp16*J28)*(_C7_exp16+_C8_exp16*I28)/(1+(d1_exp16+d2_exp16*G28)*(d3_exp16+d4_exp16*H28)*(d5_exp16+d6_exp16*J28)*(d7_exp16+d8_exp16*I28)))</f>
        <v>3069.4695244075588</v>
      </c>
      <c r="N28">
        <f t="shared" si="1"/>
        <v>7.9946323114318254</v>
      </c>
      <c r="O28">
        <f t="shared" si="2"/>
        <v>8.0292600322981649</v>
      </c>
      <c r="P28">
        <f t="shared" si="3"/>
        <v>1.199079052397122E-3</v>
      </c>
      <c r="S28">
        <f t="shared" si="4"/>
        <v>3.4035042073832782E-2</v>
      </c>
    </row>
    <row r="29" spans="1:20" ht="15.75" x14ac:dyDescent="0.3">
      <c r="A29" s="20">
        <v>7</v>
      </c>
      <c r="B29" s="17">
        <v>135</v>
      </c>
      <c r="C29" s="3">
        <v>43.13</v>
      </c>
      <c r="D29" s="8">
        <f>(1607*1.0505*0.7748+19*0.8601+40*1.4479)/(1607*1.0505+60)</f>
        <v>0.79068527552071366</v>
      </c>
      <c r="E29" s="9">
        <f>(1607*1.0505+60)</f>
        <v>1748.1534999999999</v>
      </c>
      <c r="F29" s="4">
        <v>4215</v>
      </c>
      <c r="G29">
        <f t="shared" si="0"/>
        <v>4.9052747784384296</v>
      </c>
      <c r="H29">
        <f t="shared" si="0"/>
        <v>3.7642188106597518</v>
      </c>
      <c r="I29">
        <f t="shared" si="0"/>
        <v>-0.23485527215944599</v>
      </c>
      <c r="J29">
        <f t="shared" si="0"/>
        <v>7.4663153670053095</v>
      </c>
      <c r="L29">
        <f>EXP((_C1_exp16+_C2_exp16*G29)*(_C3_exp16+_C4_exp16*H29)*(_C5_exp16+_C6_exp16*J29)*(_C7_exp16+_C8_exp16*I29)/(1+(d1_exp16+d2_exp16*G29)*(d3_exp16+d4_exp16*H29)*(d5_exp16+d6_exp16*J29)*(d7_exp16+d8_exp16*I29)))</f>
        <v>4210.783257491521</v>
      </c>
      <c r="N29">
        <f t="shared" si="1"/>
        <v>8.3464048704359559</v>
      </c>
      <c r="O29">
        <f t="shared" si="2"/>
        <v>8.3454039562819471</v>
      </c>
      <c r="P29">
        <f t="shared" si="3"/>
        <v>1.0018291436952021E-6</v>
      </c>
      <c r="S29">
        <f t="shared" si="4"/>
        <v>1.0014152357466697E-3</v>
      </c>
    </row>
    <row r="30" spans="1:20" ht="15.75" x14ac:dyDescent="0.3">
      <c r="A30" s="20">
        <v>8</v>
      </c>
      <c r="B30" s="17">
        <v>132</v>
      </c>
      <c r="C30" s="3">
        <v>39.19</v>
      </c>
      <c r="D30" s="8">
        <v>0.81936949846468798</v>
      </c>
      <c r="E30" s="9">
        <v>977</v>
      </c>
      <c r="F30" s="4">
        <v>2915.0250000000001</v>
      </c>
      <c r="G30">
        <f t="shared" si="0"/>
        <v>4.8828019225863706</v>
      </c>
      <c r="H30">
        <f t="shared" si="0"/>
        <v>3.6684216122115401</v>
      </c>
      <c r="I30">
        <f t="shared" si="0"/>
        <v>-0.19922013879373077</v>
      </c>
      <c r="J30">
        <f t="shared" si="0"/>
        <v>6.8844866520427823</v>
      </c>
      <c r="L30">
        <f>EXP((_C1_exp16+_C2_exp16*G30)*(_C3_exp16+_C4_exp16*H30)*(_C5_exp16+_C6_exp16*J30)*(_C7_exp16+_C8_exp16*I30)/(1+(d1_exp16+d2_exp16*G30)*(d3_exp16+d4_exp16*H30)*(d5_exp16+d6_exp16*J30)*(d7_exp16+d8_exp16*I30)))</f>
        <v>3213.2784114730539</v>
      </c>
      <c r="N30">
        <f t="shared" si="1"/>
        <v>7.977633675077147</v>
      </c>
      <c r="O30">
        <f t="shared" si="2"/>
        <v>8.0750470069251818</v>
      </c>
      <c r="P30">
        <f t="shared" si="3"/>
        <v>9.4893572217353509E-3</v>
      </c>
      <c r="S30">
        <f t="shared" si="4"/>
        <v>9.281903815372361E-2</v>
      </c>
    </row>
    <row r="31" spans="1:20" ht="15.75" x14ac:dyDescent="0.3">
      <c r="A31" s="20">
        <v>9</v>
      </c>
      <c r="B31" s="17">
        <v>90</v>
      </c>
      <c r="C31" s="3">
        <v>42.1</v>
      </c>
      <c r="D31" s="8">
        <v>1.2951339285714287</v>
      </c>
      <c r="E31" s="9">
        <v>224</v>
      </c>
      <c r="F31" s="4">
        <v>325.02499999999998</v>
      </c>
      <c r="G31">
        <f t="shared" si="0"/>
        <v>4.499809670330265</v>
      </c>
      <c r="H31">
        <f t="shared" si="0"/>
        <v>3.7400477406883357</v>
      </c>
      <c r="I31">
        <f t="shared" si="0"/>
        <v>0.25861410955032482</v>
      </c>
      <c r="J31">
        <f t="shared" si="0"/>
        <v>5.4116460518550396</v>
      </c>
      <c r="L31">
        <f>EXP((_C1_exp16+_C2_exp16*G31)*(_C3_exp16+_C4_exp16*H31)*(_C5_exp16+_C6_exp16*J31)*(_C7_exp16+_C8_exp16*I31)/(1+(d1_exp16+d2_exp16*G31)*(d3_exp16+d4_exp16*H31)*(d5_exp16+d6_exp16*J31)*(d7_exp16+d8_exp16*I31)))</f>
        <v>1078.9462134639507</v>
      </c>
      <c r="N31">
        <f t="shared" si="1"/>
        <v>5.7839021024482324</v>
      </c>
      <c r="O31">
        <f t="shared" si="2"/>
        <v>6.9837401155114405</v>
      </c>
      <c r="P31">
        <f t="shared" si="3"/>
        <v>1.439611257591467</v>
      </c>
      <c r="S31">
        <f t="shared" si="4"/>
        <v>0.6987569946081843</v>
      </c>
    </row>
    <row r="32" spans="1:20" ht="15.75" x14ac:dyDescent="0.3">
      <c r="A32" s="20">
        <v>10</v>
      </c>
      <c r="B32" s="17">
        <v>155</v>
      </c>
      <c r="C32" s="3">
        <v>42.65</v>
      </c>
      <c r="D32" s="8">
        <v>0.86946729910714293</v>
      </c>
      <c r="E32" s="9">
        <v>895</v>
      </c>
      <c r="F32" s="4">
        <v>2515</v>
      </c>
      <c r="G32">
        <f t="shared" si="0"/>
        <v>5.0434251169192468</v>
      </c>
      <c r="H32">
        <f t="shared" si="0"/>
        <v>3.753027273937688</v>
      </c>
      <c r="I32">
        <f t="shared" si="0"/>
        <v>-0.13987455474247895</v>
      </c>
      <c r="J32">
        <f t="shared" si="0"/>
        <v>6.7968237182748554</v>
      </c>
      <c r="L32">
        <f>EXP((_C1_exp16+_C2_exp16*G32)*(_C3_exp16+_C4_exp16*H32)*(_C5_exp16+_C6_exp16*J32)*(_C7_exp16+_C8_exp16*I32)/(1+(d1_exp16+d2_exp16*G32)*(d3_exp16+d4_exp16*H32)*(d5_exp16+d6_exp16*J32)*(d7_exp16+d8_exp16*I32)))</f>
        <v>2889.7803082580572</v>
      </c>
      <c r="N32">
        <f t="shared" si="1"/>
        <v>7.8300280825338398</v>
      </c>
      <c r="O32">
        <f t="shared" si="2"/>
        <v>7.9689357603131841</v>
      </c>
      <c r="P32">
        <f t="shared" si="3"/>
        <v>1.9295342946050148E-2</v>
      </c>
      <c r="S32">
        <f t="shared" si="4"/>
        <v>0.12969162644892288</v>
      </c>
    </row>
    <row r="33" spans="1:19" ht="15.75" x14ac:dyDescent="0.3">
      <c r="A33" s="20">
        <v>11</v>
      </c>
      <c r="B33" s="17">
        <v>157</v>
      </c>
      <c r="C33" s="3">
        <v>42</v>
      </c>
      <c r="D33" s="8">
        <v>0.85150169491525418</v>
      </c>
      <c r="E33" s="9">
        <v>1179</v>
      </c>
      <c r="F33" s="4">
        <v>3162</v>
      </c>
      <c r="G33">
        <f t="shared" si="0"/>
        <v>5.0562458053483077</v>
      </c>
      <c r="H33">
        <f t="shared" si="0"/>
        <v>3.7376696182833684</v>
      </c>
      <c r="I33">
        <f t="shared" si="0"/>
        <v>-0.16075378837608542</v>
      </c>
      <c r="J33">
        <f t="shared" si="0"/>
        <v>7.0724219005373712</v>
      </c>
      <c r="L33">
        <f>EXP((_C1_exp16+_C2_exp16*G33)*(_C3_exp16+_C4_exp16*H33)*(_C5_exp16+_C6_exp16*J33)*(_C7_exp16+_C8_exp16*I33)/(1+(d1_exp16+d2_exp16*G33)*(d3_exp16+d4_exp16*H33)*(d5_exp16+d6_exp16*J33)*(d7_exp16+d8_exp16*I33)))</f>
        <v>3369.5022681392538</v>
      </c>
      <c r="N33">
        <f t="shared" si="1"/>
        <v>8.058960017769417</v>
      </c>
      <c r="O33">
        <f t="shared" si="2"/>
        <v>8.1225203175242715</v>
      </c>
      <c r="P33">
        <f t="shared" si="3"/>
        <v>4.0399117049269642E-3</v>
      </c>
      <c r="S33">
        <f t="shared" si="4"/>
        <v>6.1582468752526813E-2</v>
      </c>
    </row>
    <row r="34" spans="1:19" ht="15.75" x14ac:dyDescent="0.3">
      <c r="A34" s="20">
        <v>12</v>
      </c>
      <c r="B34" s="17">
        <v>157</v>
      </c>
      <c r="C34" s="3">
        <v>42.8</v>
      </c>
      <c r="D34" s="8">
        <v>0.8712595864661653</v>
      </c>
      <c r="E34" s="9">
        <v>1064</v>
      </c>
      <c r="F34" s="4">
        <v>2915</v>
      </c>
      <c r="G34">
        <f t="shared" si="0"/>
        <v>5.0562458053483077</v>
      </c>
      <c r="H34">
        <f t="shared" si="0"/>
        <v>3.7565381025877511</v>
      </c>
      <c r="I34">
        <f t="shared" si="0"/>
        <v>-0.13781531385038742</v>
      </c>
      <c r="J34">
        <f t="shared" si="0"/>
        <v>6.9697906699015899</v>
      </c>
      <c r="L34">
        <f>EXP((_C1_exp16+_C2_exp16*G34)*(_C3_exp16+_C4_exp16*H34)*(_C5_exp16+_C6_exp16*J34)*(_C7_exp16+_C8_exp16*I34)/(1+(d1_exp16+d2_exp16*G34)*(d3_exp16+d4_exp16*H34)*(d5_exp16+d6_exp16*J34)*(d7_exp16+d8_exp16*I34)))</f>
        <v>3162.3117265307123</v>
      </c>
      <c r="N34">
        <f t="shared" si="1"/>
        <v>7.9776250987845927</v>
      </c>
      <c r="O34">
        <f t="shared" si="2"/>
        <v>8.0590585981507914</v>
      </c>
      <c r="P34">
        <f t="shared" si="3"/>
        <v>6.6314148190246844E-3</v>
      </c>
      <c r="S34">
        <f t="shared" si="4"/>
        <v>7.8205992298561733E-2</v>
      </c>
    </row>
    <row r="35" spans="1:19" ht="15.75" x14ac:dyDescent="0.3">
      <c r="A35" s="20">
        <v>13</v>
      </c>
      <c r="B35" s="17">
        <v>144</v>
      </c>
      <c r="C35" s="3">
        <v>45.6</v>
      </c>
      <c r="D35" s="8">
        <v>0.77204269293924499</v>
      </c>
      <c r="E35" s="9">
        <v>1827</v>
      </c>
      <c r="F35" s="4">
        <v>3981</v>
      </c>
      <c r="G35">
        <f t="shared" si="0"/>
        <v>4.9698132995760007</v>
      </c>
      <c r="H35">
        <f t="shared" si="0"/>
        <v>3.8199077165203406</v>
      </c>
      <c r="I35">
        <f t="shared" si="0"/>
        <v>-0.25871542875167214</v>
      </c>
      <c r="J35">
        <f t="shared" si="0"/>
        <v>7.5104305563780063</v>
      </c>
      <c r="L35">
        <f>EXP((_C1_exp16+_C2_exp16*G35)*(_C3_exp16+_C4_exp16*H35)*(_C5_exp16+_C6_exp16*J35)*(_C7_exp16+_C8_exp16*I35)/(1+(d1_exp16+d2_exp16*G35)*(d3_exp16+d4_exp16*H35)*(d5_exp16+d6_exp16*J35)*(d7_exp16+d8_exp16*I35)))</f>
        <v>4146.6335887068872</v>
      </c>
      <c r="N35">
        <f t="shared" si="1"/>
        <v>8.2892883230003171</v>
      </c>
      <c r="O35">
        <f t="shared" si="2"/>
        <v>8.3300521005932975</v>
      </c>
      <c r="P35">
        <f t="shared" si="3"/>
        <v>1.6616855636499654E-3</v>
      </c>
      <c r="S35">
        <f t="shared" si="4"/>
        <v>3.9944110122963485E-2</v>
      </c>
    </row>
    <row r="36" spans="1:19" ht="15.75" x14ac:dyDescent="0.3">
      <c r="A36" s="20">
        <v>14</v>
      </c>
      <c r="B36" s="17">
        <v>164</v>
      </c>
      <c r="C36" s="3">
        <v>47.66</v>
      </c>
      <c r="D36" s="8">
        <v>0.79283404776485</v>
      </c>
      <c r="E36" s="9">
        <v>1633</v>
      </c>
      <c r="F36" s="4">
        <v>3765.0250000000001</v>
      </c>
      <c r="G36">
        <f t="shared" si="0"/>
        <v>5.0998664278241987</v>
      </c>
      <c r="H36">
        <f t="shared" si="0"/>
        <v>3.8640924716705958</v>
      </c>
      <c r="I36">
        <f t="shared" si="0"/>
        <v>-0.23214135066646036</v>
      </c>
      <c r="J36">
        <f t="shared" si="0"/>
        <v>7.3981740929704651</v>
      </c>
      <c r="L36">
        <f>EXP((_C1_exp16+_C2_exp16*G36)*(_C3_exp16+_C4_exp16*H36)*(_C5_exp16+_C6_exp16*J36)*(_C7_exp16+_C8_exp16*I36)/(1+(d1_exp16+d2_exp16*G36)*(d3_exp16+d4_exp16*H36)*(d5_exp16+d6_exp16*J36)*(d7_exp16+d8_exp16*I36)))</f>
        <v>3821.2498845518589</v>
      </c>
      <c r="N36">
        <f t="shared" si="1"/>
        <v>8.2335097803181903</v>
      </c>
      <c r="O36">
        <f t="shared" si="2"/>
        <v>8.2483328429929035</v>
      </c>
      <c r="P36">
        <f t="shared" si="3"/>
        <v>2.1972318705847647E-4</v>
      </c>
      <c r="S36">
        <f t="shared" si="4"/>
        <v>1.4713741903966765E-2</v>
      </c>
    </row>
    <row r="37" spans="1:19" ht="15.75" x14ac:dyDescent="0.3">
      <c r="A37" s="20">
        <v>15</v>
      </c>
      <c r="B37" s="17">
        <v>165</v>
      </c>
      <c r="C37" s="3">
        <v>44.5</v>
      </c>
      <c r="D37" s="8">
        <v>0.80648070107880954</v>
      </c>
      <c r="E37" s="9">
        <v>1921.8963562753036</v>
      </c>
      <c r="F37" s="4">
        <v>4115</v>
      </c>
      <c r="G37">
        <f t="shared" si="0"/>
        <v>5.1059454739005803</v>
      </c>
      <c r="H37">
        <f t="shared" si="0"/>
        <v>3.7954891891721947</v>
      </c>
      <c r="I37">
        <f t="shared" si="0"/>
        <v>-0.21507531092970458</v>
      </c>
      <c r="J37">
        <f t="shared" si="0"/>
        <v>7.5610676631414302</v>
      </c>
      <c r="L37">
        <f>EXP((_C1_exp16+_C2_exp16*G37)*(_C3_exp16+_C4_exp16*H37)*(_C5_exp16+_C6_exp16*J37)*(_C7_exp16+_C8_exp16*I37)/(1+(d1_exp16+d2_exp16*G37)*(d3_exp16+d4_exp16*H37)*(d5_exp16+d6_exp16*J37)*(d7_exp16+d8_exp16*I37)))</f>
        <v>4151.3422868733305</v>
      </c>
      <c r="N37">
        <f t="shared" si="1"/>
        <v>8.3223941131111694</v>
      </c>
      <c r="O37">
        <f t="shared" si="2"/>
        <v>8.3311870035485356</v>
      </c>
      <c r="P37">
        <f t="shared" si="3"/>
        <v>7.7314922243525903E-5</v>
      </c>
      <c r="S37">
        <f t="shared" si="4"/>
        <v>8.7543460312212579E-3</v>
      </c>
    </row>
    <row r="38" spans="1:19" ht="15.75" x14ac:dyDescent="0.3">
      <c r="A38" s="20">
        <v>16</v>
      </c>
      <c r="B38" s="17">
        <v>142</v>
      </c>
      <c r="C38" s="3">
        <v>38.86</v>
      </c>
      <c r="D38" s="8">
        <v>0.92616719858156027</v>
      </c>
      <c r="E38" s="9">
        <v>564</v>
      </c>
      <c r="F38" s="4">
        <v>2115</v>
      </c>
      <c r="G38">
        <f t="shared" si="0"/>
        <v>4.9558270576012609</v>
      </c>
      <c r="H38">
        <f t="shared" si="0"/>
        <v>3.6599654439492939</v>
      </c>
      <c r="I38">
        <f t="shared" si="0"/>
        <v>-7.6700500611673508E-2</v>
      </c>
      <c r="J38">
        <f t="shared" si="0"/>
        <v>6.3350542514980592</v>
      </c>
      <c r="L38">
        <f>EXP((_C1_exp16+_C2_exp16*G38)*(_C3_exp16+_C4_exp16*H38)*(_C5_exp16+_C6_exp16*J38)*(_C7_exp16+_C8_exp16*I38)/(1+(d1_exp16+d2_exp16*G38)*(d3_exp16+d4_exp16*H38)*(d5_exp16+d6_exp16*J38)*(d7_exp16+d8_exp16*I38)))</f>
        <v>2228.0464111798574</v>
      </c>
      <c r="N38">
        <f t="shared" si="1"/>
        <v>7.6568100914803781</v>
      </c>
      <c r="O38">
        <f t="shared" si="2"/>
        <v>7.7088804317008872</v>
      </c>
      <c r="P38">
        <f t="shared" si="3"/>
        <v>2.7113203306795737E-3</v>
      </c>
      <c r="S38">
        <f t="shared" si="4"/>
        <v>5.0737906810475235E-2</v>
      </c>
    </row>
    <row r="39" spans="1:19" ht="15.75" x14ac:dyDescent="0.3">
      <c r="A39" s="20">
        <v>17</v>
      </c>
      <c r="B39" s="17">
        <v>170</v>
      </c>
      <c r="C39" s="3">
        <v>41.82</v>
      </c>
      <c r="D39" s="8">
        <v>0.88517026618550887</v>
      </c>
      <c r="E39" s="9">
        <v>1226</v>
      </c>
      <c r="F39" s="4">
        <v>3365</v>
      </c>
      <c r="G39">
        <f t="shared" si="0"/>
        <v>5.1357984370502621</v>
      </c>
      <c r="H39">
        <f t="shared" si="0"/>
        <v>3.7333746940004877</v>
      </c>
      <c r="I39">
        <f t="shared" si="0"/>
        <v>-0.12197526130894877</v>
      </c>
      <c r="J39">
        <f t="shared" si="0"/>
        <v>7.111512116496157</v>
      </c>
      <c r="L39">
        <f>EXP((_C1_exp16+_C2_exp16*G39)*(_C3_exp16+_C4_exp16*H39)*(_C5_exp16+_C6_exp16*J39)*(_C7_exp16+_C8_exp16*I39)/(1+(d1_exp16+d2_exp16*G39)*(d3_exp16+d4_exp16*H39)*(d5_exp16+d6_exp16*J39)*(d7_exp16+d8_exp16*I39)))</f>
        <v>3350.69687903465</v>
      </c>
      <c r="N39">
        <f t="shared" si="1"/>
        <v>8.1211832420788284</v>
      </c>
      <c r="O39">
        <f t="shared" si="2"/>
        <v>8.1169236267776377</v>
      </c>
      <c r="P39">
        <f t="shared" si="3"/>
        <v>1.8144322514137749E-5</v>
      </c>
      <c r="S39">
        <f t="shared" si="4"/>
        <v>4.2687003574822862E-3</v>
      </c>
    </row>
    <row r="40" spans="1:19" ht="15.75" x14ac:dyDescent="0.3">
      <c r="A40" s="20">
        <v>18</v>
      </c>
      <c r="B40" s="17">
        <v>138</v>
      </c>
      <c r="C40" s="3">
        <v>39.520000000000003</v>
      </c>
      <c r="D40" s="8">
        <v>0.8846938679245282</v>
      </c>
      <c r="E40" s="9">
        <v>848</v>
      </c>
      <c r="F40" s="4">
        <v>2865</v>
      </c>
      <c r="G40">
        <f t="shared" si="0"/>
        <v>4.9272536851572051</v>
      </c>
      <c r="H40">
        <f t="shared" si="0"/>
        <v>3.6768068728796672</v>
      </c>
      <c r="I40">
        <f t="shared" si="0"/>
        <v>-0.12251360576523194</v>
      </c>
      <c r="J40">
        <f t="shared" si="0"/>
        <v>6.7428806357919031</v>
      </c>
      <c r="L40">
        <f>EXP((_C1_exp16+_C2_exp16*G40)*(_C3_exp16+_C4_exp16*H40)*(_C5_exp16+_C6_exp16*J40)*(_C7_exp16+_C8_exp16*I40)/(1+(d1_exp16+d2_exp16*G40)*(d3_exp16+d4_exp16*H40)*(d5_exp16+d6_exp16*J40)*(d7_exp16+d8_exp16*I40)))</f>
        <v>2920.7324134942405</v>
      </c>
      <c r="N40">
        <f t="shared" si="1"/>
        <v>7.9603236291488395</v>
      </c>
      <c r="O40">
        <f t="shared" si="2"/>
        <v>7.9795896903497336</v>
      </c>
      <c r="P40">
        <f t="shared" si="3"/>
        <v>3.7118111419659841E-4</v>
      </c>
      <c r="S40">
        <f t="shared" si="4"/>
        <v>1.9081656791545866E-2</v>
      </c>
    </row>
    <row r="41" spans="1:19" ht="15.75" x14ac:dyDescent="0.3">
      <c r="A41" s="20">
        <v>19</v>
      </c>
      <c r="B41" s="17">
        <v>149</v>
      </c>
      <c r="C41" s="3">
        <v>39.229999999999997</v>
      </c>
      <c r="D41" s="8">
        <v>0.89454904761904763</v>
      </c>
      <c r="E41" s="9">
        <v>840</v>
      </c>
      <c r="F41" s="4">
        <v>2835</v>
      </c>
      <c r="G41">
        <f t="shared" si="0"/>
        <v>5.0039463059454592</v>
      </c>
      <c r="H41">
        <f t="shared" si="0"/>
        <v>3.6694417602214613</v>
      </c>
      <c r="I41">
        <f t="shared" si="0"/>
        <v>-0.11143554509496585</v>
      </c>
      <c r="J41">
        <f t="shared" si="0"/>
        <v>6.7334018918373593</v>
      </c>
      <c r="L41">
        <f>EXP((_C1_exp16+_C2_exp16*G41)*(_C3_exp16+_C4_exp16*H41)*(_C5_exp16+_C6_exp16*J41)*(_C7_exp16+_C8_exp16*I41)/(1+(d1_exp16+d2_exp16*G41)*(d3_exp16+d4_exp16*H41)*(d5_exp16+d6_exp16*J41)*(d7_exp16+d8_exp16*I41)))</f>
        <v>2850.1971478614432</v>
      </c>
      <c r="N41">
        <f t="shared" si="1"/>
        <v>7.9497972161618522</v>
      </c>
      <c r="O41">
        <f t="shared" si="2"/>
        <v>7.9551434455584635</v>
      </c>
      <c r="P41">
        <f t="shared" si="3"/>
        <v>2.8582168761191198E-5</v>
      </c>
      <c r="S41">
        <f t="shared" si="4"/>
        <v>5.3319637460327732E-3</v>
      </c>
    </row>
    <row r="42" spans="1:19" ht="15.75" x14ac:dyDescent="0.3">
      <c r="A42" s="20">
        <v>20</v>
      </c>
      <c r="B42" s="17">
        <v>156</v>
      </c>
      <c r="C42" s="3">
        <v>40.68</v>
      </c>
      <c r="D42" s="8">
        <v>0.89798317631224767</v>
      </c>
      <c r="E42" s="9">
        <v>743</v>
      </c>
      <c r="F42" s="4">
        <v>2615</v>
      </c>
      <c r="G42">
        <f t="shared" si="0"/>
        <v>5.0498560072495371</v>
      </c>
      <c r="H42">
        <f t="shared" si="0"/>
        <v>3.7057365711803594</v>
      </c>
      <c r="I42">
        <f t="shared" si="0"/>
        <v>-0.10760394547431049</v>
      </c>
      <c r="J42">
        <f t="shared" si="0"/>
        <v>6.6106960447177592</v>
      </c>
      <c r="L42">
        <f>EXP((_C1_exp16+_C2_exp16*G42)*(_C3_exp16+_C4_exp16*H42)*(_C5_exp16+_C6_exp16*J42)*(_C7_exp16+_C8_exp16*I42)/(1+(d1_exp16+d2_exp16*G42)*(d3_exp16+d4_exp16*H42)*(d5_exp16+d6_exp16*J42)*(d7_exp16+d8_exp16*I42)))</f>
        <v>2593.2866202524337</v>
      </c>
      <c r="N42">
        <f t="shared" si="1"/>
        <v>7.8690193764990228</v>
      </c>
      <c r="O42">
        <f t="shared" si="2"/>
        <v>7.8606813155859649</v>
      </c>
      <c r="P42">
        <f t="shared" si="3"/>
        <v>6.9523259789863739E-5</v>
      </c>
      <c r="S42">
        <f t="shared" si="4"/>
        <v>8.3729193595471693E-3</v>
      </c>
    </row>
    <row r="43" spans="1:19" ht="15.75" x14ac:dyDescent="0.3">
      <c r="A43" s="20">
        <v>21</v>
      </c>
      <c r="B43" s="17">
        <v>164</v>
      </c>
      <c r="C43" s="3">
        <v>40.47</v>
      </c>
      <c r="D43" s="8">
        <v>0.86339910857758939</v>
      </c>
      <c r="E43" s="9">
        <v>975</v>
      </c>
      <c r="F43" s="4">
        <v>2965</v>
      </c>
      <c r="G43">
        <f t="shared" si="0"/>
        <v>5.0998664278241987</v>
      </c>
      <c r="H43">
        <f t="shared" si="0"/>
        <v>3.7005609588877744</v>
      </c>
      <c r="I43">
        <f t="shared" si="0"/>
        <v>-0.14687822831717731</v>
      </c>
      <c r="J43">
        <f t="shared" si="0"/>
        <v>6.8824374709978473</v>
      </c>
      <c r="L43">
        <f>EXP((_C1_exp16+_C2_exp16*G43)*(_C3_exp16+_C4_exp16*H43)*(_C5_exp16+_C6_exp16*J43)*(_C7_exp16+_C8_exp16*I43)/(1+(d1_exp16+d2_exp16*G43)*(d3_exp16+d4_exp16*H43)*(d5_exp16+d6_exp16*J43)*(d7_exp16+d8_exp16*I43)))</f>
        <v>3027.255022587748</v>
      </c>
      <c r="N43">
        <f t="shared" si="1"/>
        <v>7.9946323114318254</v>
      </c>
      <c r="O43">
        <f t="shared" si="2"/>
        <v>8.0154115547586251</v>
      </c>
      <c r="P43">
        <f t="shared" si="3"/>
        <v>4.3177695323434989E-4</v>
      </c>
      <c r="S43">
        <f t="shared" si="4"/>
        <v>2.0564842447443166E-2</v>
      </c>
    </row>
    <row r="44" spans="1:19" ht="15.75" x14ac:dyDescent="0.3">
      <c r="A44" s="20">
        <v>22</v>
      </c>
      <c r="B44" s="17">
        <v>170</v>
      </c>
      <c r="C44" s="3">
        <v>46.5</v>
      </c>
      <c r="D44" s="8">
        <v>0.78740556732153377</v>
      </c>
      <c r="E44" s="9">
        <v>2124</v>
      </c>
      <c r="F44" s="4">
        <v>4280</v>
      </c>
      <c r="G44">
        <f t="shared" si="0"/>
        <v>5.1357984370502621</v>
      </c>
      <c r="H44">
        <f t="shared" si="0"/>
        <v>3.8394523125933104</v>
      </c>
      <c r="I44">
        <f t="shared" si="0"/>
        <v>-0.23901182998500695</v>
      </c>
      <c r="J44">
        <f t="shared" si="0"/>
        <v>7.6610563823618296</v>
      </c>
      <c r="L44">
        <f>EXP((_C1_exp16+_C2_exp16*G44)*(_C3_exp16+_C4_exp16*H44)*(_C5_exp16+_C6_exp16*J44)*(_C7_exp16+_C8_exp16*I44)/(1+(d1_exp16+d2_exp16*G44)*(d3_exp16+d4_exp16*H44)*(d5_exp16+d6_exp16*J44)*(d7_exp16+d8_exp16*I44)))</f>
        <v>4241.2250073204741</v>
      </c>
      <c r="N44">
        <f t="shared" si="1"/>
        <v>8.3617082885758425</v>
      </c>
      <c r="O44">
        <f t="shared" si="2"/>
        <v>8.3526074233184424</v>
      </c>
      <c r="P44">
        <f t="shared" si="3"/>
        <v>8.2825748433351448E-5</v>
      </c>
      <c r="S44">
        <f t="shared" si="4"/>
        <v>9.142404048971502E-3</v>
      </c>
    </row>
    <row r="45" spans="1:19" ht="15.75" x14ac:dyDescent="0.3">
      <c r="A45" s="20">
        <v>23</v>
      </c>
      <c r="B45" s="17">
        <v>161</v>
      </c>
      <c r="C45" s="3">
        <v>47.21</v>
      </c>
      <c r="D45" s="8">
        <f>(4380*1.1125*0.7706+34*0.9715+65*1.4022)/(4380*1.1125+99)</f>
        <v>0.78023133705435699</v>
      </c>
      <c r="E45" s="9">
        <f>(4380*1.1125+99)</f>
        <v>4971.75</v>
      </c>
      <c r="F45" s="4">
        <v>5187</v>
      </c>
      <c r="G45">
        <f t="shared" si="0"/>
        <v>5.0814043649844631</v>
      </c>
      <c r="H45">
        <f t="shared" si="0"/>
        <v>3.8546057345581954</v>
      </c>
      <c r="I45">
        <f t="shared" si="0"/>
        <v>-0.24816481730429896</v>
      </c>
      <c r="J45">
        <f t="shared" si="0"/>
        <v>8.5115271697896109</v>
      </c>
      <c r="L45">
        <f>EXP((_C1_exp16+_C2_exp16*G45)*(_C3_exp16+_C4_exp16*H45)*(_C5_exp16+_C6_exp16*J45)*(_C7_exp16+_C8_exp16*I45)/(1+(d1_exp16+d2_exp16*G45)*(d3_exp16+d4_exp16*H45)*(d5_exp16+d6_exp16*J45)*(d7_exp16+d8_exp16*I45)))</f>
        <v>5793.4035318759188</v>
      </c>
      <c r="N45">
        <f t="shared" si="1"/>
        <v>8.5539107743514009</v>
      </c>
      <c r="O45">
        <f t="shared" si="2"/>
        <v>8.6644752272025887</v>
      </c>
      <c r="P45">
        <f t="shared" si="3"/>
        <v>1.2224498234282523E-2</v>
      </c>
      <c r="S45">
        <f t="shared" si="4"/>
        <v>0.10467137815265629</v>
      </c>
    </row>
    <row r="46" spans="1:19" ht="15.75" x14ac:dyDescent="0.3">
      <c r="A46" s="20">
        <v>24</v>
      </c>
      <c r="B46" s="17">
        <v>167</v>
      </c>
      <c r="C46" s="3">
        <v>47.52</v>
      </c>
      <c r="D46" s="8">
        <v>0.80427641371235392</v>
      </c>
      <c r="E46" s="9">
        <v>2645</v>
      </c>
      <c r="F46" s="4">
        <v>4375</v>
      </c>
      <c r="G46">
        <f t="shared" si="0"/>
        <v>5.1179938124167554</v>
      </c>
      <c r="H46">
        <f t="shared" si="0"/>
        <v>3.8611506750543896</v>
      </c>
      <c r="I46">
        <f t="shared" si="0"/>
        <v>-0.21781227073851878</v>
      </c>
      <c r="J46">
        <f t="shared" si="0"/>
        <v>7.8804263442923999</v>
      </c>
      <c r="L46">
        <f>EXP((_C1_exp16+_C2_exp16*G46)*(_C3_exp16+_C4_exp16*H46)*(_C5_exp16+_C6_exp16*J46)*(_C7_exp16+_C8_exp16*I46)/(1+(d1_exp16+d2_exp16*G46)*(d3_exp16+d4_exp16*H46)*(d5_exp16+d6_exp16*J46)*(d7_exp16+d8_exp16*I46)))</f>
        <v>4582.6086825560742</v>
      </c>
      <c r="N46">
        <f t="shared" si="1"/>
        <v>8.3836617987917155</v>
      </c>
      <c r="O46">
        <f t="shared" si="2"/>
        <v>8.4300236963024666</v>
      </c>
      <c r="P46">
        <f t="shared" si="3"/>
        <v>2.1494255407973934E-3</v>
      </c>
      <c r="S46">
        <f t="shared" si="4"/>
        <v>4.5303602584778162E-2</v>
      </c>
    </row>
    <row r="47" spans="1:19" ht="15.75" x14ac:dyDescent="0.3">
      <c r="A47" s="20">
        <v>25</v>
      </c>
      <c r="B47" s="17">
        <v>157</v>
      </c>
      <c r="C47" s="3">
        <v>47.57</v>
      </c>
      <c r="D47" s="8">
        <f>(3845*1.1132*0.738+57*0.934+52*1.3185)/(3845*1.1132+109)</f>
        <v>0.74742255791075196</v>
      </c>
      <c r="E47" s="9">
        <f>(3845*1.1132+109)</f>
        <v>4389.2539999999999</v>
      </c>
      <c r="F47" s="4">
        <v>5183</v>
      </c>
      <c r="G47">
        <f t="shared" si="0"/>
        <v>5.0562458053483077</v>
      </c>
      <c r="H47">
        <f t="shared" si="0"/>
        <v>3.8622023104441903</v>
      </c>
      <c r="I47">
        <f t="shared" si="0"/>
        <v>-0.29112458054148521</v>
      </c>
      <c r="J47">
        <f t="shared" si="0"/>
        <v>8.3869145599663266</v>
      </c>
      <c r="L47">
        <f>EXP((_C1_exp16+_C2_exp16*G47)*(_C3_exp16+_C4_exp16*H47)*(_C5_exp16+_C6_exp16*J47)*(_C7_exp16+_C8_exp16*I47)/(1+(d1_exp16+d2_exp16*G47)*(d3_exp16+d4_exp16*H47)*(d5_exp16+d6_exp16*J47)*(d7_exp16+d8_exp16*I47)))</f>
        <v>5494.2403501920298</v>
      </c>
      <c r="N47">
        <f t="shared" si="1"/>
        <v>8.5531393181897073</v>
      </c>
      <c r="O47">
        <f t="shared" si="2"/>
        <v>8.6114556134580571</v>
      </c>
      <c r="P47">
        <f t="shared" si="3"/>
        <v>3.400790293825358E-3</v>
      </c>
      <c r="S47">
        <f t="shared" si="4"/>
        <v>5.6648477378888534E-2</v>
      </c>
    </row>
    <row r="48" spans="1:19" ht="15.75" x14ac:dyDescent="0.3">
      <c r="A48" s="20">
        <v>26</v>
      </c>
      <c r="B48" s="17">
        <v>148</v>
      </c>
      <c r="C48" s="3">
        <v>47.6</v>
      </c>
      <c r="D48" s="8">
        <v>0.80163309653155035</v>
      </c>
      <c r="E48" s="9">
        <v>2393</v>
      </c>
      <c r="F48" s="4">
        <v>4088</v>
      </c>
      <c r="G48">
        <f t="shared" si="0"/>
        <v>4.9972122737641147</v>
      </c>
      <c r="H48">
        <f t="shared" si="0"/>
        <v>3.8628327612373745</v>
      </c>
      <c r="I48">
        <f t="shared" si="0"/>
        <v>-0.22110426141560494</v>
      </c>
      <c r="J48">
        <f t="shared" si="0"/>
        <v>7.780303087908373</v>
      </c>
      <c r="L48">
        <f>EXP((_C1_exp16+_C2_exp16*G48)*(_C3_exp16+_C4_exp16*H48)*(_C5_exp16+_C6_exp16*J48)*(_C7_exp16+_C8_exp16*I48)/(1+(d1_exp16+d2_exp16*G48)*(d3_exp16+d4_exp16*H48)*(d5_exp16+d6_exp16*J48)*(d7_exp16+d8_exp16*I48)))</f>
        <v>4538.2260613377266</v>
      </c>
      <c r="N48">
        <f t="shared" si="1"/>
        <v>8.3158111318835406</v>
      </c>
      <c r="O48">
        <f t="shared" si="2"/>
        <v>8.420291479290265</v>
      </c>
      <c r="P48">
        <f t="shared" si="3"/>
        <v>1.0916142994229824E-2</v>
      </c>
      <c r="S48">
        <f t="shared" si="4"/>
        <v>9.9207499858438977E-2</v>
      </c>
    </row>
    <row r="49" spans="1:19" ht="15.75" x14ac:dyDescent="0.3">
      <c r="A49" s="20">
        <v>27</v>
      </c>
      <c r="B49" s="17">
        <v>143</v>
      </c>
      <c r="C49" s="3">
        <v>45.352893388326464</v>
      </c>
      <c r="D49" s="8">
        <v>0.8055714285714286</v>
      </c>
      <c r="E49" s="9">
        <v>2261</v>
      </c>
      <c r="F49" s="4">
        <v>4328.6499999999996</v>
      </c>
      <c r="G49">
        <f t="shared" si="0"/>
        <v>4.962844630259907</v>
      </c>
      <c r="H49">
        <f t="shared" si="0"/>
        <v>3.8144739758120703</v>
      </c>
      <c r="I49">
        <f t="shared" si="0"/>
        <v>-0.21620340423026821</v>
      </c>
      <c r="J49">
        <f t="shared" si="0"/>
        <v>7.7235624722779699</v>
      </c>
      <c r="L49">
        <f>EXP((_C1_exp16+_C2_exp16*G49)*(_C3_exp16+_C4_exp16*H49)*(_C5_exp16+_C6_exp16*J49)*(_C7_exp16+_C8_exp16*I49)/(1+(d1_exp16+d2_exp16*G49)*(d3_exp16+d4_exp16*H49)*(d5_exp16+d6_exp16*J49)*(d7_exp16+d8_exp16*I49)))</f>
        <v>4583.6050360649506</v>
      </c>
      <c r="N49">
        <f t="shared" si="1"/>
        <v>8.3730109940925868</v>
      </c>
      <c r="O49">
        <f t="shared" si="2"/>
        <v>8.4302410932655718</v>
      </c>
      <c r="P49">
        <f t="shared" si="3"/>
        <v>3.2752842513497039E-3</v>
      </c>
      <c r="S49">
        <f t="shared" si="4"/>
        <v>5.5623255943498831E-2</v>
      </c>
    </row>
    <row r="50" spans="1:19" ht="15.75" x14ac:dyDescent="0.3">
      <c r="A50" s="20">
        <v>28</v>
      </c>
      <c r="B50" s="17">
        <v>142</v>
      </c>
      <c r="C50" s="3">
        <v>44.32</v>
      </c>
      <c r="D50" s="8">
        <v>0.83444602876798013</v>
      </c>
      <c r="E50" s="9">
        <v>1598</v>
      </c>
      <c r="F50" s="4">
        <v>3565</v>
      </c>
      <c r="G50">
        <f t="shared" si="0"/>
        <v>4.9558270576012609</v>
      </c>
      <c r="H50">
        <f t="shared" si="0"/>
        <v>3.7914360424390283</v>
      </c>
      <c r="I50">
        <f t="shared" si="0"/>
        <v>-0.18098721290527789</v>
      </c>
      <c r="J50">
        <f t="shared" si="0"/>
        <v>7.37650812632622</v>
      </c>
      <c r="L50">
        <f>EXP((_C1_exp16+_C2_exp16*G50)*(_C3_exp16+_C4_exp16*H50)*(_C5_exp16+_C6_exp16*J50)*(_C7_exp16+_C8_exp16*I50)/(1+(d1_exp16+d2_exp16*G50)*(d3_exp16+d4_exp16*H50)*(d5_exp16+d6_exp16*J50)*(d7_exp16+d8_exp16*I50)))</f>
        <v>3958.531042890902</v>
      </c>
      <c r="N50">
        <f t="shared" si="1"/>
        <v>8.1789193328483965</v>
      </c>
      <c r="O50">
        <f t="shared" si="2"/>
        <v>8.2836282866650901</v>
      </c>
      <c r="P50">
        <f t="shared" si="3"/>
        <v>1.0963965009386484E-2</v>
      </c>
      <c r="S50">
        <f t="shared" si="4"/>
        <v>9.9413403261707806E-2</v>
      </c>
    </row>
    <row r="51" spans="1:19" ht="15.75" x14ac:dyDescent="0.3">
      <c r="A51" s="20">
        <v>29</v>
      </c>
      <c r="B51" s="17">
        <v>151</v>
      </c>
      <c r="C51" s="3">
        <v>46.13</v>
      </c>
      <c r="D51" s="8">
        <v>0.86693904456452753</v>
      </c>
      <c r="E51" s="9">
        <v>2689</v>
      </c>
      <c r="F51" s="4">
        <v>4451</v>
      </c>
      <c r="G51">
        <f t="shared" si="0"/>
        <v>5.0172798368149243</v>
      </c>
      <c r="H51">
        <f t="shared" si="0"/>
        <v>3.8314634975697293</v>
      </c>
      <c r="I51">
        <f t="shared" si="0"/>
        <v>-0.14278661082713617</v>
      </c>
      <c r="J51">
        <f t="shared" si="0"/>
        <v>7.8969246562688644</v>
      </c>
      <c r="L51">
        <f>EXP((_C1_exp16+_C2_exp16*G51)*(_C3_exp16+_C4_exp16*H51)*(_C5_exp16+_C6_exp16*J51)*(_C7_exp16+_C8_exp16*I51)/(1+(d1_exp16+d2_exp16*G51)*(d3_exp16+d4_exp16*H51)*(d5_exp16+d6_exp16*J51)*(d7_exp16+d8_exp16*I51)))</f>
        <v>4872.1546399823674</v>
      </c>
      <c r="N51">
        <f t="shared" si="1"/>
        <v>8.4008840690158539</v>
      </c>
      <c r="O51">
        <f t="shared" si="2"/>
        <v>8.4912915494406853</v>
      </c>
      <c r="P51">
        <f t="shared" si="3"/>
        <v>8.1735125167662678E-3</v>
      </c>
      <c r="S51">
        <f t="shared" si="4"/>
        <v>8.6441147932014642E-2</v>
      </c>
    </row>
    <row r="52" spans="1:19" ht="15.75" x14ac:dyDescent="0.3">
      <c r="A52" s="20">
        <v>30</v>
      </c>
      <c r="B52" s="17">
        <v>162</v>
      </c>
      <c r="C52" s="3">
        <v>44.89</v>
      </c>
      <c r="D52" s="8">
        <v>0.84604101208844851</v>
      </c>
      <c r="E52" s="9">
        <v>2072</v>
      </c>
      <c r="F52" s="4">
        <v>3995</v>
      </c>
      <c r="G52">
        <f t="shared" si="0"/>
        <v>5.0875963352323836</v>
      </c>
      <c r="H52">
        <f t="shared" si="0"/>
        <v>3.804215052793841</v>
      </c>
      <c r="I52">
        <f t="shared" si="0"/>
        <v>-0.16718744290499665</v>
      </c>
      <c r="J52">
        <f t="shared" si="0"/>
        <v>7.6362696033793735</v>
      </c>
      <c r="L52">
        <f>EXP((_C1_exp16+_C2_exp16*G52)*(_C3_exp16+_C4_exp16*H52)*(_C5_exp16+_C6_exp16*J52)*(_C7_exp16+_C8_exp16*I52)/(1+(d1_exp16+d2_exp16*G52)*(d3_exp16+d4_exp16*H52)*(d5_exp16+d6_exp16*J52)*(d7_exp16+d8_exp16*I52)))</f>
        <v>4292.4425713500023</v>
      </c>
      <c r="N52">
        <f t="shared" si="1"/>
        <v>8.2927988582003742</v>
      </c>
      <c r="O52">
        <f t="shared" si="2"/>
        <v>8.3646112138469562</v>
      </c>
      <c r="P52">
        <f t="shared" si="3"/>
        <v>5.1570144235111703E-3</v>
      </c>
      <c r="S52">
        <f t="shared" si="4"/>
        <v>6.9294478937304588E-2</v>
      </c>
    </row>
    <row r="53" spans="1:19" ht="15.75" x14ac:dyDescent="0.3">
      <c r="A53" s="20">
        <v>31</v>
      </c>
      <c r="B53" s="17">
        <v>140</v>
      </c>
      <c r="C53" s="3">
        <v>44.12</v>
      </c>
      <c r="D53" s="8">
        <v>0.83418704954954959</v>
      </c>
      <c r="E53" s="9">
        <v>1776</v>
      </c>
      <c r="F53" s="4">
        <v>3955</v>
      </c>
      <c r="G53">
        <f t="shared" si="0"/>
        <v>4.9416424226093039</v>
      </c>
      <c r="H53">
        <f t="shared" si="0"/>
        <v>3.7869131943853018</v>
      </c>
      <c r="I53">
        <f t="shared" si="0"/>
        <v>-0.18129762173496636</v>
      </c>
      <c r="J53">
        <f t="shared" si="0"/>
        <v>7.4821189235521155</v>
      </c>
      <c r="L53">
        <f>EXP((_C1_exp16+_C2_exp16*G53)*(_C3_exp16+_C4_exp16*H53)*(_C5_exp16+_C6_exp16*J53)*(_C7_exp16+_C8_exp16*I53)/(1+(d1_exp16+d2_exp16*G53)*(d3_exp16+d4_exp16*H53)*(d5_exp16+d6_exp16*J53)*(d7_exp16+d8_exp16*I53)))</f>
        <v>4193.3314541572609</v>
      </c>
      <c r="N53">
        <f t="shared" si="1"/>
        <v>8.2827358802017539</v>
      </c>
      <c r="O53">
        <f t="shared" si="2"/>
        <v>8.3412507934520228</v>
      </c>
      <c r="P53">
        <f t="shared" si="3"/>
        <v>3.423995072686497E-3</v>
      </c>
      <c r="S53">
        <f t="shared" si="4"/>
        <v>5.6835825348597116E-2</v>
      </c>
    </row>
    <row r="54" spans="1:19" ht="15.75" x14ac:dyDescent="0.3">
      <c r="A54" s="20">
        <v>32</v>
      </c>
      <c r="B54" s="17">
        <v>147</v>
      </c>
      <c r="C54" s="3">
        <v>43.8</v>
      </c>
      <c r="D54" s="8">
        <v>0.84211125419932797</v>
      </c>
      <c r="E54" s="9">
        <v>1786</v>
      </c>
      <c r="F54" s="4">
        <v>3865</v>
      </c>
      <c r="G54">
        <f t="shared" si="0"/>
        <v>4.990432586778736</v>
      </c>
      <c r="H54">
        <f t="shared" si="0"/>
        <v>3.7796338173824005</v>
      </c>
      <c r="I54">
        <f t="shared" si="0"/>
        <v>-0.1718431425902642</v>
      </c>
      <c r="J54">
        <f t="shared" si="0"/>
        <v>7.4877337614364441</v>
      </c>
      <c r="L54">
        <f>EXP((_C1_exp16+_C2_exp16*G54)*(_C3_exp16+_C4_exp16*H54)*(_C5_exp16+_C6_exp16*J54)*(_C7_exp16+_C8_exp16*I54)/(1+(d1_exp16+d2_exp16*G54)*(d3_exp16+d4_exp16*H54)*(d5_exp16+d6_exp16*J54)*(d7_exp16+d8_exp16*I54)))</f>
        <v>4167.2696942565044</v>
      </c>
      <c r="N54">
        <f t="shared" si="1"/>
        <v>8.2597169610215229</v>
      </c>
      <c r="O54">
        <f t="shared" si="2"/>
        <v>8.3350163507719568</v>
      </c>
      <c r="P54">
        <f t="shared" si="3"/>
        <v>5.6699980967877548E-3</v>
      </c>
      <c r="S54">
        <f t="shared" si="4"/>
        <v>7.2534228987652133E-2</v>
      </c>
    </row>
    <row r="55" spans="1:19" ht="15.75" x14ac:dyDescent="0.3">
      <c r="A55" s="20">
        <v>33</v>
      </c>
      <c r="B55" s="17">
        <v>146</v>
      </c>
      <c r="C55" s="3">
        <v>46.89</v>
      </c>
      <c r="D55" s="8">
        <v>0.8427257117437722</v>
      </c>
      <c r="E55" s="9">
        <v>2247</v>
      </c>
      <c r="F55" s="4">
        <v>4217</v>
      </c>
      <c r="G55">
        <f t="shared" ref="G55:J86" si="5">LN(B55)</f>
        <v>4.9836066217083363</v>
      </c>
      <c r="H55">
        <f t="shared" si="5"/>
        <v>3.8478044331014951</v>
      </c>
      <c r="I55">
        <f t="shared" si="5"/>
        <v>-0.17111374552205322</v>
      </c>
      <c r="J55">
        <f t="shared" si="5"/>
        <v>7.7173512721853292</v>
      </c>
      <c r="L55">
        <f>EXP((_C1_exp16+_C2_exp16*G55)*(_C3_exp16+_C4_exp16*H55)*(_C5_exp16+_C6_exp16*J55)*(_C7_exp16+_C8_exp16*I55)/(1+(d1_exp16+d2_exp16*G55)*(d3_exp16+d4_exp16*H55)*(d5_exp16+d6_exp16*J55)*(d7_exp16+d8_exp16*I55)))</f>
        <v>4483.2171719030484</v>
      </c>
      <c r="N55">
        <f t="shared" si="1"/>
        <v>8.3468792537465593</v>
      </c>
      <c r="O55">
        <f t="shared" si="2"/>
        <v>8.4080961864135126</v>
      </c>
      <c r="P55">
        <f t="shared" si="3"/>
        <v>3.7475128451503041E-3</v>
      </c>
      <c r="S55">
        <f t="shared" si="4"/>
        <v>5.9380833382658517E-2</v>
      </c>
    </row>
    <row r="56" spans="1:19" ht="15.75" x14ac:dyDescent="0.3">
      <c r="A56" s="20">
        <v>34</v>
      </c>
      <c r="B56" s="17">
        <v>158</v>
      </c>
      <c r="C56" s="3">
        <v>47.32</v>
      </c>
      <c r="D56" s="8">
        <v>0.82779175398633253</v>
      </c>
      <c r="E56" s="9">
        <v>2196</v>
      </c>
      <c r="F56" s="4">
        <v>4145</v>
      </c>
      <c r="G56">
        <f t="shared" si="5"/>
        <v>5.0625950330269669</v>
      </c>
      <c r="H56">
        <f t="shared" si="5"/>
        <v>3.8569330391101859</v>
      </c>
      <c r="I56">
        <f t="shared" si="5"/>
        <v>-0.18899366107694993</v>
      </c>
      <c r="J56">
        <f t="shared" si="5"/>
        <v>7.6943928026294213</v>
      </c>
      <c r="L56">
        <f>EXP((_C1_exp16+_C2_exp16*G56)*(_C3_exp16+_C4_exp16*H56)*(_C5_exp16+_C6_exp16*J56)*(_C7_exp16+_C8_exp16*I56)/(1+(d1_exp16+d2_exp16*G56)*(d3_exp16+d4_exp16*H56)*(d5_exp16+d6_exp16*J56)*(d7_exp16+d8_exp16*I56)))</f>
        <v>4324.3035252990703</v>
      </c>
      <c r="N56">
        <f t="shared" si="1"/>
        <v>8.3296580675693956</v>
      </c>
      <c r="O56">
        <f t="shared" si="2"/>
        <v>8.3720063717855826</v>
      </c>
      <c r="P56">
        <f t="shared" si="3"/>
        <v>1.7933788699867183E-3</v>
      </c>
      <c r="S56">
        <f t="shared" si="4"/>
        <v>4.1464139658575337E-2</v>
      </c>
    </row>
    <row r="57" spans="1:19" ht="15.75" x14ac:dyDescent="0.3">
      <c r="A57" s="20">
        <v>35</v>
      </c>
      <c r="B57" s="17">
        <v>140</v>
      </c>
      <c r="C57" s="3">
        <v>43.88</v>
      </c>
      <c r="D57" s="8">
        <v>0.80935814432989683</v>
      </c>
      <c r="E57" s="9">
        <v>1455</v>
      </c>
      <c r="F57" s="4">
        <v>3465</v>
      </c>
      <c r="G57">
        <f t="shared" si="5"/>
        <v>4.9416424226093039</v>
      </c>
      <c r="H57">
        <f t="shared" si="5"/>
        <v>3.7814586354070294</v>
      </c>
      <c r="I57">
        <f t="shared" si="5"/>
        <v>-0.21151375984944043</v>
      </c>
      <c r="J57">
        <f t="shared" si="5"/>
        <v>7.2827611796055933</v>
      </c>
      <c r="L57">
        <f>EXP((_C1_exp16+_C2_exp16*G57)*(_C3_exp16+_C4_exp16*H57)*(_C5_exp16+_C6_exp16*J57)*(_C7_exp16+_C8_exp16*I57)/(1+(d1_exp16+d2_exp16*G57)*(d3_exp16+d4_exp16*H57)*(d5_exp16+d6_exp16*J57)*(d7_exp16+d8_exp16*I57)))</f>
        <v>3804.8725097357128</v>
      </c>
      <c r="N57">
        <f t="shared" si="1"/>
        <v>8.1504679116240037</v>
      </c>
      <c r="O57">
        <f t="shared" si="2"/>
        <v>8.2440377637517184</v>
      </c>
      <c r="P57">
        <f t="shared" si="3"/>
        <v>8.7553172272023805E-3</v>
      </c>
      <c r="S57">
        <f t="shared" si="4"/>
        <v>8.9325597340269472E-2</v>
      </c>
    </row>
    <row r="58" spans="1:19" ht="15.75" x14ac:dyDescent="0.3">
      <c r="A58" s="20">
        <v>36</v>
      </c>
      <c r="B58" s="17">
        <v>149</v>
      </c>
      <c r="C58" s="3">
        <v>40.659999999999997</v>
      </c>
      <c r="D58" s="8">
        <v>0.88659053876478311</v>
      </c>
      <c r="E58" s="9">
        <v>761</v>
      </c>
      <c r="F58" s="4">
        <v>2515</v>
      </c>
      <c r="G58">
        <f t="shared" si="5"/>
        <v>5.0039463059454592</v>
      </c>
      <c r="H58">
        <f t="shared" si="5"/>
        <v>3.7052448082002005</v>
      </c>
      <c r="I58">
        <f t="shared" si="5"/>
        <v>-0.12037202809651597</v>
      </c>
      <c r="J58">
        <f t="shared" si="5"/>
        <v>6.6346333578616861</v>
      </c>
      <c r="L58">
        <f>EXP((_C1_exp16+_C2_exp16*G58)*(_C3_exp16+_C4_exp16*H58)*(_C5_exp16+_C6_exp16*J58)*(_C7_exp16+_C8_exp16*I58)/(1+(d1_exp16+d2_exp16*G58)*(d3_exp16+d4_exp16*H58)*(d5_exp16+d6_exp16*J58)*(d7_exp16+d8_exp16*I58)))</f>
        <v>2665.9317508308795</v>
      </c>
      <c r="N58">
        <f t="shared" si="1"/>
        <v>7.8300280825338398</v>
      </c>
      <c r="O58">
        <f t="shared" si="2"/>
        <v>7.8883089005725928</v>
      </c>
      <c r="P58">
        <f t="shared" si="3"/>
        <v>3.3966537512662449E-3</v>
      </c>
      <c r="S58">
        <f t="shared" si="4"/>
        <v>5.6615009286655325E-2</v>
      </c>
    </row>
    <row r="59" spans="1:19" ht="15.75" x14ac:dyDescent="0.3">
      <c r="A59" s="20">
        <v>37</v>
      </c>
      <c r="B59" s="17">
        <v>157</v>
      </c>
      <c r="C59" s="3">
        <v>40.619999999999997</v>
      </c>
      <c r="D59" s="8">
        <v>0.91650691642651272</v>
      </c>
      <c r="E59" s="9">
        <v>694</v>
      </c>
      <c r="F59" s="4">
        <v>2215</v>
      </c>
      <c r="G59">
        <f t="shared" si="5"/>
        <v>5.0562458053483077</v>
      </c>
      <c r="H59">
        <f t="shared" si="5"/>
        <v>3.7042605561522386</v>
      </c>
      <c r="I59">
        <f t="shared" si="5"/>
        <v>-8.7185665166190529E-2</v>
      </c>
      <c r="J59">
        <f t="shared" si="5"/>
        <v>6.5424719605068047</v>
      </c>
      <c r="L59">
        <f>EXP((_C1_exp16+_C2_exp16*G59)*(_C3_exp16+_C4_exp16*H59)*(_C5_exp16+_C6_exp16*J59)*(_C7_exp16+_C8_exp16*I59)/(1+(d1_exp16+d2_exp16*G59)*(d3_exp16+d4_exp16*H59)*(d5_exp16+d6_exp16*J59)*(d7_exp16+d8_exp16*I59)))</f>
        <v>2470.6460585959057</v>
      </c>
      <c r="N59">
        <f t="shared" si="1"/>
        <v>7.7030076824792362</v>
      </c>
      <c r="O59">
        <f t="shared" si="2"/>
        <v>7.8122349576051757</v>
      </c>
      <c r="P59">
        <f t="shared" si="3"/>
        <v>1.1930597631437693E-2</v>
      </c>
      <c r="S59">
        <f t="shared" si="4"/>
        <v>0.103473363862241</v>
      </c>
    </row>
    <row r="60" spans="1:19" ht="15.75" x14ac:dyDescent="0.3">
      <c r="A60" s="20">
        <v>38</v>
      </c>
      <c r="B60" s="17">
        <v>169</v>
      </c>
      <c r="C60" s="3">
        <v>43.95</v>
      </c>
      <c r="D60" s="8">
        <v>0.92319242033006776</v>
      </c>
      <c r="E60" s="9">
        <v>1193</v>
      </c>
      <c r="F60" s="4">
        <v>3165</v>
      </c>
      <c r="G60">
        <f t="shared" si="5"/>
        <v>5.1298987149230735</v>
      </c>
      <c r="H60">
        <f t="shared" si="5"/>
        <v>3.7830526241311859</v>
      </c>
      <c r="I60">
        <f t="shared" si="5"/>
        <v>-7.9917593476403939E-2</v>
      </c>
      <c r="J60">
        <f t="shared" si="5"/>
        <v>7.0842264220979159</v>
      </c>
      <c r="L60">
        <f>EXP((_C1_exp16+_C2_exp16*G60)*(_C3_exp16+_C4_exp16*H60)*(_C5_exp16+_C6_exp16*J60)*(_C7_exp16+_C8_exp16*I60)/(1+(d1_exp16+d2_exp16*G60)*(d3_exp16+d4_exp16*H60)*(d5_exp16+d6_exp16*J60)*(d7_exp16+d8_exp16*I60)))</f>
        <v>3222.3428355286537</v>
      </c>
      <c r="N60">
        <f t="shared" si="1"/>
        <v>8.0599083345782763</v>
      </c>
      <c r="O60">
        <f t="shared" si="2"/>
        <v>8.0778639626476316</v>
      </c>
      <c r="P60">
        <f t="shared" si="3"/>
        <v>3.2240457936502193E-4</v>
      </c>
      <c r="S60">
        <f t="shared" si="4"/>
        <v>1.779538629360216E-2</v>
      </c>
    </row>
    <row r="61" spans="1:19" ht="15.75" x14ac:dyDescent="0.3">
      <c r="A61" s="20">
        <v>39</v>
      </c>
      <c r="B61" s="17">
        <v>165</v>
      </c>
      <c r="C61" s="3">
        <v>41.67</v>
      </c>
      <c r="D61" s="8">
        <v>0.77590107505608719</v>
      </c>
      <c r="E61" s="9">
        <v>2539</v>
      </c>
      <c r="F61" s="4">
        <v>5655</v>
      </c>
      <c r="G61">
        <f t="shared" si="5"/>
        <v>5.1059454739005803</v>
      </c>
      <c r="H61">
        <f t="shared" si="5"/>
        <v>3.7297814454343623</v>
      </c>
      <c r="I61">
        <f t="shared" si="5"/>
        <v>-0.25373024752308615</v>
      </c>
      <c r="J61">
        <f t="shared" si="5"/>
        <v>7.8395255817046783</v>
      </c>
      <c r="L61">
        <f>EXP((_C1_exp16+_C2_exp16*G61)*(_C3_exp16+_C4_exp16*H61)*(_C5_exp16+_C6_exp16*J61)*(_C7_exp16+_C8_exp16*I61)/(1+(d1_exp16+d2_exp16*G61)*(d3_exp16+d4_exp16*H61)*(d5_exp16+d6_exp16*J61)*(d7_exp16+d8_exp16*I61)))</f>
        <v>4761.2938296497887</v>
      </c>
      <c r="N61">
        <f t="shared" si="1"/>
        <v>8.6402953885502214</v>
      </c>
      <c r="O61">
        <f t="shared" si="2"/>
        <v>8.4682747232426543</v>
      </c>
      <c r="P61">
        <f t="shared" si="3"/>
        <v>2.959110929285802E-2</v>
      </c>
      <c r="S61">
        <f t="shared" si="4"/>
        <v>0.18770237719522276</v>
      </c>
    </row>
    <row r="62" spans="1:19" ht="15.75" x14ac:dyDescent="0.3">
      <c r="A62" s="20">
        <v>40</v>
      </c>
      <c r="B62" s="17">
        <v>165</v>
      </c>
      <c r="C62" s="3">
        <v>41.31</v>
      </c>
      <c r="D62" s="8">
        <v>0.80779518026477171</v>
      </c>
      <c r="E62" s="9">
        <v>1311</v>
      </c>
      <c r="F62" s="4">
        <v>3865</v>
      </c>
      <c r="G62">
        <f t="shared" si="5"/>
        <v>5.1059454739005803</v>
      </c>
      <c r="H62">
        <f t="shared" si="5"/>
        <v>3.7211046014086731</v>
      </c>
      <c r="I62">
        <f t="shared" si="5"/>
        <v>-0.21344674236632644</v>
      </c>
      <c r="J62">
        <f t="shared" si="5"/>
        <v>7.1785454837636999</v>
      </c>
      <c r="L62">
        <f>EXP((_C1_exp16+_C2_exp16*G62)*(_C3_exp16+_C4_exp16*H62)*(_C5_exp16+_C6_exp16*J62)*(_C7_exp16+_C8_exp16*I62)/(1+(d1_exp16+d2_exp16*G62)*(d3_exp16+d4_exp16*H62)*(d5_exp16+d6_exp16*J62)*(d7_exp16+d8_exp16*I62)))</f>
        <v>3547.7549984980469</v>
      </c>
      <c r="N62">
        <f t="shared" si="1"/>
        <v>8.2597169610215229</v>
      </c>
      <c r="O62">
        <f t="shared" si="2"/>
        <v>8.174070287634251</v>
      </c>
      <c r="P62">
        <f t="shared" si="3"/>
        <v>7.3353526623060172E-3</v>
      </c>
      <c r="S62">
        <f t="shared" si="4"/>
        <v>8.9421338744152215E-2</v>
      </c>
    </row>
    <row r="63" spans="1:19" ht="15.75" x14ac:dyDescent="0.3">
      <c r="A63" s="20">
        <v>41</v>
      </c>
      <c r="B63" s="17">
        <v>176</v>
      </c>
      <c r="C63" s="3">
        <v>52.3</v>
      </c>
      <c r="D63" s="8">
        <v>0.75817891207484189</v>
      </c>
      <c r="E63" s="9">
        <v>7104</v>
      </c>
      <c r="F63" s="4">
        <v>4820</v>
      </c>
      <c r="G63">
        <f t="shared" si="5"/>
        <v>5.1704839950381514</v>
      </c>
      <c r="H63">
        <f t="shared" si="5"/>
        <v>3.9569963710708773</v>
      </c>
      <c r="I63">
        <f t="shared" si="5"/>
        <v>-0.27683588942987397</v>
      </c>
      <c r="J63">
        <f t="shared" si="5"/>
        <v>8.8684132846720054</v>
      </c>
      <c r="L63">
        <f>EXP((_C1_exp16+_C2_exp16*G63)*(_C3_exp16+_C4_exp16*H63)*(_C5_exp16+_C6_exp16*J63)*(_C7_exp16+_C8_exp16*I63)/(1+(d1_exp16+d2_exp16*G63)*(d3_exp16+d4_exp16*H63)*(d5_exp16+d6_exp16*J63)*(d7_exp16+d8_exp16*I63)))</f>
        <v>5673.197703315268</v>
      </c>
      <c r="N63">
        <f t="shared" si="1"/>
        <v>8.4805292070446452</v>
      </c>
      <c r="O63">
        <f t="shared" si="2"/>
        <v>8.6435082065898108</v>
      </c>
      <c r="P63">
        <f t="shared" si="3"/>
        <v>2.6562154292743088E-2</v>
      </c>
      <c r="S63">
        <f t="shared" si="4"/>
        <v>0.15039096959668471</v>
      </c>
    </row>
    <row r="64" spans="1:19" ht="15.75" x14ac:dyDescent="0.3">
      <c r="A64" s="20">
        <v>42</v>
      </c>
      <c r="B64" s="17">
        <v>149</v>
      </c>
      <c r="C64" s="3">
        <v>44.41</v>
      </c>
      <c r="D64" s="8">
        <v>0.82023585858585857</v>
      </c>
      <c r="E64" s="9">
        <v>1583</v>
      </c>
      <c r="F64" s="4">
        <v>3815</v>
      </c>
      <c r="G64">
        <f t="shared" si="5"/>
        <v>5.0039463059454592</v>
      </c>
      <c r="H64">
        <f t="shared" si="5"/>
        <v>3.7934646693040106</v>
      </c>
      <c r="I64">
        <f t="shared" si="5"/>
        <v>-0.19816334766033408</v>
      </c>
      <c r="J64">
        <f t="shared" si="5"/>
        <v>7.3670770598810122</v>
      </c>
      <c r="L64">
        <f>EXP((_C1_exp16+_C2_exp16*G64)*(_C3_exp16+_C4_exp16*H64)*(_C5_exp16+_C6_exp16*J64)*(_C7_exp16+_C8_exp16*I64)/(1+(d1_exp16+d2_exp16*G64)*(d3_exp16+d4_exp16*H64)*(d5_exp16+d6_exp16*J64)*(d7_exp16+d8_exp16*I64)))</f>
        <v>3895.2024374640573</v>
      </c>
      <c r="N64">
        <f t="shared" si="1"/>
        <v>8.2466959437185565</v>
      </c>
      <c r="O64">
        <f t="shared" si="2"/>
        <v>8.2675009306292466</v>
      </c>
      <c r="P64">
        <f t="shared" si="3"/>
        <v>4.3284748035398655E-4</v>
      </c>
      <c r="S64">
        <f t="shared" si="4"/>
        <v>2.0590056294037574E-2</v>
      </c>
    </row>
    <row r="65" spans="1:19" ht="15.75" x14ac:dyDescent="0.3">
      <c r="A65" s="20">
        <v>43</v>
      </c>
      <c r="B65" s="17">
        <v>152</v>
      </c>
      <c r="C65" s="3">
        <v>46.69</v>
      </c>
      <c r="D65" s="8">
        <v>0.82400711082639333</v>
      </c>
      <c r="E65" s="9">
        <v>1562</v>
      </c>
      <c r="F65" s="4">
        <v>3565</v>
      </c>
      <c r="G65">
        <f t="shared" si="5"/>
        <v>5.0238805208462765</v>
      </c>
      <c r="H65">
        <f t="shared" si="5"/>
        <v>3.8435300089828455</v>
      </c>
      <c r="I65">
        <f t="shared" si="5"/>
        <v>-0.19357611946621928</v>
      </c>
      <c r="J65">
        <f t="shared" si="5"/>
        <v>7.3537223303996315</v>
      </c>
      <c r="L65">
        <f>EXP((_C1_exp16+_C2_exp16*G65)*(_C3_exp16+_C4_exp16*H65)*(_C5_exp16+_C6_exp16*J65)*(_C7_exp16+_C8_exp16*I65)/(1+(d1_exp16+d2_exp16*G65)*(d3_exp16+d4_exp16*H65)*(d5_exp16+d6_exp16*J65)*(d7_exp16+d8_exp16*I65)))</f>
        <v>3785.137159389034</v>
      </c>
      <c r="N65">
        <f t="shared" si="1"/>
        <v>8.1789193328483965</v>
      </c>
      <c r="O65">
        <f t="shared" si="2"/>
        <v>8.2388374028342781</v>
      </c>
      <c r="P65">
        <f t="shared" si="3"/>
        <v>3.5901751108330139E-3</v>
      </c>
      <c r="S65">
        <f t="shared" si="4"/>
        <v>5.8158304473322368E-2</v>
      </c>
    </row>
    <row r="66" spans="1:19" ht="15.75" x14ac:dyDescent="0.3">
      <c r="A66" s="20">
        <v>44</v>
      </c>
      <c r="B66" s="17">
        <v>129</v>
      </c>
      <c r="C66" s="3">
        <v>46.91</v>
      </c>
      <c r="D66" s="8">
        <v>0.84911701807228912</v>
      </c>
      <c r="E66" s="9">
        <v>1992</v>
      </c>
      <c r="F66" s="4">
        <v>4271</v>
      </c>
      <c r="G66">
        <f t="shared" si="5"/>
        <v>4.8598124043616719</v>
      </c>
      <c r="H66">
        <f t="shared" si="5"/>
        <v>3.8482308723403666</v>
      </c>
      <c r="I66">
        <f t="shared" si="5"/>
        <v>-0.163558271694698</v>
      </c>
      <c r="J66">
        <f t="shared" si="5"/>
        <v>7.5968944381445436</v>
      </c>
      <c r="L66">
        <f>EXP((_C1_exp16+_C2_exp16*G66)*(_C3_exp16+_C4_exp16*H66)*(_C5_exp16+_C6_exp16*J66)*(_C7_exp16+_C8_exp16*I66)/(1+(d1_exp16+d2_exp16*G66)*(d3_exp16+d4_exp16*H66)*(d5_exp16+d6_exp16*J66)*(d7_exp16+d8_exp16*I66)))</f>
        <v>4381.7896754514186</v>
      </c>
      <c r="N66">
        <f t="shared" si="1"/>
        <v>8.3596032708414665</v>
      </c>
      <c r="O66">
        <f t="shared" si="2"/>
        <v>8.3852125216167863</v>
      </c>
      <c r="P66">
        <f t="shared" si="3"/>
        <v>6.5583372527321961E-4</v>
      </c>
      <c r="S66">
        <f t="shared" si="4"/>
        <v>2.5284115317562538E-2</v>
      </c>
    </row>
    <row r="67" spans="1:19" ht="15.75" x14ac:dyDescent="0.3">
      <c r="A67" s="20">
        <v>45</v>
      </c>
      <c r="B67" s="17">
        <v>189</v>
      </c>
      <c r="C67" s="3">
        <v>49.47</v>
      </c>
      <c r="D67" s="8">
        <f>(9000*1.0501*0.7561+14*0.8875+25*1.3218)/(9000*1.0501+39)</f>
        <v>0.75778411679785873</v>
      </c>
      <c r="E67" s="9">
        <f>(9000*1.0501+39)</f>
        <v>9489.9</v>
      </c>
      <c r="F67" s="4">
        <v>5335</v>
      </c>
      <c r="G67">
        <f t="shared" si="5"/>
        <v>5.2417470150596426</v>
      </c>
      <c r="H67">
        <f t="shared" si="5"/>
        <v>3.9013664252396172</v>
      </c>
      <c r="I67">
        <f t="shared" si="5"/>
        <v>-0.27735674024007073</v>
      </c>
      <c r="J67">
        <f t="shared" si="5"/>
        <v>9.1579833541406561</v>
      </c>
      <c r="L67">
        <f>EXP((_C1_exp16+_C2_exp16*G67)*(_C3_exp16+_C4_exp16*H67)*(_C5_exp16+_C6_exp16*J67)*(_C7_exp16+_C8_exp16*I67)/(1+(d1_exp16+d2_exp16*G67)*(d3_exp16+d4_exp16*H67)*(d5_exp16+d6_exp16*J67)*(d7_exp16+d8_exp16*I67)))</f>
        <v>6164.8082347717664</v>
      </c>
      <c r="N67">
        <f t="shared" si="1"/>
        <v>8.5820441637358531</v>
      </c>
      <c r="O67">
        <f t="shared" si="2"/>
        <v>8.7266123096437376</v>
      </c>
      <c r="P67">
        <f t="shared" si="3"/>
        <v>2.0899948811243373E-2</v>
      </c>
      <c r="S67">
        <f t="shared" si="4"/>
        <v>0.13460406279814924</v>
      </c>
    </row>
    <row r="68" spans="1:19" ht="15.75" x14ac:dyDescent="0.3">
      <c r="A68" s="20">
        <v>46</v>
      </c>
      <c r="B68" s="17">
        <v>143</v>
      </c>
      <c r="C68" s="3">
        <v>44.76</v>
      </c>
      <c r="D68" s="8">
        <v>0.83229050097592716</v>
      </c>
      <c r="E68" s="9">
        <v>1537</v>
      </c>
      <c r="F68" s="4">
        <v>3615</v>
      </c>
      <c r="G68">
        <f t="shared" si="5"/>
        <v>4.962844630259907</v>
      </c>
      <c r="H68">
        <f t="shared" si="5"/>
        <v>3.8013148834437245</v>
      </c>
      <c r="I68">
        <f t="shared" si="5"/>
        <v>-0.18357373927619999</v>
      </c>
      <c r="J68">
        <f t="shared" si="5"/>
        <v>7.3375877435385961</v>
      </c>
      <c r="L68">
        <f>EXP((_C1_exp16+_C2_exp16*G68)*(_C3_exp16+_C4_exp16*H68)*(_C5_exp16+_C6_exp16*J68)*(_C7_exp16+_C8_exp16*I68)/(1+(d1_exp16+d2_exp16*G68)*(d3_exp16+d4_exp16*H68)*(d5_exp16+d6_exp16*J68)*(d7_exp16+d8_exp16*I68)))</f>
        <v>3861.1371376543038</v>
      </c>
      <c r="N68">
        <f t="shared" si="1"/>
        <v>8.1928471345928653</v>
      </c>
      <c r="O68">
        <f t="shared" si="2"/>
        <v>8.2587170143214461</v>
      </c>
      <c r="P68">
        <f t="shared" si="3"/>
        <v>4.3388410554577031E-3</v>
      </c>
      <c r="S68">
        <f t="shared" si="4"/>
        <v>6.3747318180942855E-2</v>
      </c>
    </row>
    <row r="69" spans="1:19" ht="15.75" x14ac:dyDescent="0.3">
      <c r="A69" s="20">
        <v>47</v>
      </c>
      <c r="B69" s="17">
        <v>169</v>
      </c>
      <c r="C69" s="3">
        <v>46.98</v>
      </c>
      <c r="D69" s="8">
        <v>0.83751465827147997</v>
      </c>
      <c r="E69" s="9">
        <v>1902.8279498619736</v>
      </c>
      <c r="F69" s="4">
        <v>3992</v>
      </c>
      <c r="G69">
        <f t="shared" si="5"/>
        <v>5.1298987149230735</v>
      </c>
      <c r="H69">
        <f t="shared" si="5"/>
        <v>3.8497219792307669</v>
      </c>
      <c r="I69">
        <f t="shared" si="5"/>
        <v>-0.17731651302237358</v>
      </c>
      <c r="J69">
        <f t="shared" si="5"/>
        <v>7.5510964532572542</v>
      </c>
      <c r="L69">
        <f>EXP((_C1_exp16+_C2_exp16*G69)*(_C3_exp16+_C4_exp16*H69)*(_C5_exp16+_C6_exp16*J69)*(_C7_exp16+_C8_exp16*I69)/(1+(d1_exp16+d2_exp16*G69)*(d3_exp16+d4_exp16*H69)*(d5_exp16+d6_exp16*J69)*(d7_exp16+d8_exp16*I69)))</f>
        <v>4012.1678998703728</v>
      </c>
      <c r="N69">
        <f t="shared" si="1"/>
        <v>8.2920476374313541</v>
      </c>
      <c r="O69">
        <f t="shared" si="2"/>
        <v>8.2970869976254988</v>
      </c>
      <c r="P69">
        <f t="shared" si="3"/>
        <v>2.5395151166330599E-5</v>
      </c>
      <c r="S69">
        <f t="shared" si="4"/>
        <v>5.0266839209357154E-3</v>
      </c>
    </row>
    <row r="70" spans="1:19" ht="15.75" x14ac:dyDescent="0.3">
      <c r="A70" s="20">
        <v>48</v>
      </c>
      <c r="B70" s="17">
        <v>154</v>
      </c>
      <c r="C70" s="3">
        <v>44.43</v>
      </c>
      <c r="D70" s="8">
        <v>0.8241312228429547</v>
      </c>
      <c r="E70" s="9">
        <v>1611</v>
      </c>
      <c r="F70" s="4">
        <v>3865</v>
      </c>
      <c r="G70">
        <f t="shared" si="5"/>
        <v>5.0369526024136295</v>
      </c>
      <c r="H70">
        <f t="shared" si="5"/>
        <v>3.7939149169478172</v>
      </c>
      <c r="I70">
        <f t="shared" si="5"/>
        <v>-0.19342551072876016</v>
      </c>
      <c r="J70">
        <f t="shared" si="5"/>
        <v>7.384610383176974</v>
      </c>
      <c r="L70">
        <f>EXP((_C1_exp16+_C2_exp16*G70)*(_C3_exp16+_C4_exp16*H70)*(_C5_exp16+_C6_exp16*J70)*(_C7_exp16+_C8_exp16*I70)/(1+(d1_exp16+d2_exp16*G70)*(d3_exp16+d4_exp16*H70)*(d5_exp16+d6_exp16*J70)*(d7_exp16+d8_exp16*I70)))</f>
        <v>3897.0749434140198</v>
      </c>
      <c r="N70">
        <f t="shared" si="1"/>
        <v>8.2597169610215229</v>
      </c>
      <c r="O70">
        <f t="shared" si="2"/>
        <v>8.2679815362069178</v>
      </c>
      <c r="P70">
        <f t="shared" si="3"/>
        <v>6.8303202995045442E-5</v>
      </c>
      <c r="S70">
        <f t="shared" si="4"/>
        <v>8.230517472656209E-3</v>
      </c>
    </row>
    <row r="71" spans="1:19" ht="15.75" x14ac:dyDescent="0.3">
      <c r="A71" s="20">
        <v>49</v>
      </c>
      <c r="B71" s="17">
        <v>145</v>
      </c>
      <c r="C71" s="3">
        <v>48.64</v>
      </c>
      <c r="D71" s="8">
        <f>(6523*1.0697*0.7366+14*0.9432+39*1.248)/(6523*1.0697+53)</f>
        <v>0.73984820463692058</v>
      </c>
      <c r="E71" s="9">
        <f>(6523*1.0697+53)</f>
        <v>7030.6531000000004</v>
      </c>
      <c r="F71" s="4">
        <v>6058</v>
      </c>
      <c r="G71">
        <f t="shared" si="5"/>
        <v>4.9767337424205742</v>
      </c>
      <c r="H71">
        <f t="shared" si="5"/>
        <v>3.8844462376579116</v>
      </c>
      <c r="I71">
        <f t="shared" si="5"/>
        <v>-0.30131024269475187</v>
      </c>
      <c r="J71">
        <f t="shared" si="5"/>
        <v>8.8580348823388189</v>
      </c>
      <c r="L71">
        <f>EXP((_C1_exp16+_C2_exp16*G71)*(_C3_exp16+_C4_exp16*H71)*(_C5_exp16+_C6_exp16*J71)*(_C7_exp16+_C8_exp16*I71)/(1+(d1_exp16+d2_exp16*G71)*(d3_exp16+d4_exp16*H71)*(d5_exp16+d6_exp16*J71)*(d7_exp16+d8_exp16*I71)))</f>
        <v>6405.5067170490747</v>
      </c>
      <c r="N71">
        <f t="shared" si="1"/>
        <v>8.7091349915871827</v>
      </c>
      <c r="O71">
        <f t="shared" si="2"/>
        <v>8.7649133239336834</v>
      </c>
      <c r="P71">
        <f t="shared" si="3"/>
        <v>3.1112223593566806E-3</v>
      </c>
      <c r="S71">
        <f t="shared" si="4"/>
        <v>5.4251245436077865E-2</v>
      </c>
    </row>
    <row r="72" spans="1:19" ht="15.75" x14ac:dyDescent="0.3">
      <c r="A72" s="20">
        <v>50</v>
      </c>
      <c r="B72" s="17">
        <v>129</v>
      </c>
      <c r="C72" s="3">
        <v>38.78</v>
      </c>
      <c r="D72" s="8">
        <v>0.83125307414104888</v>
      </c>
      <c r="E72" s="9">
        <v>1106</v>
      </c>
      <c r="F72" s="4">
        <v>3365</v>
      </c>
      <c r="G72">
        <f t="shared" si="5"/>
        <v>4.8598124043616719</v>
      </c>
      <c r="H72">
        <f t="shared" si="5"/>
        <v>3.6579046498145056</v>
      </c>
      <c r="I72">
        <f t="shared" si="5"/>
        <v>-0.1848209888041159</v>
      </c>
      <c r="J72">
        <f t="shared" si="5"/>
        <v>7.0085051820822803</v>
      </c>
      <c r="L72">
        <f>EXP((_C1_exp16+_C2_exp16*G72)*(_C3_exp16+_C4_exp16*H72)*(_C5_exp16+_C6_exp16*J72)*(_C7_exp16+_C8_exp16*I72)/(1+(d1_exp16+d2_exp16*G72)*(d3_exp16+d4_exp16*H72)*(d5_exp16+d6_exp16*J72)*(d7_exp16+d8_exp16*I72)))</f>
        <v>3492.2163274601203</v>
      </c>
      <c r="N72">
        <f t="shared" si="1"/>
        <v>8.1211832420788284</v>
      </c>
      <c r="O72">
        <f t="shared" si="2"/>
        <v>8.1582918644851841</v>
      </c>
      <c r="P72">
        <f t="shared" si="3"/>
        <v>1.3770498568974848E-3</v>
      </c>
      <c r="S72">
        <f t="shared" si="4"/>
        <v>3.6428535786797715E-2</v>
      </c>
    </row>
    <row r="73" spans="1:19" ht="15.75" x14ac:dyDescent="0.3">
      <c r="A73" s="20">
        <v>51</v>
      </c>
      <c r="B73" s="17">
        <v>137</v>
      </c>
      <c r="C73" s="3">
        <v>37.92</v>
      </c>
      <c r="D73" s="8">
        <v>0.8440983240223463</v>
      </c>
      <c r="E73" s="9">
        <v>716</v>
      </c>
      <c r="F73" s="4">
        <v>2415</v>
      </c>
      <c r="G73">
        <f t="shared" si="5"/>
        <v>4.9199809258281251</v>
      </c>
      <c r="H73">
        <f t="shared" si="5"/>
        <v>3.6354786773868213</v>
      </c>
      <c r="I73">
        <f t="shared" si="5"/>
        <v>-0.16948629351469657</v>
      </c>
      <c r="J73">
        <f t="shared" si="5"/>
        <v>6.5736801669606457</v>
      </c>
      <c r="L73">
        <f>EXP((_C1_exp16+_C2_exp16*G73)*(_C3_exp16+_C4_exp16*H73)*(_C5_exp16+_C6_exp16*J73)*(_C7_exp16+_C8_exp16*I73)/(1+(d1_exp16+d2_exp16*G73)*(d3_exp16+d4_exp16*H73)*(d5_exp16+d6_exp16*J73)*(d7_exp16+d8_exp16*I73)))</f>
        <v>2661.04078657941</v>
      </c>
      <c r="N73">
        <f t="shared" si="1"/>
        <v>7.7894545660866727</v>
      </c>
      <c r="O73">
        <f t="shared" si="2"/>
        <v>7.8864725983985213</v>
      </c>
      <c r="P73">
        <f t="shared" si="3"/>
        <v>9.4124985936628949E-3</v>
      </c>
      <c r="S73">
        <f t="shared" si="4"/>
        <v>9.2460359052098179E-2</v>
      </c>
    </row>
    <row r="74" spans="1:19" ht="15.75" x14ac:dyDescent="0.3">
      <c r="A74" s="20">
        <v>52</v>
      </c>
      <c r="B74" s="17">
        <v>192</v>
      </c>
      <c r="C74" s="3">
        <v>51.74</v>
      </c>
      <c r="D74" s="8">
        <f>(7889*1.0674*0.7451+26*0.9251+21*1.3754)/(7889*1.0674+47)</f>
        <v>0.7472158355451255</v>
      </c>
      <c r="E74" s="9">
        <f>(7889*1.0674+47)</f>
        <v>8467.7186000000002</v>
      </c>
      <c r="F74" s="4">
        <v>5435</v>
      </c>
      <c r="G74">
        <f t="shared" si="5"/>
        <v>5.2574953720277815</v>
      </c>
      <c r="H74">
        <f t="shared" si="5"/>
        <v>3.946231176757883</v>
      </c>
      <c r="I74">
        <f t="shared" si="5"/>
        <v>-0.29140119911069867</v>
      </c>
      <c r="J74">
        <f t="shared" si="5"/>
        <v>9.0440164007153481</v>
      </c>
      <c r="L74">
        <f>EXP((_C1_exp16+_C2_exp16*G74)*(_C3_exp16+_C4_exp16*H74)*(_C5_exp16+_C6_exp16*J74)*(_C7_exp16+_C8_exp16*I74)/(1+(d1_exp16+d2_exp16*G74)*(d3_exp16+d4_exp16*H74)*(d5_exp16+d6_exp16*J74)*(d7_exp16+d8_exp16*I74)))</f>
        <v>5711.7994560804736</v>
      </c>
      <c r="N74">
        <f t="shared" si="1"/>
        <v>8.6006147995553093</v>
      </c>
      <c r="O74">
        <f t="shared" si="2"/>
        <v>8.650289394173468</v>
      </c>
      <c r="P74">
        <f t="shared" si="3"/>
        <v>2.4675653504784021E-3</v>
      </c>
      <c r="S74">
        <f t="shared" si="4"/>
        <v>4.8460989957518179E-2</v>
      </c>
    </row>
    <row r="75" spans="1:19" ht="15.75" x14ac:dyDescent="0.3">
      <c r="A75" s="20">
        <v>53</v>
      </c>
      <c r="B75" s="17">
        <v>177</v>
      </c>
      <c r="C75" s="3">
        <v>47.68</v>
      </c>
      <c r="D75" s="8">
        <v>0.78466681175390973</v>
      </c>
      <c r="E75" s="9">
        <v>2583</v>
      </c>
      <c r="F75" s="4">
        <v>4535</v>
      </c>
      <c r="G75">
        <f t="shared" si="5"/>
        <v>5.1761497325738288</v>
      </c>
      <c r="H75">
        <f t="shared" si="5"/>
        <v>3.8645120227570944</v>
      </c>
      <c r="I75">
        <f t="shared" si="5"/>
        <v>-0.24249609492701327</v>
      </c>
      <c r="J75">
        <f t="shared" si="5"/>
        <v>7.8567067930958405</v>
      </c>
      <c r="L75">
        <f>EXP((_C1_exp16+_C2_exp16*G75)*(_C3_exp16+_C4_exp16*H75)*(_C5_exp16+_C6_exp16*J75)*(_C7_exp16+_C8_exp16*I75)/(1+(d1_exp16+d2_exp16*G75)*(d3_exp16+d4_exp16*H75)*(d5_exp16+d6_exp16*J75)*(d7_exp16+d8_exp16*I75)))</f>
        <v>4476.3591425314416</v>
      </c>
      <c r="N75">
        <f t="shared" si="1"/>
        <v>8.4195803625492367</v>
      </c>
      <c r="O75">
        <f t="shared" si="2"/>
        <v>8.406565303597116</v>
      </c>
      <c r="P75">
        <f t="shared" si="3"/>
        <v>1.693917595271782E-4</v>
      </c>
      <c r="S75">
        <f t="shared" si="4"/>
        <v>1.31001234711914E-2</v>
      </c>
    </row>
    <row r="76" spans="1:19" ht="15.75" x14ac:dyDescent="0.3">
      <c r="A76" s="20">
        <v>54</v>
      </c>
      <c r="B76" s="17">
        <v>176</v>
      </c>
      <c r="C76" s="3">
        <v>48.11</v>
      </c>
      <c r="D76" s="8">
        <v>0.79100877299711558</v>
      </c>
      <c r="E76" s="9">
        <v>2592.8721580424876</v>
      </c>
      <c r="F76" s="4">
        <v>4575</v>
      </c>
      <c r="G76">
        <f t="shared" si="5"/>
        <v>5.1704839950381514</v>
      </c>
      <c r="H76">
        <f t="shared" si="5"/>
        <v>3.8734900557113625</v>
      </c>
      <c r="I76">
        <f t="shared" si="5"/>
        <v>-0.2344462202556144</v>
      </c>
      <c r="J76">
        <f t="shared" si="5"/>
        <v>7.8605214816014897</v>
      </c>
      <c r="L76">
        <f>EXP((_C1_exp16+_C2_exp16*G76)*(_C3_exp16+_C4_exp16*H76)*(_C5_exp16+_C6_exp16*J76)*(_C7_exp16+_C8_exp16*I76)/(1+(d1_exp16+d2_exp16*G76)*(d3_exp16+d4_exp16*H76)*(d5_exp16+d6_exp16*J76)*(d7_exp16+d8_exp16*I76)))</f>
        <v>4469.6351732776966</v>
      </c>
      <c r="N76">
        <f t="shared" si="1"/>
        <v>8.4283619777096224</v>
      </c>
      <c r="O76">
        <f t="shared" si="2"/>
        <v>8.4050620675603902</v>
      </c>
      <c r="P76">
        <f t="shared" si="3"/>
        <v>5.4288581296229189E-4</v>
      </c>
      <c r="S76">
        <f t="shared" si="4"/>
        <v>2.3573473591813693E-2</v>
      </c>
    </row>
    <row r="77" spans="1:19" ht="15.75" x14ac:dyDescent="0.3">
      <c r="A77" s="20">
        <v>55</v>
      </c>
      <c r="B77" s="17">
        <v>180</v>
      </c>
      <c r="C77" s="3">
        <v>47.23</v>
      </c>
      <c r="D77" s="8">
        <f>(3708*1.0517*0.7831+10*0.8186+12*0.9849+13*1.2101)/(3780*1.0517+34)</f>
        <v>0.77058261934750771</v>
      </c>
      <c r="E77" s="9">
        <f>(3780*1.0517+34)</f>
        <v>4009.4260000000004</v>
      </c>
      <c r="F77" s="4">
        <v>5238</v>
      </c>
      <c r="G77">
        <f t="shared" si="5"/>
        <v>5.1929568508902104</v>
      </c>
      <c r="H77">
        <f t="shared" si="5"/>
        <v>3.8550292839080256</v>
      </c>
      <c r="I77">
        <f t="shared" si="5"/>
        <v>-0.26060840174531336</v>
      </c>
      <c r="J77">
        <f t="shared" si="5"/>
        <v>8.2964033679101625</v>
      </c>
      <c r="L77">
        <f>EXP((_C1_exp16+_C2_exp16*G77)*(_C3_exp16+_C4_exp16*H77)*(_C5_exp16+_C6_exp16*J77)*(_C7_exp16+_C8_exp16*I77)/(1+(d1_exp16+d2_exp16*G77)*(d3_exp16+d4_exp16*H77)*(d5_exp16+d6_exp16*J77)*(d7_exp16+d8_exp16*I77)))</f>
        <v>5167.4296069548209</v>
      </c>
      <c r="N77">
        <f t="shared" si="1"/>
        <v>8.5636950250676573</v>
      </c>
      <c r="O77">
        <f t="shared" si="2"/>
        <v>8.5501306691999215</v>
      </c>
      <c r="P77">
        <f t="shared" si="3"/>
        <v>1.8399175010658014E-4</v>
      </c>
      <c r="S77">
        <f t="shared" si="4"/>
        <v>1.3656769112093705E-2</v>
      </c>
    </row>
    <row r="78" spans="1:19" ht="15.75" x14ac:dyDescent="0.3">
      <c r="A78" s="20">
        <v>56</v>
      </c>
      <c r="B78" s="17">
        <v>182</v>
      </c>
      <c r="C78" s="3">
        <v>48.62</v>
      </c>
      <c r="D78" s="8">
        <v>0.77850099024655151</v>
      </c>
      <c r="E78" s="9">
        <f>(3692*1.0563+41)</f>
        <v>3940.8596000000002</v>
      </c>
      <c r="F78" s="4">
        <v>5055</v>
      </c>
      <c r="G78">
        <f t="shared" si="5"/>
        <v>5.2040066870767951</v>
      </c>
      <c r="H78">
        <f t="shared" si="5"/>
        <v>3.8840349688879772</v>
      </c>
      <c r="I78">
        <f t="shared" si="5"/>
        <v>-0.25038501571589172</v>
      </c>
      <c r="J78">
        <f t="shared" si="5"/>
        <v>8.2791541510846347</v>
      </c>
      <c r="L78">
        <f>EXP((_C1_exp16+_C2_exp16*G78)*(_C3_exp16+_C4_exp16*H78)*(_C5_exp16+_C6_exp16*J78)*(_C7_exp16+_C8_exp16*I78)/(1+(d1_exp16+d2_exp16*G78)*(d3_exp16+d4_exp16*H78)*(d5_exp16+d6_exp16*J78)*(d7_exp16+d8_exp16*I78)))</f>
        <v>5050.338932323627</v>
      </c>
      <c r="N78">
        <f t="shared" si="1"/>
        <v>8.5281331314545721</v>
      </c>
      <c r="O78">
        <f t="shared" si="2"/>
        <v>8.527210635328883</v>
      </c>
      <c r="P78">
        <f t="shared" si="3"/>
        <v>8.5099910191133546E-7</v>
      </c>
      <c r="S78">
        <f t="shared" si="4"/>
        <v>9.2292175611043527E-4</v>
      </c>
    </row>
    <row r="79" spans="1:19" ht="15.75" x14ac:dyDescent="0.3">
      <c r="A79" s="20">
        <v>57</v>
      </c>
      <c r="B79" s="17">
        <v>195</v>
      </c>
      <c r="C79" s="3">
        <v>52.72</v>
      </c>
      <c r="D79" s="8">
        <f>(11314*1.0606*0.7582+9*0.7775+21*0.9886+9*1.1347)/(11314*1.0606+39)</f>
        <v>0.75889780374647986</v>
      </c>
      <c r="E79" s="9">
        <f>(11314*1.0606+39)</f>
        <v>12038.6284</v>
      </c>
      <c r="F79" s="4">
        <v>5210</v>
      </c>
      <c r="G79">
        <f t="shared" si="5"/>
        <v>5.2729995585637468</v>
      </c>
      <c r="H79">
        <f t="shared" si="5"/>
        <v>3.9649948901942516</v>
      </c>
      <c r="I79">
        <f t="shared" si="5"/>
        <v>-0.27588815657239923</v>
      </c>
      <c r="J79">
        <f t="shared" si="5"/>
        <v>9.3958757921076241</v>
      </c>
      <c r="L79">
        <f>EXP((_C1_exp16+_C2_exp16*G79)*(_C3_exp16+_C4_exp16*H79)*(_C5_exp16+_C6_exp16*J79)*(_C7_exp16+_C8_exp16*I79)/(1+(d1_exp16+d2_exp16*G79)*(d3_exp16+d4_exp16*H79)*(d5_exp16+d6_exp16*J79)*(d7_exp16+d8_exp16*I79)))</f>
        <v>6022.2150520666637</v>
      </c>
      <c r="N79">
        <f t="shared" si="1"/>
        <v>8.5583351347474128</v>
      </c>
      <c r="O79">
        <f t="shared" si="2"/>
        <v>8.7032104194745727</v>
      </c>
      <c r="P79">
        <f t="shared" si="3"/>
        <v>2.0988848124775659E-2</v>
      </c>
      <c r="S79">
        <f t="shared" si="4"/>
        <v>0.13486981867044637</v>
      </c>
    </row>
    <row r="80" spans="1:19" ht="15.75" x14ac:dyDescent="0.3">
      <c r="A80" s="20">
        <v>58</v>
      </c>
      <c r="B80" s="17">
        <v>182</v>
      </c>
      <c r="C80" s="3">
        <v>50.99</v>
      </c>
      <c r="D80" s="8">
        <f>(3422*1.1688*0.7252+175*0.9668+52*1.4082+221.5793)/(3422*1.1688+249)</f>
        <v>0.79190871783342287</v>
      </c>
      <c r="E80" s="9">
        <f>(3422*1.1688+249)</f>
        <v>4248.6336000000001</v>
      </c>
      <c r="F80" s="4">
        <v>5019</v>
      </c>
      <c r="G80">
        <f t="shared" si="5"/>
        <v>5.2040066870767951</v>
      </c>
      <c r="H80">
        <f t="shared" si="5"/>
        <v>3.9316295350670645</v>
      </c>
      <c r="I80">
        <f t="shared" si="5"/>
        <v>-0.23330914907093886</v>
      </c>
      <c r="J80">
        <f t="shared" si="5"/>
        <v>8.3543527043420127</v>
      </c>
      <c r="L80">
        <f>EXP((_C1_exp16+_C2_exp16*G80)*(_C3_exp16+_C4_exp16*H80)*(_C5_exp16+_C6_exp16*J80)*(_C7_exp16+_C8_exp16*I80)/(1+(d1_exp16+d2_exp16*G80)*(d3_exp16+d4_exp16*H80)*(d5_exp16+d6_exp16*J80)*(d7_exp16+d8_exp16*I80)))</f>
        <v>5030.7397321408052</v>
      </c>
      <c r="N80">
        <f t="shared" si="1"/>
        <v>8.5209859896549336</v>
      </c>
      <c r="O80">
        <f t="shared" si="2"/>
        <v>8.5233223163248262</v>
      </c>
      <c r="P80">
        <f t="shared" si="3"/>
        <v>5.4584223084513781E-6</v>
      </c>
      <c r="S80">
        <f t="shared" si="4"/>
        <v>2.3335995829403527E-3</v>
      </c>
    </row>
    <row r="81" spans="1:19" ht="15.75" x14ac:dyDescent="0.3">
      <c r="A81" s="20">
        <v>59</v>
      </c>
      <c r="B81" s="17">
        <v>184</v>
      </c>
      <c r="C81" s="3">
        <v>52.67</v>
      </c>
      <c r="D81" s="8">
        <v>0.74776942167439542</v>
      </c>
      <c r="E81" s="9">
        <f>3444*1.1903+272</f>
        <v>4371.3931999999995</v>
      </c>
      <c r="F81" s="4">
        <v>4786</v>
      </c>
      <c r="G81">
        <f t="shared" si="5"/>
        <v>5.2149357576089859</v>
      </c>
      <c r="H81">
        <f t="shared" si="5"/>
        <v>3.9640460334952978</v>
      </c>
      <c r="I81">
        <f t="shared" si="5"/>
        <v>-0.29066060832306528</v>
      </c>
      <c r="J81">
        <f t="shared" si="5"/>
        <v>8.3828370473491542</v>
      </c>
      <c r="L81">
        <f>EXP((_C1_exp16+_C2_exp16*G81)*(_C3_exp16+_C4_exp16*H81)*(_C5_exp16+_C6_exp16*J81)*(_C7_exp16+_C8_exp16*I81)/(1+(d1_exp16+d2_exp16*G81)*(d3_exp16+d4_exp16*H81)*(d5_exp16+d6_exp16*J81)*(d7_exp16+d8_exp16*I81)))</f>
        <v>4956.980937394891</v>
      </c>
      <c r="N81">
        <f t="shared" si="1"/>
        <v>8.4734502684683193</v>
      </c>
      <c r="O81">
        <f t="shared" si="2"/>
        <v>8.5085521524200569</v>
      </c>
      <c r="P81">
        <f t="shared" si="3"/>
        <v>1.232142256961256E-3</v>
      </c>
      <c r="S81">
        <f t="shared" si="4"/>
        <v>3.4492958426575869E-2</v>
      </c>
    </row>
    <row r="82" spans="1:19" ht="15.75" x14ac:dyDescent="0.3">
      <c r="A82" s="20">
        <v>60</v>
      </c>
      <c r="B82" s="17">
        <v>182</v>
      </c>
      <c r="C82" s="3">
        <v>51.08</v>
      </c>
      <c r="D82" s="8">
        <v>0.76577585543240156</v>
      </c>
      <c r="E82" s="9">
        <f>6022*1.0868+73</f>
        <v>6617.7096000000001</v>
      </c>
      <c r="F82" s="4">
        <v>5326</v>
      </c>
      <c r="G82">
        <f t="shared" si="5"/>
        <v>5.2040066870767951</v>
      </c>
      <c r="H82">
        <f t="shared" si="5"/>
        <v>3.9333930311643384</v>
      </c>
      <c r="I82">
        <f t="shared" si="5"/>
        <v>-0.26686576899121256</v>
      </c>
      <c r="J82">
        <f t="shared" si="5"/>
        <v>8.7975046071924048</v>
      </c>
      <c r="L82">
        <f>EXP((_C1_exp16+_C2_exp16*G82)*(_C3_exp16+_C4_exp16*H82)*(_C5_exp16+_C6_exp16*J82)*(_C7_exp16+_C8_exp16*I82)/(1+(d1_exp16+d2_exp16*G82)*(d3_exp16+d4_exp16*H82)*(d5_exp16+d6_exp16*J82)*(d7_exp16+d8_exp16*I82)))</f>
        <v>5624.9825679255755</v>
      </c>
      <c r="N82">
        <f t="shared" si="1"/>
        <v>8.5803557663738772</v>
      </c>
      <c r="O82">
        <f t="shared" si="2"/>
        <v>8.6349731280323656</v>
      </c>
      <c r="P82">
        <f t="shared" si="3"/>
        <v>2.9830561945341193E-3</v>
      </c>
      <c r="S82">
        <f t="shared" si="4"/>
        <v>5.315262124195997E-2</v>
      </c>
    </row>
    <row r="83" spans="1:19" ht="15.75" x14ac:dyDescent="0.3">
      <c r="A83" s="20">
        <v>61</v>
      </c>
      <c r="B83" s="17">
        <v>186</v>
      </c>
      <c r="C83" s="3">
        <v>51.01</v>
      </c>
      <c r="D83" s="8">
        <f>(4400*1.1237*0.7604+75.8464+42*1.295+12*1.3607)/(4400*1.1237+129)</f>
        <v>0.76995460766998858</v>
      </c>
      <c r="E83" s="9">
        <f>(4400*1.1237+129)</f>
        <v>5073.28</v>
      </c>
      <c r="F83" s="4">
        <v>5217</v>
      </c>
      <c r="G83">
        <f t="shared" si="5"/>
        <v>5.2257466737132017</v>
      </c>
      <c r="H83">
        <f t="shared" si="5"/>
        <v>3.932021691934835</v>
      </c>
      <c r="I83">
        <f t="shared" si="5"/>
        <v>-0.26142371695002753</v>
      </c>
      <c r="J83">
        <f t="shared" si="5"/>
        <v>8.5317428302087368</v>
      </c>
      <c r="L83">
        <f>EXP((_C1_exp16+_C2_exp16*G83)*(_C3_exp16+_C4_exp16*H83)*(_C5_exp16+_C6_exp16*J83)*(_C7_exp16+_C8_exp16*I83)/(1+(d1_exp16+d2_exp16*G83)*(d3_exp16+d4_exp16*H83)*(d5_exp16+d6_exp16*J83)*(d7_exp16+d8_exp16*I83)))</f>
        <v>5228.7235202657184</v>
      </c>
      <c r="N83">
        <f t="shared" si="1"/>
        <v>8.5596778030223923</v>
      </c>
      <c r="O83">
        <f t="shared" si="2"/>
        <v>8.5619224584864906</v>
      </c>
      <c r="P83">
        <f t="shared" si="3"/>
        <v>5.0384781525061035E-6</v>
      </c>
      <c r="S83">
        <f t="shared" si="4"/>
        <v>2.2421381089055281E-3</v>
      </c>
    </row>
    <row r="84" spans="1:19" ht="15.75" x14ac:dyDescent="0.3">
      <c r="A84" s="20">
        <v>62</v>
      </c>
      <c r="B84" s="17">
        <v>203</v>
      </c>
      <c r="C84" s="3">
        <v>54.78</v>
      </c>
      <c r="D84" s="8">
        <f>(10226*1.0717*0.7267+59*1.0275+32*1.5444)/(10226*1.0717+91)</f>
        <v>0.73067400800973437</v>
      </c>
      <c r="E84" s="9">
        <f>(10226*1.0717+91)</f>
        <v>11050.2042</v>
      </c>
      <c r="F84" s="4">
        <v>5179</v>
      </c>
      <c r="G84">
        <f t="shared" si="5"/>
        <v>5.3132059790417872</v>
      </c>
      <c r="H84">
        <f t="shared" si="5"/>
        <v>4.0033251638349325</v>
      </c>
      <c r="I84">
        <f t="shared" si="5"/>
        <v>-0.31378787217423793</v>
      </c>
      <c r="J84">
        <f t="shared" si="5"/>
        <v>9.3102041864131611</v>
      </c>
      <c r="L84">
        <f>EXP((_C1_exp16+_C2_exp16*G84)*(_C3_exp16+_C4_exp16*H84)*(_C5_exp16+_C6_exp16*J84)*(_C7_exp16+_C8_exp16*I84)/(1+(d1_exp16+d2_exp16*G84)*(d3_exp16+d4_exp16*H84)*(d5_exp16+d6_exp16*J84)*(d7_exp16+d8_exp16*I84)))</f>
        <v>5518.9799411193744</v>
      </c>
      <c r="N84">
        <f t="shared" si="1"/>
        <v>8.5523672664238912</v>
      </c>
      <c r="O84">
        <f t="shared" si="2"/>
        <v>8.6159483289192842</v>
      </c>
      <c r="P84">
        <f t="shared" si="3"/>
        <v>4.0425515080430669E-3</v>
      </c>
      <c r="S84">
        <f t="shared" si="4"/>
        <v>6.1601952669974508E-2</v>
      </c>
    </row>
    <row r="85" spans="1:19" ht="15.75" x14ac:dyDescent="0.3">
      <c r="A85" s="20">
        <v>63</v>
      </c>
      <c r="B85" s="17">
        <v>157</v>
      </c>
      <c r="C85" s="3">
        <v>46.15</v>
      </c>
      <c r="D85" s="8">
        <f>(2213*0.7641*1.1661+19*0.939+15*1.247+29*1.457)/(2213*1.1661+63)</f>
        <v>0.77569817675981945</v>
      </c>
      <c r="E85" s="9">
        <f>(2213*1.1661+63)</f>
        <v>2643.5792999999999</v>
      </c>
      <c r="F85" s="4">
        <v>4756.0249999999996</v>
      </c>
      <c r="G85">
        <f t="shared" si="5"/>
        <v>5.0562458053483077</v>
      </c>
      <c r="H85">
        <f t="shared" si="5"/>
        <v>3.8318969609488613</v>
      </c>
      <c r="I85">
        <f t="shared" si="5"/>
        <v>-0.25399178193306576</v>
      </c>
      <c r="J85">
        <f t="shared" si="5"/>
        <v>7.8798890733341391</v>
      </c>
      <c r="L85">
        <f>EXP((_C1_exp16+_C2_exp16*G85)*(_C3_exp16+_C4_exp16*H85)*(_C5_exp16+_C6_exp16*J85)*(_C7_exp16+_C8_exp16*I85)/(1+(d1_exp16+d2_exp16*G85)*(d3_exp16+d4_exp16*H85)*(d5_exp16+d6_exp16*J85)*(d7_exp16+d8_exp16*I85)))</f>
        <v>4710.4180686657592</v>
      </c>
      <c r="N85">
        <f t="shared" si="1"/>
        <v>8.467167514314939</v>
      </c>
      <c r="O85">
        <f t="shared" si="2"/>
        <v>8.4575319449961466</v>
      </c>
      <c r="P85">
        <f t="shared" si="3"/>
        <v>9.2844196097253284E-5</v>
      </c>
      <c r="S85">
        <f t="shared" si="4"/>
        <v>9.6821408778178328E-3</v>
      </c>
    </row>
    <row r="86" spans="1:19" ht="15.75" x14ac:dyDescent="0.3">
      <c r="A86" s="20">
        <v>64</v>
      </c>
      <c r="B86" s="17">
        <v>143</v>
      </c>
      <c r="C86" s="3">
        <v>44.34</v>
      </c>
      <c r="D86" s="8">
        <v>0.69889205702647672</v>
      </c>
      <c r="E86" s="9">
        <v>1964</v>
      </c>
      <c r="F86" s="4">
        <v>5249.65</v>
      </c>
      <c r="G86">
        <f t="shared" si="5"/>
        <v>4.962844630259907</v>
      </c>
      <c r="H86">
        <f t="shared" si="5"/>
        <v>3.7918872041881655</v>
      </c>
      <c r="I86">
        <f t="shared" si="5"/>
        <v>-0.35825897352789821</v>
      </c>
      <c r="J86">
        <f t="shared" si="5"/>
        <v>7.5827384889144112</v>
      </c>
      <c r="L86">
        <f>EXP((_C1_exp16+_C2_exp16*G86)*(_C3_exp16+_C4_exp16*H86)*(_C5_exp16+_C6_exp16*J86)*(_C7_exp16+_C8_exp16*I86)/(1+(d1_exp16+d2_exp16*G86)*(d3_exp16+d4_exp16*H86)*(d5_exp16+d6_exp16*J86)*(d7_exp16+d8_exp16*I86)))</f>
        <v>4272.7614362466729</v>
      </c>
      <c r="N86">
        <f t="shared" si="1"/>
        <v>8.5659166866966814</v>
      </c>
      <c r="O86">
        <f t="shared" si="2"/>
        <v>8.360015603579166</v>
      </c>
      <c r="P86">
        <f t="shared" si="3"/>
        <v>4.2395256028965995E-2</v>
      </c>
      <c r="S86">
        <f t="shared" si="4"/>
        <v>0.2286316655702304</v>
      </c>
    </row>
    <row r="87" spans="1:19" ht="15.75" x14ac:dyDescent="0.3">
      <c r="A87" s="20">
        <v>65</v>
      </c>
      <c r="B87" s="17">
        <v>165</v>
      </c>
      <c r="C87" s="3">
        <v>45.91</v>
      </c>
      <c r="D87" s="8">
        <v>0.76893049792531121</v>
      </c>
      <c r="E87" s="9">
        <v>1928</v>
      </c>
      <c r="F87" s="4">
        <v>4315.0249999999996</v>
      </c>
      <c r="G87">
        <f t="shared" ref="G87:J118" si="6">LN(B87)</f>
        <v>5.1059454739005803</v>
      </c>
      <c r="H87">
        <f t="shared" si="6"/>
        <v>3.8266829582611308</v>
      </c>
      <c r="I87">
        <f t="shared" si="6"/>
        <v>-0.26275469337203305</v>
      </c>
      <c r="J87">
        <f t="shared" si="6"/>
        <v>7.564238475170491</v>
      </c>
      <c r="L87">
        <f>EXP((_C1_exp16+_C2_exp16*G87)*(_C3_exp16+_C4_exp16*H87)*(_C5_exp16+_C6_exp16*J87)*(_C7_exp16+_C8_exp16*I87)/(1+(d1_exp16+d2_exp16*G87)*(d3_exp16+d4_exp16*H87)*(d5_exp16+d6_exp16*J87)*(d7_exp16+d8_exp16*I87)))</f>
        <v>4135.5130141330137</v>
      </c>
      <c r="N87">
        <f t="shared" ref="N87:N150" si="7">LN(F87)</f>
        <v>8.3698583972435028</v>
      </c>
      <c r="O87">
        <f t="shared" ref="O87:O150" si="8">LN(L87)</f>
        <v>8.3273666660579764</v>
      </c>
      <c r="P87">
        <f t="shared" si="3"/>
        <v>1.8055472191430373E-3</v>
      </c>
      <c r="S87">
        <f t="shared" si="4"/>
        <v>4.3407428595559523E-2</v>
      </c>
    </row>
    <row r="88" spans="1:19" ht="15.75" x14ac:dyDescent="0.3">
      <c r="A88" s="20">
        <v>66</v>
      </c>
      <c r="B88" s="17">
        <v>147</v>
      </c>
      <c r="C88" s="3">
        <v>41.15</v>
      </c>
      <c r="D88" s="8">
        <v>0.85086647116324532</v>
      </c>
      <c r="E88" s="9">
        <v>1022</v>
      </c>
      <c r="F88" s="4">
        <v>2965</v>
      </c>
      <c r="G88">
        <f t="shared" si="6"/>
        <v>4.990432586778736</v>
      </c>
      <c r="H88">
        <f t="shared" si="6"/>
        <v>3.7172239271230789</v>
      </c>
      <c r="I88">
        <f t="shared" si="6"/>
        <v>-0.16150007087143284</v>
      </c>
      <c r="J88">
        <f t="shared" si="6"/>
        <v>6.9295167707636498</v>
      </c>
      <c r="L88">
        <f>EXP((_C1_exp16+_C2_exp16*G88)*(_C3_exp16+_C4_exp16*H88)*(_C5_exp16+_C6_exp16*J88)*(_C7_exp16+_C8_exp16*I88)/(1+(d1_exp16+d2_exp16*G88)*(d3_exp16+d4_exp16*H88)*(d5_exp16+d6_exp16*J88)*(d7_exp16+d8_exp16*I88)))</f>
        <v>3183.3196429784562</v>
      </c>
      <c r="N88">
        <f t="shared" si="7"/>
        <v>7.9946323114318254</v>
      </c>
      <c r="O88">
        <f t="shared" si="8"/>
        <v>8.0656798441623785</v>
      </c>
      <c r="P88">
        <f t="shared" ref="P88:P151" si="9">(N88-O88)^2</f>
        <v>5.0477519070990119E-3</v>
      </c>
      <c r="S88">
        <f t="shared" ref="S88:S151" si="10">ABS((F88-L88)/L88)</f>
        <v>6.8582381747309087E-2</v>
      </c>
    </row>
    <row r="89" spans="1:19" ht="15.75" x14ac:dyDescent="0.3">
      <c r="A89" s="20">
        <v>67</v>
      </c>
      <c r="B89" s="17">
        <v>157.9</v>
      </c>
      <c r="C89" s="3">
        <v>42.3</v>
      </c>
      <c r="D89" s="8">
        <v>0.8476117647058824</v>
      </c>
      <c r="E89" s="9">
        <v>1190</v>
      </c>
      <c r="F89" s="4">
        <v>3169.6959999999999</v>
      </c>
      <c r="G89">
        <f t="shared" si="6"/>
        <v>5.0619619212615961</v>
      </c>
      <c r="H89">
        <f t="shared" si="6"/>
        <v>3.7447870860522321</v>
      </c>
      <c r="I89">
        <f t="shared" si="6"/>
        <v>-0.16533257266322196</v>
      </c>
      <c r="J89">
        <f t="shared" si="6"/>
        <v>7.0817085861055746</v>
      </c>
      <c r="L89">
        <f>EXP((_C1_exp16+_C2_exp16*G89)*(_C3_exp16+_C4_exp16*H89)*(_C5_exp16+_C6_exp16*J89)*(_C7_exp16+_C8_exp16*I89)/(1+(d1_exp16+d2_exp16*G89)*(d3_exp16+d4_exp16*H89)*(d5_exp16+d6_exp16*J89)*(d7_exp16+d8_exp16*I89)))</f>
        <v>3377.2411364855398</v>
      </c>
      <c r="N89">
        <f t="shared" si="7"/>
        <v>8.0613909632190897</v>
      </c>
      <c r="O89">
        <f t="shared" si="8"/>
        <v>8.1248144233694912</v>
      </c>
      <c r="P89">
        <f t="shared" si="9"/>
        <v>4.0225352974495752E-3</v>
      </c>
      <c r="S89">
        <f t="shared" si="10"/>
        <v>6.1454047282367773E-2</v>
      </c>
    </row>
    <row r="90" spans="1:19" ht="15.75" x14ac:dyDescent="0.3">
      <c r="A90" s="20">
        <v>68</v>
      </c>
      <c r="B90" s="17">
        <v>147</v>
      </c>
      <c r="C90" s="3">
        <v>45.53</v>
      </c>
      <c r="D90" s="8">
        <v>0.82734391819160391</v>
      </c>
      <c r="E90" s="9">
        <v>1858</v>
      </c>
      <c r="F90" s="4">
        <v>4115.0249999999996</v>
      </c>
      <c r="G90">
        <f t="shared" si="6"/>
        <v>4.990432586778736</v>
      </c>
      <c r="H90">
        <f t="shared" si="6"/>
        <v>3.8183714493466909</v>
      </c>
      <c r="I90">
        <f t="shared" si="6"/>
        <v>-0.18953480802119774</v>
      </c>
      <c r="J90">
        <f t="shared" si="6"/>
        <v>7.5272559193737836</v>
      </c>
      <c r="L90">
        <f>EXP((_C1_exp16+_C2_exp16*G90)*(_C3_exp16+_C4_exp16*H90)*(_C5_exp16+_C6_exp16*J90)*(_C7_exp16+_C8_exp16*I90)/(1+(d1_exp16+d2_exp16*G90)*(d3_exp16+d4_exp16*H90)*(d5_exp16+d6_exp16*J90)*(d7_exp16+d8_exp16*I90)))</f>
        <v>4167.1600481784044</v>
      </c>
      <c r="N90">
        <f t="shared" si="7"/>
        <v>8.3224001884268581</v>
      </c>
      <c r="O90">
        <f t="shared" si="8"/>
        <v>8.334990039175004</v>
      </c>
      <c r="P90">
        <f t="shared" si="9"/>
        <v>1.5850434186058968E-4</v>
      </c>
      <c r="S90">
        <f t="shared" si="10"/>
        <v>1.251093012402886E-2</v>
      </c>
    </row>
    <row r="91" spans="1:19" ht="15.75" x14ac:dyDescent="0.3">
      <c r="A91" s="20">
        <v>69</v>
      </c>
      <c r="B91" s="17">
        <v>156</v>
      </c>
      <c r="C91" s="3">
        <v>42.3</v>
      </c>
      <c r="D91" s="8">
        <v>0.86626456310679611</v>
      </c>
      <c r="E91" s="9">
        <v>1235</v>
      </c>
      <c r="F91" s="4">
        <v>3005.6959999999999</v>
      </c>
      <c r="G91">
        <f t="shared" si="6"/>
        <v>5.0498560072495371</v>
      </c>
      <c r="H91">
        <f t="shared" si="6"/>
        <v>3.7447870860522321</v>
      </c>
      <c r="I91">
        <f t="shared" si="6"/>
        <v>-0.14356491695204146</v>
      </c>
      <c r="J91">
        <f t="shared" si="6"/>
        <v>7.1188262490620779</v>
      </c>
      <c r="L91">
        <f>EXP((_C1_exp16+_C2_exp16*G91)*(_C3_exp16+_C4_exp16*H91)*(_C5_exp16+_C6_exp16*J91)*(_C7_exp16+_C8_exp16*I91)/(1+(d1_exp16+d2_exp16*G91)*(d3_exp16+d4_exp16*H91)*(d5_exp16+d6_exp16*J91)*(d7_exp16+d8_exp16*I91)))</f>
        <v>3444.1177434231831</v>
      </c>
      <c r="N91">
        <f t="shared" si="7"/>
        <v>8.0082644341276374</v>
      </c>
      <c r="O91">
        <f t="shared" si="8"/>
        <v>8.1444230529490511</v>
      </c>
      <c r="P91">
        <f t="shared" si="9"/>
        <v>1.8539169479355026E-2</v>
      </c>
      <c r="S91">
        <f t="shared" si="10"/>
        <v>0.12729580580117633</v>
      </c>
    </row>
    <row r="92" spans="1:19" ht="15.75" x14ac:dyDescent="0.3">
      <c r="A92" s="20">
        <v>70</v>
      </c>
      <c r="B92" s="17">
        <v>157</v>
      </c>
      <c r="C92" s="3">
        <v>43.65</v>
      </c>
      <c r="D92" s="8">
        <v>0.82463204747774488</v>
      </c>
      <c r="E92" s="9">
        <v>338</v>
      </c>
      <c r="F92" s="4">
        <v>1265.0250000000001</v>
      </c>
      <c r="G92">
        <f t="shared" si="6"/>
        <v>5.0562458053483077</v>
      </c>
      <c r="H92">
        <f t="shared" si="6"/>
        <v>3.7762032822856111</v>
      </c>
      <c r="I92">
        <f t="shared" si="6"/>
        <v>-0.19281799519368123</v>
      </c>
      <c r="J92">
        <f t="shared" si="6"/>
        <v>5.8230458954830189</v>
      </c>
      <c r="L92">
        <f>EXP((_C1_exp16+_C2_exp16*G92)*(_C3_exp16+_C4_exp16*H92)*(_C5_exp16+_C6_exp16*J92)*(_C7_exp16+_C8_exp16*I92)/(1+(d1_exp16+d2_exp16*G92)*(d3_exp16+d4_exp16*H92)*(d5_exp16+d6_exp16*J92)*(d7_exp16+d8_exp16*I92)))</f>
        <v>1708.4337785160358</v>
      </c>
      <c r="N92">
        <f t="shared" si="7"/>
        <v>7.1428471638121884</v>
      </c>
      <c r="O92">
        <f t="shared" si="8"/>
        <v>7.4433323107901312</v>
      </c>
      <c r="P92">
        <f t="shared" si="9"/>
        <v>9.0291323554355901E-2</v>
      </c>
      <c r="S92">
        <f t="shared" si="10"/>
        <v>0.25954109787104851</v>
      </c>
    </row>
    <row r="93" spans="1:19" ht="15.75" x14ac:dyDescent="0.3">
      <c r="A93" s="20">
        <v>71</v>
      </c>
      <c r="B93" s="17">
        <v>170</v>
      </c>
      <c r="C93" s="3">
        <v>51.27</v>
      </c>
      <c r="D93" s="8">
        <f>(7187*1.2099*0.7258+263*1.2356)/(7187*1.2099+263)</f>
        <v>0.74076641538459465</v>
      </c>
      <c r="E93" s="9">
        <f>(7187*1.2099+263)</f>
        <v>8958.5512999999992</v>
      </c>
      <c r="F93" s="4">
        <v>5276</v>
      </c>
      <c r="G93">
        <f t="shared" si="6"/>
        <v>5.1357984370502621</v>
      </c>
      <c r="H93">
        <f t="shared" si="6"/>
        <v>3.9371057857956093</v>
      </c>
      <c r="I93">
        <f t="shared" si="6"/>
        <v>-0.3000699322818059</v>
      </c>
      <c r="J93">
        <f t="shared" si="6"/>
        <v>9.1003638076286464</v>
      </c>
      <c r="L93">
        <f>EXP((_C1_exp16+_C2_exp16*G93)*(_C3_exp16+_C4_exp16*H93)*(_C5_exp16+_C6_exp16*J93)*(_C7_exp16+_C8_exp16*I93)/(1+(d1_exp16+d2_exp16*G93)*(d3_exp16+d4_exp16*H93)*(d5_exp16+d6_exp16*J93)*(d7_exp16+d8_exp16*I93)))</f>
        <v>6115.8963254456585</v>
      </c>
      <c r="N93">
        <f t="shared" si="7"/>
        <v>8.5709235138372044</v>
      </c>
      <c r="O93">
        <f t="shared" si="8"/>
        <v>8.7186466155392957</v>
      </c>
      <c r="P93">
        <f t="shared" si="9"/>
        <v>2.1822114776486393E-2</v>
      </c>
      <c r="S93">
        <f t="shared" si="10"/>
        <v>0.13733004628466394</v>
      </c>
    </row>
    <row r="94" spans="1:19" ht="15.75" x14ac:dyDescent="0.3">
      <c r="A94" s="20">
        <v>72</v>
      </c>
      <c r="B94" s="17">
        <v>174</v>
      </c>
      <c r="C94" s="3">
        <v>48.39</v>
      </c>
      <c r="D94" s="8">
        <f>(3423*1.1713*0.7514+106*0.8642+95*1.4455)/(3423*1.1713+201)</f>
        <v>0.76990110248294918</v>
      </c>
      <c r="E94" s="9">
        <f>3423*1.1713+201</f>
        <v>4210.3598999999995</v>
      </c>
      <c r="F94" s="4">
        <v>4925</v>
      </c>
      <c r="G94">
        <f t="shared" si="6"/>
        <v>5.1590552992145291</v>
      </c>
      <c r="H94">
        <f t="shared" si="6"/>
        <v>3.8792931808052273</v>
      </c>
      <c r="I94">
        <f t="shared" si="6"/>
        <v>-0.26149321071714887</v>
      </c>
      <c r="J94">
        <f t="shared" si="6"/>
        <v>8.3453034099584933</v>
      </c>
      <c r="L94">
        <f>EXP((_C1_exp16+_C2_exp16*G94)*(_C3_exp16+_C4_exp16*H94)*(_C5_exp16+_C6_exp16*J94)*(_C7_exp16+_C8_exp16*I94)/(1+(d1_exp16+d2_exp16*G94)*(d3_exp16+d4_exp16*H94)*(d5_exp16+d6_exp16*J94)*(d7_exp16+d8_exp16*I94)))</f>
        <v>5234.9730255462346</v>
      </c>
      <c r="N94">
        <f t="shared" si="7"/>
        <v>8.5020795536061886</v>
      </c>
      <c r="O94">
        <f t="shared" si="8"/>
        <v>8.5631169705781307</v>
      </c>
      <c r="P94">
        <f t="shared" si="9"/>
        <v>3.7255662706067246E-3</v>
      </c>
      <c r="S94">
        <f t="shared" si="10"/>
        <v>5.9211962322172795E-2</v>
      </c>
    </row>
    <row r="95" spans="1:19" ht="15.75" x14ac:dyDescent="0.3">
      <c r="A95" s="20">
        <v>73</v>
      </c>
      <c r="B95" s="17">
        <v>178</v>
      </c>
      <c r="C95" s="3">
        <v>49.47</v>
      </c>
      <c r="D95" s="8">
        <f>(4003*1.2158*0.7362+288*1.2696)/(4003*1.2158+288)</f>
        <v>0.7660009209739167</v>
      </c>
      <c r="E95" s="9">
        <f>(4003*1.2158+288)</f>
        <v>5154.8473999999997</v>
      </c>
      <c r="F95" s="4">
        <v>4884</v>
      </c>
      <c r="G95">
        <f t="shared" si="6"/>
        <v>5.181783550292085</v>
      </c>
      <c r="H95">
        <f t="shared" si="6"/>
        <v>3.9013664252396172</v>
      </c>
      <c r="I95">
        <f t="shared" si="6"/>
        <v>-0.26657190692645039</v>
      </c>
      <c r="J95">
        <f t="shared" si="6"/>
        <v>8.5476927936850657</v>
      </c>
      <c r="L95">
        <f>EXP((_C1_exp16+_C2_exp16*G95)*(_C3_exp16+_C4_exp16*H95)*(_C5_exp16+_C6_exp16*J95)*(_C7_exp16+_C8_exp16*I95)/(1+(d1_exp16+d2_exp16*G95)*(d3_exp16+d4_exp16*H95)*(d5_exp16+d6_exp16*J95)*(d7_exp16+d8_exp16*I95)))</f>
        <v>5432.2637333802904</v>
      </c>
      <c r="N95">
        <f t="shared" si="7"/>
        <v>8.4937198352305945</v>
      </c>
      <c r="O95">
        <f t="shared" si="8"/>
        <v>8.6001112198604268</v>
      </c>
      <c r="P95">
        <f t="shared" si="9"/>
        <v>1.1319126723452923E-2</v>
      </c>
      <c r="S95">
        <f t="shared" si="10"/>
        <v>0.10092730402820978</v>
      </c>
    </row>
    <row r="96" spans="1:19" ht="15.75" x14ac:dyDescent="0.3">
      <c r="A96" s="20">
        <v>74</v>
      </c>
      <c r="B96" s="17">
        <v>174</v>
      </c>
      <c r="C96" s="3">
        <v>48.3</v>
      </c>
      <c r="D96" s="8">
        <v>0.83123413677130042</v>
      </c>
      <c r="E96" s="9">
        <v>1784</v>
      </c>
      <c r="F96" s="4">
        <v>3815</v>
      </c>
      <c r="G96">
        <f t="shared" si="6"/>
        <v>5.1590552992145291</v>
      </c>
      <c r="H96">
        <f t="shared" si="6"/>
        <v>3.8774315606585268</v>
      </c>
      <c r="I96">
        <f t="shared" si="6"/>
        <v>-0.18484377077756503</v>
      </c>
      <c r="J96">
        <f t="shared" si="6"/>
        <v>7.486613313139955</v>
      </c>
      <c r="L96">
        <f>EXP((_C1_exp16+_C2_exp16*G96)*(_C3_exp16+_C4_exp16*H96)*(_C5_exp16+_C6_exp16*J96)*(_C7_exp16+_C8_exp16*I96)/(1+(d1_exp16+d2_exp16*G96)*(d3_exp16+d4_exp16*H96)*(d5_exp16+d6_exp16*J96)*(d7_exp16+d8_exp16*I96)))</f>
        <v>3850.73908366452</v>
      </c>
      <c r="N96">
        <f t="shared" si="7"/>
        <v>8.2466959437185565</v>
      </c>
      <c r="O96">
        <f t="shared" si="8"/>
        <v>8.2560203786409811</v>
      </c>
      <c r="P96">
        <f t="shared" si="9"/>
        <v>8.6945086622531998E-5</v>
      </c>
      <c r="S96">
        <f t="shared" si="10"/>
        <v>9.281097183689007E-3</v>
      </c>
    </row>
    <row r="97" spans="1:19" ht="15.75" x14ac:dyDescent="0.3">
      <c r="A97" s="20">
        <v>75</v>
      </c>
      <c r="B97" s="17">
        <v>174</v>
      </c>
      <c r="C97" s="3">
        <v>47.5</v>
      </c>
      <c r="D97" s="8">
        <v>0.79573762906309753</v>
      </c>
      <c r="E97" s="9">
        <v>2615</v>
      </c>
      <c r="F97" s="4">
        <v>4374</v>
      </c>
      <c r="G97">
        <f t="shared" si="6"/>
        <v>5.1590552992145291</v>
      </c>
      <c r="H97">
        <f t="shared" si="6"/>
        <v>3.8607297110405954</v>
      </c>
      <c r="I97">
        <f t="shared" si="6"/>
        <v>-0.22848575920141692</v>
      </c>
      <c r="J97">
        <f t="shared" si="6"/>
        <v>7.8690193764990228</v>
      </c>
      <c r="L97">
        <f>EXP((_C1_exp16+_C2_exp16*G97)*(_C3_exp16+_C4_exp16*H97)*(_C5_exp16+_C6_exp16*J97)*(_C7_exp16+_C8_exp16*I97)/(1+(d1_exp16+d2_exp16*G97)*(d3_exp16+d4_exp16*H97)*(d5_exp16+d6_exp16*J97)*(d7_exp16+d8_exp16*I97)))</f>
        <v>4516.7784163068382</v>
      </c>
      <c r="N97">
        <f t="shared" si="7"/>
        <v>8.3834332012367128</v>
      </c>
      <c r="O97">
        <f t="shared" si="8"/>
        <v>8.4155542789514186</v>
      </c>
      <c r="P97">
        <f t="shared" si="9"/>
        <v>1.0317636335541727E-3</v>
      </c>
      <c r="S97">
        <f t="shared" si="10"/>
        <v>3.1610675385661598E-2</v>
      </c>
    </row>
    <row r="98" spans="1:19" ht="15.75" x14ac:dyDescent="0.3">
      <c r="A98" s="20">
        <v>76</v>
      </c>
      <c r="B98" s="17">
        <v>169</v>
      </c>
      <c r="C98" s="3">
        <v>46.200069761207317</v>
      </c>
      <c r="D98" s="8">
        <v>0.81640797824116051</v>
      </c>
      <c r="E98" s="9">
        <v>2206</v>
      </c>
      <c r="F98" s="4">
        <v>4161</v>
      </c>
      <c r="G98">
        <f t="shared" si="6"/>
        <v>5.1298987149230735</v>
      </c>
      <c r="H98">
        <f t="shared" si="6"/>
        <v>3.8329813080693955</v>
      </c>
      <c r="I98">
        <f t="shared" si="6"/>
        <v>-0.20284107562829787</v>
      </c>
      <c r="J98">
        <f t="shared" si="6"/>
        <v>7.6989361998134473</v>
      </c>
      <c r="L98">
        <f>EXP((_C1_exp16+_C2_exp16*G98)*(_C3_exp16+_C4_exp16*H98)*(_C5_exp16+_C6_exp16*J98)*(_C7_exp16+_C8_exp16*I98)/(1+(d1_exp16+d2_exp16*G98)*(d3_exp16+d4_exp16*H98)*(d5_exp16+d6_exp16*J98)*(d7_exp16+d8_exp16*I98)))</f>
        <v>4306.5584051017449</v>
      </c>
      <c r="N98">
        <f t="shared" si="7"/>
        <v>8.3335107089829421</v>
      </c>
      <c r="O98">
        <f t="shared" si="8"/>
        <v>8.3678943502182452</v>
      </c>
      <c r="P98">
        <f t="shared" si="9"/>
        <v>1.1822347845980379E-3</v>
      </c>
      <c r="S98">
        <f t="shared" si="10"/>
        <v>3.37992409273516E-2</v>
      </c>
    </row>
    <row r="99" spans="1:19" ht="15.75" x14ac:dyDescent="0.3">
      <c r="A99" s="20">
        <v>77</v>
      </c>
      <c r="B99" s="17">
        <v>173</v>
      </c>
      <c r="C99" s="3">
        <v>53.3</v>
      </c>
      <c r="D99" s="8">
        <f>(5372*1.1437*0.708+126*0.8667+11*0.8733+25*1.0918+44*1.501)/(5372*1.1437+205)</f>
        <v>0.71855441174552726</v>
      </c>
      <c r="E99" s="9">
        <f>(5372*1.1437+205)</f>
        <v>6348.9564</v>
      </c>
      <c r="F99" s="4">
        <v>5490</v>
      </c>
      <c r="G99">
        <f t="shared" si="6"/>
        <v>5.1532915944977793</v>
      </c>
      <c r="H99">
        <f t="shared" si="6"/>
        <v>3.9759363311717988</v>
      </c>
      <c r="I99">
        <f t="shared" si="6"/>
        <v>-0.33051384669153294</v>
      </c>
      <c r="J99">
        <f t="shared" si="6"/>
        <v>8.7560457319236864</v>
      </c>
      <c r="L99">
        <f>EXP((_C1_exp16+_C2_exp16*G99)*(_C3_exp16+_C4_exp16*H99)*(_C5_exp16+_C6_exp16*J99)*(_C7_exp16+_C8_exp16*I99)/(1+(d1_exp16+d2_exp16*G99)*(d3_exp16+d4_exp16*H99)*(d5_exp16+d6_exp16*J99)*(d7_exp16+d8_exp16*I99)))</f>
        <v>5399.5606304214953</v>
      </c>
      <c r="N99">
        <f t="shared" si="7"/>
        <v>8.6106835345035755</v>
      </c>
      <c r="O99">
        <f t="shared" si="8"/>
        <v>8.5940728645053159</v>
      </c>
      <c r="P99">
        <f t="shared" si="9"/>
        <v>2.7591435779108001E-4</v>
      </c>
      <c r="S99">
        <f t="shared" si="10"/>
        <v>1.6749394213477875E-2</v>
      </c>
    </row>
    <row r="100" spans="1:19" ht="15.75" x14ac:dyDescent="0.3">
      <c r="A100" s="20">
        <v>78</v>
      </c>
      <c r="B100" s="17">
        <v>175</v>
      </c>
      <c r="C100" s="3">
        <v>50.2</v>
      </c>
      <c r="D100" s="8">
        <v>0.77762717770034839</v>
      </c>
      <c r="E100" s="9">
        <v>2870</v>
      </c>
      <c r="F100" s="4">
        <v>4633</v>
      </c>
      <c r="G100">
        <f t="shared" si="6"/>
        <v>5.1647859739235145</v>
      </c>
      <c r="H100">
        <f t="shared" si="6"/>
        <v>3.9160150266976834</v>
      </c>
      <c r="I100">
        <f t="shared" si="6"/>
        <v>-0.25150807570033801</v>
      </c>
      <c r="J100">
        <f t="shared" si="6"/>
        <v>7.9620673087536664</v>
      </c>
      <c r="L100">
        <f>EXP((_C1_exp16+_C2_exp16*G100)*(_C3_exp16+_C4_exp16*H100)*(_C5_exp16+_C6_exp16*J100)*(_C7_exp16+_C8_exp16*I100)/(1+(d1_exp16+d2_exp16*G100)*(d3_exp16+d4_exp16*H100)*(d5_exp16+d6_exp16*J100)*(d7_exp16+d8_exp16*I100)))</f>
        <v>4558.4393397442636</v>
      </c>
      <c r="N100">
        <f t="shared" si="7"/>
        <v>8.4409598854166479</v>
      </c>
      <c r="O100">
        <f t="shared" si="8"/>
        <v>8.4247355938714321</v>
      </c>
      <c r="P100">
        <f t="shared" si="9"/>
        <v>2.6322763614415969E-4</v>
      </c>
      <c r="S100">
        <f t="shared" si="10"/>
        <v>1.6356620040033121E-2</v>
      </c>
    </row>
    <row r="101" spans="1:19" ht="15.75" x14ac:dyDescent="0.3">
      <c r="A101" s="20">
        <v>79</v>
      </c>
      <c r="B101" s="17">
        <v>205</v>
      </c>
      <c r="C101" s="3">
        <v>47.6</v>
      </c>
      <c r="D101" s="8">
        <v>0.7799001584786055</v>
      </c>
      <c r="E101" s="9">
        <v>3786</v>
      </c>
      <c r="F101" s="4">
        <v>4618</v>
      </c>
      <c r="G101">
        <f t="shared" si="6"/>
        <v>5.3230099791384085</v>
      </c>
      <c r="H101">
        <f t="shared" si="6"/>
        <v>3.8628327612373745</v>
      </c>
      <c r="I101">
        <f t="shared" si="6"/>
        <v>-0.24858936944195423</v>
      </c>
      <c r="J101">
        <f t="shared" si="6"/>
        <v>8.2390653317692681</v>
      </c>
      <c r="L101">
        <f>EXP((_C1_exp16+_C2_exp16*G101)*(_C3_exp16+_C4_exp16*H101)*(_C5_exp16+_C6_exp16*J101)*(_C7_exp16+_C8_exp16*I101)/(1+(d1_exp16+d2_exp16*G101)*(d3_exp16+d4_exp16*H101)*(d5_exp16+d6_exp16*J101)*(d7_exp16+d8_exp16*I101)))</f>
        <v>4846.6392820384908</v>
      </c>
      <c r="N101">
        <f t="shared" si="7"/>
        <v>8.4377169899144402</v>
      </c>
      <c r="O101">
        <f t="shared" si="8"/>
        <v>8.4860408122050526</v>
      </c>
      <c r="P101">
        <f t="shared" si="9"/>
        <v>2.3351918007746865E-3</v>
      </c>
      <c r="S101">
        <f t="shared" si="10"/>
        <v>4.7174808920858124E-2</v>
      </c>
    </row>
    <row r="102" spans="1:19" ht="15.75" x14ac:dyDescent="0.3">
      <c r="A102" s="20">
        <v>80</v>
      </c>
      <c r="B102" s="17">
        <v>165</v>
      </c>
      <c r="C102" s="3">
        <v>49.45</v>
      </c>
      <c r="D102" s="8">
        <v>0.81859073191566978</v>
      </c>
      <c r="E102" s="9">
        <v>3878</v>
      </c>
      <c r="F102" s="4">
        <v>4856</v>
      </c>
      <c r="G102">
        <f t="shared" si="6"/>
        <v>5.1059454739005803</v>
      </c>
      <c r="H102">
        <f t="shared" si="6"/>
        <v>3.9009620580687212</v>
      </c>
      <c r="I102">
        <f t="shared" si="6"/>
        <v>-0.2001710368598186</v>
      </c>
      <c r="J102">
        <f t="shared" si="6"/>
        <v>8.2630748358025965</v>
      </c>
      <c r="L102">
        <f>EXP((_C1_exp16+_C2_exp16*G102)*(_C3_exp16+_C4_exp16*H102)*(_C5_exp16+_C6_exp16*J102)*(_C7_exp16+_C8_exp16*I102)/(1+(d1_exp16+d2_exp16*G102)*(d3_exp16+d4_exp16*H102)*(d5_exp16+d6_exp16*J102)*(d7_exp16+d8_exp16*I102)))</f>
        <v>5167.0773049685668</v>
      </c>
      <c r="N102">
        <f t="shared" si="7"/>
        <v>8.4879703327393337</v>
      </c>
      <c r="O102">
        <f t="shared" si="8"/>
        <v>8.5500624894620021</v>
      </c>
      <c r="P102">
        <f t="shared" si="9"/>
        <v>3.8554359264724187E-3</v>
      </c>
      <c r="S102">
        <f t="shared" si="10"/>
        <v>6.020372574442432E-2</v>
      </c>
    </row>
    <row r="103" spans="1:19" ht="15.75" x14ac:dyDescent="0.3">
      <c r="A103" s="20">
        <v>81</v>
      </c>
      <c r="B103" s="17">
        <v>173</v>
      </c>
      <c r="C103" s="3">
        <v>50.63</v>
      </c>
      <c r="D103" s="8">
        <f>(8735*1.0801*0.8086+36*0.8771+29*1.416)/(8735*1.0801+65)</f>
        <v>0.81071382001707748</v>
      </c>
      <c r="E103" s="9">
        <f>(8735*1.0801+65)</f>
        <v>9499.6735000000008</v>
      </c>
      <c r="F103" s="4">
        <v>5098</v>
      </c>
      <c r="G103">
        <f t="shared" si="6"/>
        <v>5.1532915944977793</v>
      </c>
      <c r="H103">
        <f t="shared" si="6"/>
        <v>3.9245442859818178</v>
      </c>
      <c r="I103">
        <f t="shared" si="6"/>
        <v>-0.20984016011628639</v>
      </c>
      <c r="J103">
        <f t="shared" si="6"/>
        <v>9.1590127085769719</v>
      </c>
      <c r="L103">
        <f>EXP((_C1_exp16+_C2_exp16*G103)*(_C3_exp16+_C4_exp16*H103)*(_C5_exp16+_C6_exp16*J103)*(_C7_exp16+_C8_exp16*I103)/(1+(d1_exp16+d2_exp16*G103)*(d3_exp16+d4_exp16*H103)*(d5_exp16+d6_exp16*J103)*(d7_exp16+d8_exp16*I103)))</f>
        <v>6550.9059001104661</v>
      </c>
      <c r="N103">
        <f t="shared" si="7"/>
        <v>8.53660358493606</v>
      </c>
      <c r="O103">
        <f t="shared" si="8"/>
        <v>8.7873586244263695</v>
      </c>
      <c r="P103">
        <f t="shared" si="9"/>
        <v>6.2878089829786696E-2</v>
      </c>
      <c r="S103">
        <f t="shared" si="10"/>
        <v>0.2217870203395787</v>
      </c>
    </row>
    <row r="104" spans="1:19" ht="15.75" x14ac:dyDescent="0.3">
      <c r="A104" s="20">
        <v>82</v>
      </c>
      <c r="B104" s="17">
        <v>184</v>
      </c>
      <c r="C104" s="3">
        <v>54.68</v>
      </c>
      <c r="D104" s="8">
        <f>(13859*1.0736*0.7393+30*1.0133+28*1.3807)/(13859*1.0736+58)</f>
        <v>0.74105263846427649</v>
      </c>
      <c r="E104" s="9">
        <f>(13859*1.0736+58)</f>
        <v>14937.022400000002</v>
      </c>
      <c r="F104" s="4">
        <v>4695</v>
      </c>
      <c r="G104">
        <f t="shared" si="6"/>
        <v>5.2149357576089859</v>
      </c>
      <c r="H104">
        <f t="shared" si="6"/>
        <v>4.001498011855749</v>
      </c>
      <c r="I104">
        <f t="shared" si="6"/>
        <v>-0.29968361914526198</v>
      </c>
      <c r="J104">
        <f t="shared" si="6"/>
        <v>9.6115981349409552</v>
      </c>
      <c r="L104">
        <f>EXP((_C1_exp16+_C2_exp16*G104)*(_C3_exp16+_C4_exp16*H104)*(_C5_exp16+_C6_exp16*J104)*(_C7_exp16+_C8_exp16*I104)/(1+(d1_exp16+d2_exp16*G104)*(d3_exp16+d4_exp16*H104)*(d5_exp16+d6_exp16*J104)*(d7_exp16+d8_exp16*I104)))</f>
        <v>6122.1845535262646</v>
      </c>
      <c r="N104">
        <f t="shared" si="7"/>
        <v>8.4542533916423626</v>
      </c>
      <c r="O104">
        <f t="shared" si="8"/>
        <v>8.7196742650043042</v>
      </c>
      <c r="P104">
        <f t="shared" si="9"/>
        <v>7.0448240016215857E-2</v>
      </c>
      <c r="S104">
        <f t="shared" si="10"/>
        <v>0.23311687863186561</v>
      </c>
    </row>
    <row r="105" spans="1:19" ht="15.75" x14ac:dyDescent="0.3">
      <c r="A105" s="20">
        <v>83</v>
      </c>
      <c r="B105" s="17">
        <v>165</v>
      </c>
      <c r="C105" s="3">
        <v>46.8</v>
      </c>
      <c r="D105" s="8">
        <v>0.81186086770028443</v>
      </c>
      <c r="E105" s="9">
        <v>1925</v>
      </c>
      <c r="F105" s="4">
        <v>3658</v>
      </c>
      <c r="G105">
        <f t="shared" si="6"/>
        <v>5.1059454739005803</v>
      </c>
      <c r="H105">
        <f t="shared" si="6"/>
        <v>3.8458832029236012</v>
      </c>
      <c r="I105">
        <f t="shared" si="6"/>
        <v>-0.20842629869841844</v>
      </c>
      <c r="J105">
        <f t="shared" si="6"/>
        <v>7.5626812467218842</v>
      </c>
      <c r="L105">
        <f>EXP((_C1_exp16+_C2_exp16*G105)*(_C3_exp16+_C4_exp16*H105)*(_C5_exp16+_C6_exp16*J105)*(_C7_exp16+_C8_exp16*I105)/(1+(d1_exp16+d2_exp16*G105)*(d3_exp16+d4_exp16*H105)*(d5_exp16+d6_exp16*J105)*(d7_exp16+d8_exp16*I105)))</f>
        <v>4080.6094127189467</v>
      </c>
      <c r="N105">
        <f t="shared" si="7"/>
        <v>8.2046718289508114</v>
      </c>
      <c r="O105">
        <f t="shared" si="8"/>
        <v>8.3140016221067246</v>
      </c>
      <c r="P105">
        <f t="shared" si="9"/>
        <v>1.1953003671514761E-2</v>
      </c>
      <c r="S105">
        <f t="shared" si="10"/>
        <v>0.10356526929573449</v>
      </c>
    </row>
    <row r="106" spans="1:19" ht="15.75" x14ac:dyDescent="0.3">
      <c r="A106" s="20">
        <v>84</v>
      </c>
      <c r="B106" s="17">
        <v>185</v>
      </c>
      <c r="C106" s="3">
        <v>45.82</v>
      </c>
      <c r="D106" s="8">
        <v>0.84594531668754847</v>
      </c>
      <c r="E106" s="9">
        <v>1573</v>
      </c>
      <c r="F106" s="4">
        <v>3515</v>
      </c>
      <c r="G106">
        <f t="shared" si="6"/>
        <v>5.2203558250783244</v>
      </c>
      <c r="H106">
        <f t="shared" si="6"/>
        <v>3.8247206770253497</v>
      </c>
      <c r="I106">
        <f t="shared" si="6"/>
        <v>-0.16730055895017334</v>
      </c>
      <c r="J106">
        <f t="shared" si="6"/>
        <v>7.3607399030582776</v>
      </c>
      <c r="L106">
        <f>EXP((_C1_exp16+_C2_exp16*G106)*(_C3_exp16+_C4_exp16*H106)*(_C5_exp16+_C6_exp16*J106)*(_C7_exp16+_C8_exp16*I106)/(1+(d1_exp16+d2_exp16*G106)*(d3_exp16+d4_exp16*H106)*(d5_exp16+d6_exp16*J106)*(d7_exp16+d8_exp16*I106)))</f>
        <v>3641.435419068368</v>
      </c>
      <c r="N106">
        <f t="shared" si="7"/>
        <v>8.1647948042447656</v>
      </c>
      <c r="O106">
        <f t="shared" si="8"/>
        <v>8.2001332287947815</v>
      </c>
      <c r="P106">
        <f t="shared" si="9"/>
        <v>1.2488042496771666E-3</v>
      </c>
      <c r="S106">
        <f t="shared" si="10"/>
        <v>3.4721313031198964E-2</v>
      </c>
    </row>
    <row r="107" spans="1:19" ht="15.75" x14ac:dyDescent="0.3">
      <c r="A107" s="20">
        <v>85</v>
      </c>
      <c r="B107" s="17">
        <v>190</v>
      </c>
      <c r="C107" s="3">
        <v>45.31</v>
      </c>
      <c r="D107" s="8">
        <v>0.8405067484662575</v>
      </c>
      <c r="E107" s="9">
        <v>1303</v>
      </c>
      <c r="F107" s="4">
        <v>3515</v>
      </c>
      <c r="G107">
        <f t="shared" si="6"/>
        <v>5.2470240721604862</v>
      </c>
      <c r="H107">
        <f t="shared" si="6"/>
        <v>3.8135277586790468</v>
      </c>
      <c r="I107">
        <f t="shared" si="6"/>
        <v>-0.17375029705652975</v>
      </c>
      <c r="J107">
        <f t="shared" si="6"/>
        <v>7.1724245771248452</v>
      </c>
      <c r="L107">
        <f>EXP((_C1_exp16+_C2_exp16*G107)*(_C3_exp16+_C4_exp16*H107)*(_C5_exp16+_C6_exp16*J107)*(_C7_exp16+_C8_exp16*I107)/(1+(d1_exp16+d2_exp16*G107)*(d3_exp16+d4_exp16*H107)*(d5_exp16+d6_exp16*J107)*(d7_exp16+d8_exp16*I107)))</f>
        <v>3353.5359815274228</v>
      </c>
      <c r="N107">
        <f t="shared" si="7"/>
        <v>8.1647948042447656</v>
      </c>
      <c r="O107">
        <f t="shared" si="8"/>
        <v>8.1177705850267134</v>
      </c>
      <c r="P107">
        <f t="shared" si="9"/>
        <v>2.2112771930674212E-3</v>
      </c>
      <c r="S107">
        <f t="shared" si="10"/>
        <v>4.8147394082539645E-2</v>
      </c>
    </row>
    <row r="108" spans="1:19" ht="15.75" x14ac:dyDescent="0.3">
      <c r="A108" s="20">
        <v>86</v>
      </c>
      <c r="B108" s="17">
        <v>171</v>
      </c>
      <c r="C108" s="3">
        <v>47.73</v>
      </c>
      <c r="D108" s="8">
        <v>0.82248795518505935</v>
      </c>
      <c r="E108" s="9">
        <v>3198</v>
      </c>
      <c r="F108" s="4">
        <v>4815</v>
      </c>
      <c r="G108">
        <f t="shared" si="6"/>
        <v>5.1416635565026603</v>
      </c>
      <c r="H108">
        <f t="shared" si="6"/>
        <v>3.8655601310178049</v>
      </c>
      <c r="I108">
        <f t="shared" si="6"/>
        <v>-0.19542144060174027</v>
      </c>
      <c r="J108">
        <f t="shared" si="6"/>
        <v>8.0702808933938996</v>
      </c>
      <c r="L108">
        <f>EXP((_C1_exp16+_C2_exp16*G108)*(_C3_exp16+_C4_exp16*H108)*(_C5_exp16+_C6_exp16*J108)*(_C7_exp16+_C8_exp16*I108)/(1+(d1_exp16+d2_exp16*G108)*(d3_exp16+d4_exp16*H108)*(d5_exp16+d6_exp16*J108)*(d7_exp16+d8_exp16*I108)))</f>
        <v>4874.5428688771417</v>
      </c>
      <c r="N108">
        <f t="shared" si="7"/>
        <v>8.4794913242322263</v>
      </c>
      <c r="O108">
        <f t="shared" si="8"/>
        <v>8.4917816085484805</v>
      </c>
      <c r="P108">
        <f t="shared" si="9"/>
        <v>1.5105108857436469E-4</v>
      </c>
      <c r="S108">
        <f t="shared" si="10"/>
        <v>1.2215067233752217E-2</v>
      </c>
    </row>
    <row r="109" spans="1:19" ht="15.75" x14ac:dyDescent="0.3">
      <c r="A109" s="20">
        <v>87</v>
      </c>
      <c r="B109" s="17">
        <v>181</v>
      </c>
      <c r="C109" s="3">
        <v>51.15</v>
      </c>
      <c r="D109" s="8">
        <f>(14468*1.0403*0.6844+28*0.9129+11*1.3494)/(14468*1.0403+39)</f>
        <v>0.68530874387752616</v>
      </c>
      <c r="E109" s="9">
        <f>(14468*1.0403+39)</f>
        <v>15090.0604</v>
      </c>
      <c r="F109" s="4">
        <v>7295</v>
      </c>
      <c r="G109">
        <f t="shared" si="6"/>
        <v>5.1984970312658261</v>
      </c>
      <c r="H109">
        <f t="shared" si="6"/>
        <v>3.9347624923976356</v>
      </c>
      <c r="I109">
        <f t="shared" si="6"/>
        <v>-0.37788582127501658</v>
      </c>
      <c r="J109">
        <f t="shared" si="6"/>
        <v>9.6217915544046466</v>
      </c>
      <c r="L109">
        <f>EXP((_C1_exp16+_C2_exp16*G109)*(_C3_exp16+_C4_exp16*H109)*(_C5_exp16+_C6_exp16*J109)*(_C7_exp16+_C8_exp16*I109)/(1+(d1_exp16+d2_exp16*G109)*(d3_exp16+d4_exp16*H109)*(d5_exp16+d6_exp16*J109)*(d7_exp16+d8_exp16*I109)))</f>
        <v>6247.6335854148247</v>
      </c>
      <c r="N109">
        <f t="shared" si="7"/>
        <v>8.8949444609568857</v>
      </c>
      <c r="O109">
        <f t="shared" si="8"/>
        <v>8.7399580446997707</v>
      </c>
      <c r="P109">
        <f t="shared" si="9"/>
        <v>2.4020789224223741E-2</v>
      </c>
      <c r="S109">
        <f t="shared" si="10"/>
        <v>0.16764210004733068</v>
      </c>
    </row>
    <row r="110" spans="1:19" ht="15.75" x14ac:dyDescent="0.3">
      <c r="A110" s="20">
        <v>88</v>
      </c>
      <c r="B110" s="17">
        <v>169</v>
      </c>
      <c r="C110" s="3">
        <v>47.84</v>
      </c>
      <c r="D110" s="8">
        <v>0.80864126002039083</v>
      </c>
      <c r="E110" s="9">
        <v>3019.0898226608274</v>
      </c>
      <c r="F110" s="4">
        <v>4735</v>
      </c>
      <c r="G110">
        <f t="shared" si="6"/>
        <v>5.1298987149230735</v>
      </c>
      <c r="H110">
        <f t="shared" si="6"/>
        <v>3.8678621096423762</v>
      </c>
      <c r="I110">
        <f t="shared" si="6"/>
        <v>-0.21239989658656028</v>
      </c>
      <c r="J110">
        <f t="shared" si="6"/>
        <v>8.012710681718973</v>
      </c>
      <c r="L110">
        <f>EXP((_C1_exp16+_C2_exp16*G110)*(_C3_exp16+_C4_exp16*H110)*(_C5_exp16+_C6_exp16*J110)*(_C7_exp16+_C8_exp16*I110)/(1+(d1_exp16+d2_exp16*G110)*(d3_exp16+d4_exp16*H110)*(d5_exp16+d6_exp16*J110)*(d7_exp16+d8_exp16*I110)))</f>
        <v>4780.2244933979537</v>
      </c>
      <c r="N110">
        <f t="shared" si="7"/>
        <v>8.4627370056201787</v>
      </c>
      <c r="O110">
        <f t="shared" si="8"/>
        <v>8.4722427895286891</v>
      </c>
      <c r="P110">
        <f t="shared" si="9"/>
        <v>9.0359927715295704E-5</v>
      </c>
      <c r="S110">
        <f t="shared" si="10"/>
        <v>9.4607467620849098E-3</v>
      </c>
    </row>
    <row r="111" spans="1:19" ht="15.75" x14ac:dyDescent="0.3">
      <c r="A111" s="20">
        <v>89</v>
      </c>
      <c r="B111" s="17">
        <v>155</v>
      </c>
      <c r="C111" s="3">
        <v>40.33</v>
      </c>
      <c r="D111" s="8">
        <v>0.8641896139865074</v>
      </c>
      <c r="E111" s="9">
        <v>897</v>
      </c>
      <c r="F111" s="4">
        <v>2236.6959999999999</v>
      </c>
      <c r="G111">
        <f t="shared" si="6"/>
        <v>5.0434251169192468</v>
      </c>
      <c r="H111">
        <f t="shared" si="6"/>
        <v>3.6970956088852769</v>
      </c>
      <c r="I111">
        <f t="shared" si="6"/>
        <v>-0.14596307362351163</v>
      </c>
      <c r="J111">
        <f t="shared" si="6"/>
        <v>6.799055862058796</v>
      </c>
      <c r="L111">
        <f>EXP((_C1_exp16+_C2_exp16*G111)*(_C3_exp16+_C4_exp16*H111)*(_C5_exp16+_C6_exp16*J111)*(_C7_exp16+_C8_exp16*I111)/(1+(d1_exp16+d2_exp16*G111)*(d3_exp16+d4_exp16*H111)*(d5_exp16+d6_exp16*J111)*(d7_exp16+d8_exp16*I111)))</f>
        <v>2929.2002562209304</v>
      </c>
      <c r="N111">
        <f t="shared" si="7"/>
        <v>7.7127550559657188</v>
      </c>
      <c r="O111">
        <f t="shared" si="8"/>
        <v>7.9824847146582103</v>
      </c>
      <c r="P111">
        <f t="shared" si="9"/>
        <v>7.2754088778367976E-2</v>
      </c>
      <c r="S111">
        <f t="shared" si="10"/>
        <v>0.2364141047544342</v>
      </c>
    </row>
    <row r="112" spans="1:19" ht="15.75" x14ac:dyDescent="0.3">
      <c r="A112" s="20">
        <v>90</v>
      </c>
      <c r="B112" s="17">
        <v>165</v>
      </c>
      <c r="C112" s="3">
        <v>42.16</v>
      </c>
      <c r="D112" s="8">
        <v>0.75937338889354078</v>
      </c>
      <c r="E112" s="9">
        <v>1230</v>
      </c>
      <c r="F112" s="4">
        <v>3314.6959999999999</v>
      </c>
      <c r="G112">
        <f t="shared" si="6"/>
        <v>5.1059454739005803</v>
      </c>
      <c r="H112">
        <f t="shared" si="6"/>
        <v>3.7414719042331068</v>
      </c>
      <c r="I112">
        <f t="shared" si="6"/>
        <v>-0.27526167407714913</v>
      </c>
      <c r="J112">
        <f t="shared" si="6"/>
        <v>7.114769448366463</v>
      </c>
      <c r="L112">
        <f>EXP((_C1_exp16+_C2_exp16*G112)*(_C3_exp16+_C4_exp16*H112)*(_C5_exp16+_C6_exp16*J112)*(_C7_exp16+_C8_exp16*I112)/(1+(d1_exp16+d2_exp16*G112)*(d3_exp16+d4_exp16*H112)*(d5_exp16+d6_exp16*J112)*(d7_exp16+d8_exp16*I112)))</f>
        <v>3467.7544886783094</v>
      </c>
      <c r="N112">
        <f t="shared" si="7"/>
        <v>8.1061211940408029</v>
      </c>
      <c r="O112">
        <f t="shared" si="8"/>
        <v>8.1512625420491105</v>
      </c>
      <c r="P112">
        <f t="shared" si="9"/>
        <v>2.0377413000071368E-3</v>
      </c>
      <c r="S112">
        <f t="shared" si="10"/>
        <v>4.413763695729387E-2</v>
      </c>
    </row>
    <row r="113" spans="1:19" ht="15.75" x14ac:dyDescent="0.3">
      <c r="A113" s="20">
        <v>91</v>
      </c>
      <c r="B113" s="17">
        <v>148</v>
      </c>
      <c r="C113" s="3">
        <v>44.8</v>
      </c>
      <c r="D113" s="8">
        <v>0.88665790947270184</v>
      </c>
      <c r="E113" s="9">
        <v>2143</v>
      </c>
      <c r="F113" s="4">
        <v>4498</v>
      </c>
      <c r="G113">
        <f t="shared" si="6"/>
        <v>4.9972122737641147</v>
      </c>
      <c r="H113">
        <f t="shared" si="6"/>
        <v>3.8022081394209395</v>
      </c>
      <c r="I113">
        <f t="shared" si="6"/>
        <v>-0.12029604245782206</v>
      </c>
      <c r="J113">
        <f t="shared" si="6"/>
        <v>7.6699619954735772</v>
      </c>
      <c r="L113">
        <f>EXP((_C1_exp16+_C2_exp16*G113)*(_C3_exp16+_C4_exp16*H113)*(_C5_exp16+_C6_exp16*J113)*(_C7_exp16+_C8_exp16*I113)/(1+(d1_exp16+d2_exp16*G113)*(d3_exp16+d4_exp16*H113)*(d5_exp16+d6_exp16*J113)*(d7_exp16+d8_exp16*I113)))</f>
        <v>4509.1000262870593</v>
      </c>
      <c r="N113">
        <f t="shared" si="7"/>
        <v>8.4113881325192619</v>
      </c>
      <c r="O113">
        <f t="shared" si="8"/>
        <v>8.4138528618714279</v>
      </c>
      <c r="P113">
        <f t="shared" si="9"/>
        <v>6.0748907794287162E-6</v>
      </c>
      <c r="S113">
        <f t="shared" si="10"/>
        <v>2.4616944007337673E-3</v>
      </c>
    </row>
    <row r="114" spans="1:19" ht="15.75" x14ac:dyDescent="0.3">
      <c r="A114" s="20">
        <v>92</v>
      </c>
      <c r="B114" s="17">
        <v>154</v>
      </c>
      <c r="C114" s="3">
        <v>44.91</v>
      </c>
      <c r="D114" s="8">
        <v>0.83274397003745326</v>
      </c>
      <c r="E114" s="9">
        <v>1335</v>
      </c>
      <c r="F114" s="4">
        <v>3365</v>
      </c>
      <c r="G114">
        <f t="shared" si="6"/>
        <v>5.0369526024136295</v>
      </c>
      <c r="H114">
        <f t="shared" si="6"/>
        <v>3.8046604870996465</v>
      </c>
      <c r="I114">
        <f t="shared" si="6"/>
        <v>-0.18302904295833708</v>
      </c>
      <c r="J114">
        <f t="shared" si="6"/>
        <v>7.1966865708343501</v>
      </c>
      <c r="L114">
        <f>EXP((_C1_exp16+_C2_exp16*G114)*(_C3_exp16+_C4_exp16*H114)*(_C5_exp16+_C6_exp16*J114)*(_C7_exp16+_C8_exp16*I114)/(1+(d1_exp16+d2_exp16*G114)*(d3_exp16+d4_exp16*H114)*(d5_exp16+d6_exp16*J114)*(d7_exp16+d8_exp16*I114)))</f>
        <v>3547.82842291513</v>
      </c>
      <c r="N114">
        <f t="shared" si="7"/>
        <v>8.1211832420788284</v>
      </c>
      <c r="O114">
        <f t="shared" si="8"/>
        <v>8.1740909834425377</v>
      </c>
      <c r="P114">
        <f t="shared" si="9"/>
        <v>2.7992290962091612E-3</v>
      </c>
      <c r="S114">
        <f t="shared" si="10"/>
        <v>5.153248723479871E-2</v>
      </c>
    </row>
    <row r="115" spans="1:19" ht="15.75" x14ac:dyDescent="0.3">
      <c r="A115" s="20">
        <v>93</v>
      </c>
      <c r="B115" s="17">
        <v>159</v>
      </c>
      <c r="C115" s="3">
        <v>46.47</v>
      </c>
      <c r="D115" s="8">
        <v>0.83111498405951112</v>
      </c>
      <c r="E115" s="9">
        <v>1882</v>
      </c>
      <c r="F115" s="4">
        <v>3955</v>
      </c>
      <c r="G115">
        <f t="shared" si="6"/>
        <v>5.0689042022202315</v>
      </c>
      <c r="H115">
        <f t="shared" si="6"/>
        <v>3.8388069430968867</v>
      </c>
      <c r="I115">
        <f t="shared" si="6"/>
        <v>-0.1849871253960387</v>
      </c>
      <c r="J115">
        <f t="shared" si="6"/>
        <v>7.5400903201453247</v>
      </c>
      <c r="L115">
        <f>EXP((_C1_exp16+_C2_exp16*G115)*(_C3_exp16+_C4_exp16*H115)*(_C5_exp16+_C6_exp16*J115)*(_C7_exp16+_C8_exp16*I115)/(1+(d1_exp16+d2_exp16*G115)*(d3_exp16+d4_exp16*H115)*(d5_exp16+d6_exp16*J115)*(d7_exp16+d8_exp16*I115)))</f>
        <v>4075.0871021792836</v>
      </c>
      <c r="N115">
        <f t="shared" si="7"/>
        <v>8.2827358802017539</v>
      </c>
      <c r="O115">
        <f t="shared" si="8"/>
        <v>8.3126474002144484</v>
      </c>
      <c r="P115">
        <f t="shared" si="9"/>
        <v>8.9469902946982252E-4</v>
      </c>
      <c r="S115">
        <f t="shared" si="10"/>
        <v>2.9468597644222921E-2</v>
      </c>
    </row>
    <row r="116" spans="1:19" ht="15.75" x14ac:dyDescent="0.3">
      <c r="A116" s="20">
        <v>94</v>
      </c>
      <c r="B116" s="17">
        <v>148</v>
      </c>
      <c r="C116" s="3">
        <v>44.56</v>
      </c>
      <c r="D116" s="8">
        <v>0.88824140253969686</v>
      </c>
      <c r="E116" s="9">
        <v>2038</v>
      </c>
      <c r="F116" s="4">
        <v>4349</v>
      </c>
      <c r="G116">
        <f t="shared" si="6"/>
        <v>4.9972122737641147</v>
      </c>
      <c r="H116">
        <f t="shared" si="6"/>
        <v>3.7968365956190286</v>
      </c>
      <c r="I116">
        <f t="shared" si="6"/>
        <v>-0.11851172322753732</v>
      </c>
      <c r="J116">
        <f t="shared" si="6"/>
        <v>7.6197242137826704</v>
      </c>
      <c r="L116">
        <f>EXP((_C1_exp16+_C2_exp16*G116)*(_C3_exp16+_C4_exp16*H116)*(_C5_exp16+_C6_exp16*J116)*(_C7_exp16+_C8_exp16*I116)/(1+(d1_exp16+d2_exp16*G116)*(d3_exp16+d4_exp16*H116)*(d5_exp16+d6_exp16*J116)*(d7_exp16+d8_exp16*I116)))</f>
        <v>4414.1287551998585</v>
      </c>
      <c r="N116">
        <f t="shared" si="7"/>
        <v>8.3777012125976391</v>
      </c>
      <c r="O116">
        <f t="shared" si="8"/>
        <v>8.39256575612389</v>
      </c>
      <c r="P116">
        <f t="shared" si="9"/>
        <v>2.2095465424380706E-4</v>
      </c>
      <c r="S116">
        <f t="shared" si="10"/>
        <v>1.4754611569301546E-2</v>
      </c>
    </row>
    <row r="117" spans="1:19" ht="15.75" x14ac:dyDescent="0.3">
      <c r="A117" s="20">
        <v>95</v>
      </c>
      <c r="B117" s="17">
        <v>154</v>
      </c>
      <c r="C117" s="3">
        <v>45.09</v>
      </c>
      <c r="D117" s="8">
        <v>0.84009799161896836</v>
      </c>
      <c r="E117" s="9">
        <v>1759</v>
      </c>
      <c r="F117" s="4">
        <v>3915</v>
      </c>
      <c r="G117">
        <f t="shared" si="6"/>
        <v>5.0369526024136295</v>
      </c>
      <c r="H117">
        <f t="shared" si="6"/>
        <v>3.8086604924329928</v>
      </c>
      <c r="I117">
        <f t="shared" si="6"/>
        <v>-0.17423673725939212</v>
      </c>
      <c r="J117">
        <f t="shared" si="6"/>
        <v>7.472500744737558</v>
      </c>
      <c r="L117">
        <f>EXP((_C1_exp16+_C2_exp16*G117)*(_C3_exp16+_C4_exp16*H117)*(_C5_exp16+_C6_exp16*J117)*(_C7_exp16+_C8_exp16*I117)/(1+(d1_exp16+d2_exp16*G117)*(d3_exp16+d4_exp16*H117)*(d5_exp16+d6_exp16*J117)*(d7_exp16+d8_exp16*I117)))</f>
        <v>4032.42019799429</v>
      </c>
      <c r="N117">
        <f t="shared" si="7"/>
        <v>8.2725706084249033</v>
      </c>
      <c r="O117">
        <f t="shared" si="8"/>
        <v>8.3021220200935115</v>
      </c>
      <c r="P117">
        <f t="shared" si="9"/>
        <v>8.7328593160755261E-4</v>
      </c>
      <c r="S117">
        <f t="shared" si="10"/>
        <v>2.9119038252187691E-2</v>
      </c>
    </row>
    <row r="118" spans="1:19" ht="15.75" x14ac:dyDescent="0.3">
      <c r="A118" s="20">
        <v>96</v>
      </c>
      <c r="B118" s="17">
        <v>162</v>
      </c>
      <c r="C118" s="3">
        <v>47.21</v>
      </c>
      <c r="D118" s="8">
        <v>0.84338973647711524</v>
      </c>
      <c r="E118" s="9">
        <v>2163</v>
      </c>
      <c r="F118" s="4">
        <v>4133</v>
      </c>
      <c r="G118">
        <f t="shared" si="6"/>
        <v>5.0875963352323836</v>
      </c>
      <c r="H118">
        <f t="shared" si="6"/>
        <v>3.8546057345581954</v>
      </c>
      <c r="I118">
        <f t="shared" si="6"/>
        <v>-0.17032610696696809</v>
      </c>
      <c r="J118">
        <f t="shared" si="6"/>
        <v>7.6792514259530584</v>
      </c>
      <c r="L118">
        <f>EXP((_C1_exp16+_C2_exp16*G118)*(_C3_exp16+_C4_exp16*H118)*(_C5_exp16+_C6_exp16*J118)*(_C7_exp16+_C8_exp16*I118)/(1+(d1_exp16+d2_exp16*G118)*(d3_exp16+d4_exp16*H118)*(d5_exp16+d6_exp16*J118)*(d7_exp16+d8_exp16*I118)))</f>
        <v>4268.353149786979</v>
      </c>
      <c r="N118">
        <f t="shared" si="7"/>
        <v>8.3267588145117326</v>
      </c>
      <c r="O118">
        <f t="shared" si="8"/>
        <v>8.3589833526225199</v>
      </c>
      <c r="P118">
        <f t="shared" si="9"/>
        <v>1.0384208564535827E-3</v>
      </c>
      <c r="S118">
        <f t="shared" si="10"/>
        <v>3.1710860146080946E-2</v>
      </c>
    </row>
    <row r="119" spans="1:19" ht="15.75" x14ac:dyDescent="0.3">
      <c r="A119" s="20">
        <v>97</v>
      </c>
      <c r="B119" s="17">
        <v>162</v>
      </c>
      <c r="C119" s="3">
        <v>47.8</v>
      </c>
      <c r="D119" s="8">
        <v>0.80202568367570037</v>
      </c>
      <c r="E119" s="9">
        <v>2369</v>
      </c>
      <c r="F119" s="4">
        <v>4397</v>
      </c>
      <c r="G119">
        <f t="shared" ref="G119:J150" si="11">LN(B119)</f>
        <v>5.0875963352323836</v>
      </c>
      <c r="H119">
        <f t="shared" si="11"/>
        <v>3.8670256394974101</v>
      </c>
      <c r="I119">
        <f t="shared" si="11"/>
        <v>-0.22061464709510473</v>
      </c>
      <c r="J119">
        <f t="shared" si="11"/>
        <v>7.7702232041587855</v>
      </c>
      <c r="L119">
        <f>EXP((_C1_exp16+_C2_exp16*G119)*(_C3_exp16+_C4_exp16*H119)*(_C5_exp16+_C6_exp16*J119)*(_C7_exp16+_C8_exp16*I119)/(1+(d1_exp16+d2_exp16*G119)*(d3_exp16+d4_exp16*H119)*(d5_exp16+d6_exp16*J119)*(d7_exp16+d8_exp16*I119)))</f>
        <v>4417.0653544480019</v>
      </c>
      <c r="N119">
        <f t="shared" si="7"/>
        <v>8.388677769180811</v>
      </c>
      <c r="O119">
        <f t="shared" si="8"/>
        <v>8.3932308076038868</v>
      </c>
      <c r="P119">
        <f t="shared" si="9"/>
        <v>2.0730158882005127E-5</v>
      </c>
      <c r="S119">
        <f t="shared" si="10"/>
        <v>4.5426890566144865E-3</v>
      </c>
    </row>
    <row r="120" spans="1:19" ht="15.75" x14ac:dyDescent="0.3">
      <c r="A120" s="20">
        <v>98</v>
      </c>
      <c r="B120" s="1">
        <v>190</v>
      </c>
      <c r="C120" s="6">
        <v>54.83</v>
      </c>
      <c r="D120" s="8">
        <f>(9115*1.1799*0.7354+85*0.8537+66*1.0042+31*1.183+27*1.3195)/(9115*1.1799+210)</f>
        <v>0.74057175502290817</v>
      </c>
      <c r="E120" s="9">
        <f>(9115*1.1799+210)</f>
        <v>10964.788499999999</v>
      </c>
      <c r="F120" s="1">
        <v>5706</v>
      </c>
      <c r="G120">
        <f t="shared" si="11"/>
        <v>5.2470240721604862</v>
      </c>
      <c r="H120">
        <f t="shared" si="11"/>
        <v>4.0042374894159574</v>
      </c>
      <c r="I120">
        <f t="shared" si="11"/>
        <v>-0.30033274919518282</v>
      </c>
      <c r="J120">
        <f t="shared" si="11"/>
        <v>9.3024443720202701</v>
      </c>
      <c r="L120">
        <f>EXP((_C1_exp16+_C2_exp16*G120)*(_C3_exp16+_C4_exp16*H120)*(_C5_exp16+_C6_exp16*J120)*(_C7_exp16+_C8_exp16*I120)/(1+(d1_exp16+d2_exp16*G120)*(d3_exp16+d4_exp16*H120)*(d5_exp16+d6_exp16*J120)*(d7_exp16+d8_exp16*I120)))</f>
        <v>5704.8018503284466</v>
      </c>
      <c r="N120">
        <f t="shared" si="7"/>
        <v>8.6492735317734457</v>
      </c>
      <c r="O120">
        <f t="shared" si="8"/>
        <v>8.6490635290599336</v>
      </c>
      <c r="P120">
        <f t="shared" si="9"/>
        <v>4.4101139682455723E-8</v>
      </c>
      <c r="S120">
        <f t="shared" si="10"/>
        <v>2.1002476562519972E-4</v>
      </c>
    </row>
    <row r="121" spans="1:19" ht="15.75" x14ac:dyDescent="0.3">
      <c r="A121" s="20">
        <v>99</v>
      </c>
      <c r="B121" s="1">
        <v>177</v>
      </c>
      <c r="C121" s="6">
        <v>52.46</v>
      </c>
      <c r="D121" s="8">
        <f>(4572*1.2006*0.7484+163*1.1376+34*1.2528+35*1.3791)/(4572*1.2006+231)</f>
        <v>0.76647858586477324</v>
      </c>
      <c r="E121" s="9">
        <f>4572*1.2006+231</f>
        <v>5720.1431999999995</v>
      </c>
      <c r="F121" s="1">
        <v>4809</v>
      </c>
      <c r="G121">
        <f t="shared" si="11"/>
        <v>5.1761497325738288</v>
      </c>
      <c r="H121">
        <f t="shared" si="11"/>
        <v>3.9600509744387278</v>
      </c>
      <c r="I121">
        <f t="shared" si="11"/>
        <v>-0.26594851861464086</v>
      </c>
      <c r="J121">
        <f t="shared" si="11"/>
        <v>8.6517491190255083</v>
      </c>
      <c r="L121">
        <f>EXP((_C1_exp16+_C2_exp16*G121)*(_C3_exp16+_C4_exp16*H121)*(_C5_exp16+_C6_exp16*J121)*(_C7_exp16+_C8_exp16*I121)/(1+(d1_exp16+d2_exp16*G121)*(d3_exp16+d4_exp16*H121)*(d5_exp16+d6_exp16*J121)*(d7_exp16+d8_exp16*I121)))</f>
        <v>5374.4734624339753</v>
      </c>
      <c r="N121">
        <f t="shared" si="7"/>
        <v>8.4782444412776634</v>
      </c>
      <c r="O121">
        <f t="shared" si="8"/>
        <v>8.5894158877200226</v>
      </c>
      <c r="P121">
        <f t="shared" si="9"/>
        <v>1.2359090504086344E-2</v>
      </c>
      <c r="S121">
        <f t="shared" si="10"/>
        <v>0.10521467198349239</v>
      </c>
    </row>
    <row r="122" spans="1:19" ht="15.75" x14ac:dyDescent="0.3">
      <c r="A122" s="20">
        <v>100</v>
      </c>
      <c r="B122" s="1">
        <v>165</v>
      </c>
      <c r="C122" s="6">
        <v>47.27</v>
      </c>
      <c r="D122" s="8">
        <v>0.83708334249218064</v>
      </c>
      <c r="E122" s="10">
        <v>2453</v>
      </c>
      <c r="F122" s="1">
        <v>4257</v>
      </c>
      <c r="G122">
        <f t="shared" si="11"/>
        <v>5.1059454739005803</v>
      </c>
      <c r="H122">
        <f t="shared" si="11"/>
        <v>3.8558758448051451</v>
      </c>
      <c r="I122">
        <f t="shared" si="11"/>
        <v>-0.17783164057972209</v>
      </c>
      <c r="J122">
        <f t="shared" si="11"/>
        <v>7.8050670442584895</v>
      </c>
      <c r="L122">
        <f>EXP((_C1_exp16+_C2_exp16*G122)*(_C3_exp16+_C4_exp16*H122)*(_C5_exp16+_C6_exp16*J122)*(_C7_exp16+_C8_exp16*I122)/(1+(d1_exp16+d2_exp16*G122)*(d3_exp16+d4_exp16*H122)*(d5_exp16+d6_exp16*J122)*(d7_exp16+d8_exp16*I122)))</f>
        <v>4472.6756921195029</v>
      </c>
      <c r="N122">
        <f t="shared" si="7"/>
        <v>8.3563199658281526</v>
      </c>
      <c r="O122">
        <f t="shared" si="8"/>
        <v>8.4057420973658274</v>
      </c>
      <c r="P122">
        <f t="shared" si="9"/>
        <v>2.4425470857272328E-3</v>
      </c>
      <c r="S122">
        <f t="shared" si="10"/>
        <v>4.8220731160881214E-2</v>
      </c>
    </row>
    <row r="123" spans="1:19" ht="15.75" x14ac:dyDescent="0.3">
      <c r="A123" s="20">
        <v>101</v>
      </c>
      <c r="B123" s="1">
        <v>158</v>
      </c>
      <c r="C123" s="6">
        <v>47.86</v>
      </c>
      <c r="D123" s="8">
        <v>0.82586756361566482</v>
      </c>
      <c r="E123" s="9">
        <v>2179.0347581216583</v>
      </c>
      <c r="F123" s="1">
        <v>4127</v>
      </c>
      <c r="G123">
        <f t="shared" si="11"/>
        <v>5.0625950330269669</v>
      </c>
      <c r="H123">
        <f t="shared" si="11"/>
        <v>3.868280082480227</v>
      </c>
      <c r="I123">
        <f t="shared" si="11"/>
        <v>-0.19132085292185863</v>
      </c>
      <c r="J123">
        <f t="shared" si="11"/>
        <v>7.6866372862270618</v>
      </c>
      <c r="L123">
        <f>EXP((_C1_exp16+_C2_exp16*G123)*(_C3_exp16+_C4_exp16*H123)*(_C5_exp16+_C6_exp16*J123)*(_C7_exp16+_C8_exp16*I123)/(1+(d1_exp16+d2_exp16*G123)*(d3_exp16+d4_exp16*H123)*(d5_exp16+d6_exp16*J123)*(d7_exp16+d8_exp16*I123)))</f>
        <v>4287.3244388422372</v>
      </c>
      <c r="N123">
        <f t="shared" si="7"/>
        <v>8.325306029752582</v>
      </c>
      <c r="O123">
        <f t="shared" si="8"/>
        <v>8.3634181434270278</v>
      </c>
      <c r="P123">
        <f t="shared" si="9"/>
        <v>1.452533208733877E-3</v>
      </c>
      <c r="S123">
        <f t="shared" si="10"/>
        <v>3.739498634386805E-2</v>
      </c>
    </row>
    <row r="124" spans="1:19" ht="15.75" x14ac:dyDescent="0.3">
      <c r="A124" s="20">
        <v>102</v>
      </c>
      <c r="B124" s="1">
        <v>143</v>
      </c>
      <c r="C124" s="6">
        <v>47.09</v>
      </c>
      <c r="D124" s="8">
        <v>0.80344012511170682</v>
      </c>
      <c r="E124" s="10">
        <v>2238</v>
      </c>
      <c r="F124" s="1">
        <v>4503</v>
      </c>
      <c r="G124">
        <f t="shared" si="11"/>
        <v>4.962844630259907</v>
      </c>
      <c r="H124">
        <f t="shared" si="11"/>
        <v>3.8520606642554633</v>
      </c>
      <c r="I124">
        <f t="shared" si="11"/>
        <v>-0.21885261417702825</v>
      </c>
      <c r="J124">
        <f t="shared" si="11"/>
        <v>7.7133378888718704</v>
      </c>
      <c r="L124">
        <f>EXP((_C1_exp16+_C2_exp16*G124)*(_C3_exp16+_C4_exp16*H124)*(_C5_exp16+_C6_exp16*J124)*(_C7_exp16+_C8_exp16*I124)/(1+(d1_exp16+d2_exp16*G124)*(d3_exp16+d4_exp16*H124)*(d5_exp16+d6_exp16*J124)*(d7_exp16+d8_exp16*I124)))</f>
        <v>4474.0476314099988</v>
      </c>
      <c r="N124">
        <f t="shared" si="7"/>
        <v>8.4124991203015718</v>
      </c>
      <c r="O124">
        <f t="shared" si="8"/>
        <v>8.4060487882629609</v>
      </c>
      <c r="P124">
        <f t="shared" si="9"/>
        <v>4.1606783408330186E-5</v>
      </c>
      <c r="S124">
        <f t="shared" si="10"/>
        <v>6.4711802321328633E-3</v>
      </c>
    </row>
    <row r="125" spans="1:19" ht="15.75" x14ac:dyDescent="0.3">
      <c r="A125" s="20">
        <v>103</v>
      </c>
      <c r="B125" s="1">
        <v>135</v>
      </c>
      <c r="C125" s="6">
        <v>44.46</v>
      </c>
      <c r="D125" s="8">
        <v>0.84994320263829215</v>
      </c>
      <c r="E125" s="10">
        <v>1973</v>
      </c>
      <c r="F125" s="1">
        <v>4335</v>
      </c>
      <c r="G125">
        <f t="shared" si="11"/>
        <v>4.9052747784384296</v>
      </c>
      <c r="H125">
        <f t="shared" si="11"/>
        <v>3.7945899085360506</v>
      </c>
      <c r="I125">
        <f t="shared" si="11"/>
        <v>-0.16258575215589766</v>
      </c>
      <c r="J125">
        <f t="shared" si="11"/>
        <v>7.5873105060226154</v>
      </c>
      <c r="L125">
        <f>EXP((_C1_exp16+_C2_exp16*G125)*(_C3_exp16+_C4_exp16*H125)*(_C5_exp16+_C6_exp16*J125)*(_C7_exp16+_C8_exp16*I125)/(1+(d1_exp16+d2_exp16*G125)*(d3_exp16+d4_exp16*H125)*(d5_exp16+d6_exp16*J125)*(d7_exp16+d8_exp16*I125)))</f>
        <v>4454.629058587404</v>
      </c>
      <c r="N125">
        <f t="shared" si="7"/>
        <v>8.3744768892146428</v>
      </c>
      <c r="O125">
        <f t="shared" si="8"/>
        <v>8.4016990723725868</v>
      </c>
      <c r="P125">
        <f t="shared" si="9"/>
        <v>7.4104725588465005E-4</v>
      </c>
      <c r="S125">
        <f t="shared" si="10"/>
        <v>2.6854998926743236E-2</v>
      </c>
    </row>
    <row r="126" spans="1:19" ht="15.75" x14ac:dyDescent="0.3">
      <c r="A126" s="20">
        <v>104</v>
      </c>
      <c r="B126" s="1">
        <v>159</v>
      </c>
      <c r="C126" s="15">
        <v>43.6</v>
      </c>
      <c r="D126" s="13">
        <v>0.89081440935686729</v>
      </c>
      <c r="E126" s="11">
        <v>1315</v>
      </c>
      <c r="F126" s="11">
        <v>2900</v>
      </c>
      <c r="G126">
        <f t="shared" si="11"/>
        <v>5.0689042022202315</v>
      </c>
      <c r="H126">
        <f t="shared" si="11"/>
        <v>3.7750571503549888</v>
      </c>
      <c r="I126">
        <f t="shared" si="11"/>
        <v>-0.11561916798113434</v>
      </c>
      <c r="J126">
        <f t="shared" si="11"/>
        <v>7.1815919446118652</v>
      </c>
      <c r="L126">
        <f>EXP((_C1_exp16+_C2_exp16*G126)*(_C3_exp16+_C4_exp16*H126)*(_C5_exp16+_C6_exp16*J126)*(_C7_exp16+_C8_exp16*I126)/(1+(d1_exp16+d2_exp16*G126)*(d3_exp16+d4_exp16*H126)*(d5_exp16+d6_exp16*J126)*(d7_exp16+d8_exp16*I126)))</f>
        <v>3489.8488662830896</v>
      </c>
      <c r="N126">
        <f t="shared" si="7"/>
        <v>7.9724660159745655</v>
      </c>
      <c r="O126">
        <f t="shared" si="8"/>
        <v>8.1576137094688477</v>
      </c>
      <c r="P126">
        <f t="shared" si="9"/>
        <v>3.4279668406252656E-2</v>
      </c>
      <c r="S126">
        <f t="shared" si="10"/>
        <v>0.16901845577952379</v>
      </c>
    </row>
    <row r="127" spans="1:19" ht="15.75" x14ac:dyDescent="0.3">
      <c r="A127" s="20">
        <v>105</v>
      </c>
      <c r="B127" s="1">
        <v>163</v>
      </c>
      <c r="C127" s="16">
        <v>47.771298521831739</v>
      </c>
      <c r="D127" s="13">
        <v>0.78564357945546592</v>
      </c>
      <c r="E127" s="11">
        <v>1883.8370124237647</v>
      </c>
      <c r="F127" s="11">
        <v>3584.9960000000001</v>
      </c>
      <c r="G127">
        <f t="shared" si="11"/>
        <v>5.0937502008067623</v>
      </c>
      <c r="H127">
        <f t="shared" si="11"/>
        <v>3.8664250098214503</v>
      </c>
      <c r="I127">
        <f t="shared" si="11"/>
        <v>-0.24125205065016408</v>
      </c>
      <c r="J127">
        <f t="shared" si="11"/>
        <v>7.5410659399416229</v>
      </c>
      <c r="L127">
        <f>EXP((_C1_exp16+_C2_exp16*G127)*(_C3_exp16+_C4_exp16*H127)*(_C5_exp16+_C6_exp16*J127)*(_C7_exp16+_C8_exp16*I127)/(1+(d1_exp16+d2_exp16*G127)*(d3_exp16+d4_exp16*H127)*(d5_exp16+d6_exp16*J127)*(d7_exp16+d8_exp16*I127)))</f>
        <v>4050.9371541768946</v>
      </c>
      <c r="N127">
        <f t="shared" si="7"/>
        <v>8.1845126372729862</v>
      </c>
      <c r="O127">
        <f t="shared" si="8"/>
        <v>8.3067035294256986</v>
      </c>
      <c r="P127">
        <f t="shared" si="9"/>
        <v>1.4930614125075792E-2</v>
      </c>
      <c r="S127">
        <f t="shared" si="10"/>
        <v>0.11502058324861092</v>
      </c>
    </row>
    <row r="128" spans="1:19" ht="15.75" x14ac:dyDescent="0.3">
      <c r="A128" s="20">
        <v>106</v>
      </c>
      <c r="B128" s="1">
        <v>157</v>
      </c>
      <c r="C128" s="15">
        <v>40.200000000000003</v>
      </c>
      <c r="D128" s="13">
        <v>0.85875487465181055</v>
      </c>
      <c r="E128" s="11">
        <v>1077</v>
      </c>
      <c r="F128" s="11">
        <v>3313</v>
      </c>
      <c r="G128">
        <f t="shared" si="11"/>
        <v>5.0562458053483077</v>
      </c>
      <c r="H128">
        <f t="shared" si="11"/>
        <v>3.6938669956249757</v>
      </c>
      <c r="I128">
        <f t="shared" si="11"/>
        <v>-0.15227175901125453</v>
      </c>
      <c r="J128">
        <f t="shared" si="11"/>
        <v>6.9819346771563886</v>
      </c>
      <c r="L128">
        <f>EXP((_C1_exp16+_C2_exp16*G128)*(_C3_exp16+_C4_exp16*H128)*(_C5_exp16+_C6_exp16*J128)*(_C7_exp16+_C8_exp16*I128)/(1+(d1_exp16+d2_exp16*G128)*(d3_exp16+d4_exp16*H128)*(d5_exp16+d6_exp16*J128)*(d7_exp16+d8_exp16*I128)))</f>
        <v>3241.1751676287345</v>
      </c>
      <c r="N128">
        <f t="shared" si="7"/>
        <v>8.1056094022998959</v>
      </c>
      <c r="O128">
        <f t="shared" si="8"/>
        <v>8.0836912490826851</v>
      </c>
      <c r="P128">
        <f t="shared" si="9"/>
        <v>4.8040544045312817E-4</v>
      </c>
      <c r="S128">
        <f t="shared" si="10"/>
        <v>2.2160120529311923E-2</v>
      </c>
    </row>
    <row r="129" spans="1:19" ht="15.75" x14ac:dyDescent="0.3">
      <c r="A129" s="20">
        <v>107</v>
      </c>
      <c r="B129" s="1">
        <v>151</v>
      </c>
      <c r="C129" s="15">
        <v>40.700000000000003</v>
      </c>
      <c r="D129" s="13">
        <v>0.89849999999999997</v>
      </c>
      <c r="E129" s="11">
        <v>828</v>
      </c>
      <c r="F129" s="11">
        <v>2551</v>
      </c>
      <c r="G129">
        <f t="shared" si="11"/>
        <v>5.0172798368149243</v>
      </c>
      <c r="H129">
        <f t="shared" si="11"/>
        <v>3.7062280924485496</v>
      </c>
      <c r="I129">
        <f t="shared" si="11"/>
        <v>-0.10702857275852336</v>
      </c>
      <c r="J129">
        <f t="shared" si="11"/>
        <v>6.7190131543852596</v>
      </c>
      <c r="L129">
        <f>EXP((_C1_exp16+_C2_exp16*G129)*(_C3_exp16+_C4_exp16*H129)*(_C5_exp16+_C6_exp16*J129)*(_C7_exp16+_C8_exp16*I129)/(1+(d1_exp16+d2_exp16*G129)*(d3_exp16+d4_exp16*H129)*(d5_exp16+d6_exp16*J129)*(d7_exp16+d8_exp16*I129)))</f>
        <v>2787.5150133734192</v>
      </c>
      <c r="N129">
        <f t="shared" si="7"/>
        <v>7.844240718141811</v>
      </c>
      <c r="O129">
        <f t="shared" si="8"/>
        <v>7.9329058017174283</v>
      </c>
      <c r="P129">
        <f t="shared" si="9"/>
        <v>7.8614970454712017E-3</v>
      </c>
      <c r="S129">
        <f t="shared" si="10"/>
        <v>8.4847978302793559E-2</v>
      </c>
    </row>
    <row r="130" spans="1:19" ht="15.75" x14ac:dyDescent="0.3">
      <c r="A130" s="20">
        <v>108</v>
      </c>
      <c r="B130" s="1">
        <v>153</v>
      </c>
      <c r="C130" s="15">
        <v>39.299999999999997</v>
      </c>
      <c r="D130" s="14">
        <v>0.87901334951456311</v>
      </c>
      <c r="E130" s="11">
        <v>824</v>
      </c>
      <c r="F130" s="11">
        <v>2528</v>
      </c>
      <c r="G130">
        <f t="shared" si="11"/>
        <v>5.0304379213924353</v>
      </c>
      <c r="H130">
        <f t="shared" si="11"/>
        <v>3.6712245188752153</v>
      </c>
      <c r="I130">
        <f t="shared" si="11"/>
        <v>-0.12895519425123364</v>
      </c>
      <c r="J130">
        <f t="shared" si="11"/>
        <v>6.7141705299094721</v>
      </c>
      <c r="L130">
        <f>EXP((_C1_exp16+_C2_exp16*G130)*(_C3_exp16+_C4_exp16*H130)*(_C5_exp16+_C6_exp16*J130)*(_C7_exp16+_C8_exp16*I130)/(1+(d1_exp16+d2_exp16*G130)*(d3_exp16+d4_exp16*H130)*(d5_exp16+d6_exp16*J130)*(d7_exp16+d8_exp16*I130)))</f>
        <v>2802.5289031229581</v>
      </c>
      <c r="N130">
        <f t="shared" si="7"/>
        <v>7.8351837552667485</v>
      </c>
      <c r="O130">
        <f t="shared" si="8"/>
        <v>7.9382774682287112</v>
      </c>
      <c r="P130">
        <f t="shared" si="9"/>
        <v>1.0628313652283552E-2</v>
      </c>
      <c r="S130">
        <f t="shared" si="10"/>
        <v>9.7957563548065729E-2</v>
      </c>
    </row>
    <row r="131" spans="1:19" ht="15.75" x14ac:dyDescent="0.3">
      <c r="A131" s="20">
        <v>109</v>
      </c>
      <c r="B131" s="1">
        <v>153</v>
      </c>
      <c r="C131" s="15">
        <v>42.6</v>
      </c>
      <c r="D131" s="14">
        <v>0.86815831435079716</v>
      </c>
      <c r="E131" s="11">
        <v>878</v>
      </c>
      <c r="F131" s="11">
        <v>2562</v>
      </c>
      <c r="G131">
        <f t="shared" si="11"/>
        <v>5.0304379213924353</v>
      </c>
      <c r="H131">
        <f t="shared" si="11"/>
        <v>3.751854253275325</v>
      </c>
      <c r="I131">
        <f t="shared" si="11"/>
        <v>-0.14138119114771935</v>
      </c>
      <c r="J131">
        <f t="shared" si="11"/>
        <v>6.7776465936351169</v>
      </c>
      <c r="L131">
        <f>EXP((_C1_exp16+_C2_exp16*G131)*(_C3_exp16+_C4_exp16*H131)*(_C5_exp16+_C6_exp16*J131)*(_C7_exp16+_C8_exp16*I131)/(1+(d1_exp16+d2_exp16*G131)*(d3_exp16+d4_exp16*H131)*(d5_exp16+d6_exp16*J131)*(d7_exp16+d8_exp16*I131)))</f>
        <v>2868.080135695694</v>
      </c>
      <c r="N131">
        <f t="shared" si="7"/>
        <v>7.8485434824566793</v>
      </c>
      <c r="O131">
        <f t="shared" si="8"/>
        <v>7.9613981426456499</v>
      </c>
      <c r="P131">
        <f t="shared" si="9"/>
        <v>1.2736174326368029E-2</v>
      </c>
      <c r="S131">
        <f t="shared" si="10"/>
        <v>0.10671952010205946</v>
      </c>
    </row>
    <row r="132" spans="1:19" ht="15.75" x14ac:dyDescent="0.3">
      <c r="A132" s="20">
        <v>110</v>
      </c>
      <c r="B132" s="1">
        <v>170</v>
      </c>
      <c r="C132" s="16">
        <v>38.33</v>
      </c>
      <c r="D132" s="14">
        <v>0.98686008676789583</v>
      </c>
      <c r="E132" s="12">
        <v>461</v>
      </c>
      <c r="F132" s="11">
        <v>1714.9959999999999</v>
      </c>
      <c r="G132">
        <f t="shared" si="11"/>
        <v>5.1357984370502621</v>
      </c>
      <c r="H132">
        <f t="shared" si="11"/>
        <v>3.6462328793924637</v>
      </c>
      <c r="I132">
        <f t="shared" si="11"/>
        <v>-1.3227005657891307E-2</v>
      </c>
      <c r="J132">
        <f t="shared" si="11"/>
        <v>6.1333980429966486</v>
      </c>
      <c r="L132">
        <f>EXP((_C1_exp16+_C2_exp16*G132)*(_C3_exp16+_C4_exp16*H132)*(_C5_exp16+_C6_exp16*J132)*(_C7_exp16+_C8_exp16*I132)/(1+(d1_exp16+d2_exp16*G132)*(d3_exp16+d4_exp16*H132)*(d5_exp16+d6_exp16*J132)*(d7_exp16+d8_exp16*I132)))</f>
        <v>1824.329839560048</v>
      </c>
      <c r="N132">
        <f t="shared" si="7"/>
        <v>7.447166027235804</v>
      </c>
      <c r="O132">
        <f t="shared" si="8"/>
        <v>7.5089679873780755</v>
      </c>
      <c r="P132">
        <f t="shared" si="9"/>
        <v>3.8194822774269103E-3</v>
      </c>
      <c r="S132">
        <f t="shared" si="10"/>
        <v>5.9930960503510065E-2</v>
      </c>
    </row>
    <row r="133" spans="1:19" ht="15.75" x14ac:dyDescent="0.3">
      <c r="A133" s="20">
        <v>111</v>
      </c>
      <c r="B133" s="1">
        <v>165</v>
      </c>
      <c r="C133" s="16">
        <v>37.9</v>
      </c>
      <c r="D133" s="14">
        <v>0.9594061224489796</v>
      </c>
      <c r="E133" s="12">
        <v>441</v>
      </c>
      <c r="F133" s="11">
        <v>1614.9959999999999</v>
      </c>
      <c r="G133">
        <f t="shared" si="11"/>
        <v>5.1059454739005803</v>
      </c>
      <c r="H133">
        <f t="shared" si="11"/>
        <v>3.6349511120883808</v>
      </c>
      <c r="I133">
        <f t="shared" si="11"/>
        <v>-4.144080839505284E-2</v>
      </c>
      <c r="J133">
        <f t="shared" si="11"/>
        <v>6.089044875446846</v>
      </c>
      <c r="L133">
        <f>EXP((_C1_exp16+_C2_exp16*G133)*(_C3_exp16+_C4_exp16*H133)*(_C5_exp16+_C6_exp16*J133)*(_C7_exp16+_C8_exp16*I133)/(1+(d1_exp16+d2_exp16*G133)*(d3_exp16+d4_exp16*H133)*(d5_exp16+d6_exp16*J133)*(d7_exp16+d8_exp16*I133)))</f>
        <v>1806.6225070350017</v>
      </c>
      <c r="N133">
        <f t="shared" si="7"/>
        <v>7.3870877588735038</v>
      </c>
      <c r="O133">
        <f t="shared" si="8"/>
        <v>7.4992143628663044</v>
      </c>
      <c r="P133">
        <f t="shared" si="9"/>
        <v>1.257237532295833E-2</v>
      </c>
      <c r="S133">
        <f t="shared" si="10"/>
        <v>0.10606892490755915</v>
      </c>
    </row>
    <row r="134" spans="1:19" ht="15.75" x14ac:dyDescent="0.3">
      <c r="A134" s="20">
        <v>112</v>
      </c>
      <c r="B134" s="1">
        <v>151</v>
      </c>
      <c r="C134" s="15">
        <v>44.7</v>
      </c>
      <c r="D134" s="14">
        <v>0.83362575680739615</v>
      </c>
      <c r="E134" s="11">
        <v>1428</v>
      </c>
      <c r="F134" s="11">
        <v>3575</v>
      </c>
      <c r="G134">
        <f t="shared" si="11"/>
        <v>5.0172798368149243</v>
      </c>
      <c r="H134">
        <f t="shared" si="11"/>
        <v>3.7999735016195233</v>
      </c>
      <c r="I134">
        <f t="shared" si="11"/>
        <v>-0.18197071017895133</v>
      </c>
      <c r="J134">
        <f t="shared" si="11"/>
        <v>7.2640301428995295</v>
      </c>
      <c r="L134">
        <f>EXP((_C1_exp16+_C2_exp16*G134)*(_C3_exp16+_C4_exp16*H134)*(_C5_exp16+_C6_exp16*J134)*(_C7_exp16+_C8_exp16*I134)/(1+(d1_exp16+d2_exp16*G134)*(d3_exp16+d4_exp16*H134)*(d5_exp16+d6_exp16*J134)*(d7_exp16+d8_exp16*I134)))</f>
        <v>3684.0888710863064</v>
      </c>
      <c r="N134">
        <f t="shared" si="7"/>
        <v>8.181720455128108</v>
      </c>
      <c r="O134">
        <f t="shared" si="8"/>
        <v>8.2117785206147147</v>
      </c>
      <c r="P134">
        <f t="shared" si="9"/>
        <v>9.0348730079713819E-4</v>
      </c>
      <c r="S134">
        <f t="shared" si="10"/>
        <v>2.9610814207676812E-2</v>
      </c>
    </row>
    <row r="135" spans="1:19" ht="15.75" x14ac:dyDescent="0.3">
      <c r="A135" s="20">
        <v>113</v>
      </c>
      <c r="B135" s="1">
        <v>161</v>
      </c>
      <c r="C135" s="15">
        <v>43.6</v>
      </c>
      <c r="D135" s="14">
        <v>0.85542971530249112</v>
      </c>
      <c r="E135" s="11">
        <v>1124</v>
      </c>
      <c r="F135" s="11">
        <v>3131</v>
      </c>
      <c r="G135">
        <f t="shared" si="11"/>
        <v>5.0814043649844631</v>
      </c>
      <c r="H135">
        <f t="shared" si="11"/>
        <v>3.7750571503549888</v>
      </c>
      <c r="I135">
        <f t="shared" si="11"/>
        <v>-0.15615134530486452</v>
      </c>
      <c r="J135">
        <f t="shared" si="11"/>
        <v>7.0246490304536362</v>
      </c>
      <c r="L135">
        <f>EXP((_C1_exp16+_C2_exp16*G135)*(_C3_exp16+_C4_exp16*H135)*(_C5_exp16+_C6_exp16*J135)*(_C7_exp16+_C8_exp16*I135)/(1+(d1_exp16+d2_exp16*G135)*(d3_exp16+d4_exp16*H135)*(d5_exp16+d6_exp16*J135)*(d7_exp16+d8_exp16*I135)))</f>
        <v>3235.6486546336878</v>
      </c>
      <c r="N135">
        <f t="shared" si="7"/>
        <v>8.049107721326406</v>
      </c>
      <c r="O135">
        <f t="shared" si="8"/>
        <v>8.08198469831399</v>
      </c>
      <c r="P135">
        <f t="shared" si="9"/>
        <v>1.0808956158421326E-3</v>
      </c>
      <c r="S135">
        <f t="shared" si="10"/>
        <v>3.2342403580754416E-2</v>
      </c>
    </row>
    <row r="136" spans="1:19" ht="15.75" x14ac:dyDescent="0.3">
      <c r="A136" s="20">
        <v>114</v>
      </c>
      <c r="B136" s="1">
        <v>160</v>
      </c>
      <c r="C136" s="15">
        <v>44.4</v>
      </c>
      <c r="D136" s="14">
        <v>0.87219552541973877</v>
      </c>
      <c r="E136" s="11">
        <v>1178</v>
      </c>
      <c r="F136" s="11">
        <v>2992</v>
      </c>
      <c r="G136">
        <f t="shared" si="11"/>
        <v>5.0751738152338266</v>
      </c>
      <c r="H136">
        <f t="shared" si="11"/>
        <v>3.7932394694381792</v>
      </c>
      <c r="I136">
        <f t="shared" si="11"/>
        <v>-0.13674165380935618</v>
      </c>
      <c r="J136">
        <f t="shared" si="11"/>
        <v>7.0715733642115319</v>
      </c>
      <c r="L136">
        <f>EXP((_C1_exp16+_C2_exp16*G136)*(_C3_exp16+_C4_exp16*H136)*(_C5_exp16+_C6_exp16*J136)*(_C7_exp16+_C8_exp16*I136)/(1+(d1_exp16+d2_exp16*G136)*(d3_exp16+d4_exp16*H136)*(d5_exp16+d6_exp16*J136)*(d7_exp16+d8_exp16*I136)))</f>
        <v>3285.6043924098026</v>
      </c>
      <c r="N136">
        <f t="shared" si="7"/>
        <v>8.0036973390943675</v>
      </c>
      <c r="O136">
        <f t="shared" si="8"/>
        <v>8.0973058995083296</v>
      </c>
      <c r="P136">
        <f t="shared" si="9"/>
        <v>8.7625625827743806E-3</v>
      </c>
      <c r="S136">
        <f t="shared" si="10"/>
        <v>8.9360847303488228E-2</v>
      </c>
    </row>
    <row r="137" spans="1:19" ht="15.75" x14ac:dyDescent="0.3">
      <c r="A137" s="20">
        <v>115</v>
      </c>
      <c r="B137" s="1">
        <v>175</v>
      </c>
      <c r="C137" s="16">
        <v>37.82</v>
      </c>
      <c r="D137" s="14">
        <v>0.97651249999999989</v>
      </c>
      <c r="E137" s="12">
        <v>440</v>
      </c>
      <c r="F137" s="11">
        <v>1614.9959999999999</v>
      </c>
      <c r="G137">
        <f t="shared" si="11"/>
        <v>5.1647859739235145</v>
      </c>
      <c r="H137">
        <f t="shared" si="11"/>
        <v>3.6328380632303117</v>
      </c>
      <c r="I137">
        <f t="shared" si="11"/>
        <v>-2.3767727928080892E-2</v>
      </c>
      <c r="J137">
        <f t="shared" si="11"/>
        <v>6.0867747269123065</v>
      </c>
      <c r="L137">
        <f>EXP((_C1_exp16+_C2_exp16*G137)*(_C3_exp16+_C4_exp16*H137)*(_C5_exp16+_C6_exp16*J137)*(_C7_exp16+_C8_exp16*I137)/(1+(d1_exp16+d2_exp16*G137)*(d3_exp16+d4_exp16*H137)*(d5_exp16+d6_exp16*J137)*(d7_exp16+d8_exp16*I137)))</f>
        <v>1763.5816057503134</v>
      </c>
      <c r="N137">
        <f t="shared" si="7"/>
        <v>7.3870877588735038</v>
      </c>
      <c r="O137">
        <f t="shared" si="8"/>
        <v>7.4751020234851362</v>
      </c>
      <c r="P137">
        <f t="shared" si="9"/>
        <v>7.7465107751264507E-3</v>
      </c>
      <c r="S137">
        <f t="shared" si="10"/>
        <v>8.425218615676025E-2</v>
      </c>
    </row>
    <row r="138" spans="1:19" ht="15.75" x14ac:dyDescent="0.3">
      <c r="A138" s="20">
        <v>116</v>
      </c>
      <c r="B138" s="1">
        <v>156</v>
      </c>
      <c r="C138" s="15">
        <v>44</v>
      </c>
      <c r="D138" s="14">
        <v>0.82269146712161434</v>
      </c>
      <c r="E138" s="11">
        <v>1477</v>
      </c>
      <c r="F138" s="18">
        <v>3629</v>
      </c>
      <c r="G138">
        <f t="shared" si="11"/>
        <v>5.0498560072495371</v>
      </c>
      <c r="H138">
        <f t="shared" si="11"/>
        <v>3.784189633918261</v>
      </c>
      <c r="I138">
        <f t="shared" si="11"/>
        <v>-0.19517403665924782</v>
      </c>
      <c r="J138">
        <f t="shared" si="11"/>
        <v>7.2977682825313801</v>
      </c>
      <c r="L138">
        <f>EXP((_C1_exp16+_C2_exp16*G138)*(_C3_exp16+_C4_exp16*H138)*(_C5_exp16+_C6_exp16*J138)*(_C7_exp16+_C8_exp16*I138)/(1+(d1_exp16+d2_exp16*G138)*(d3_exp16+d4_exp16*H138)*(d5_exp16+d6_exp16*J138)*(d7_exp16+d8_exp16*I138)))</f>
        <v>3742.7319157099091</v>
      </c>
      <c r="N138">
        <f t="shared" si="7"/>
        <v>8.1967124072130702</v>
      </c>
      <c r="O138">
        <f t="shared" si="8"/>
        <v>8.2275710824993986</v>
      </c>
      <c r="P138">
        <f t="shared" si="9"/>
        <v>9.5225784042705908E-4</v>
      </c>
      <c r="S138">
        <f t="shared" si="10"/>
        <v>3.0387406384231187E-2</v>
      </c>
    </row>
    <row r="139" spans="1:19" ht="15.75" x14ac:dyDescent="0.3">
      <c r="A139" s="20">
        <v>117</v>
      </c>
      <c r="B139" s="1">
        <v>159</v>
      </c>
      <c r="C139" s="15">
        <v>41.1</v>
      </c>
      <c r="D139" s="14">
        <v>0.84155519828510184</v>
      </c>
      <c r="E139" s="11">
        <v>933</v>
      </c>
      <c r="F139" s="11">
        <v>2788</v>
      </c>
      <c r="G139">
        <f t="shared" si="11"/>
        <v>5.0689042022202315</v>
      </c>
      <c r="H139">
        <f t="shared" si="11"/>
        <v>3.7160081215021892</v>
      </c>
      <c r="I139">
        <f t="shared" si="11"/>
        <v>-0.17250367239249773</v>
      </c>
      <c r="J139">
        <f t="shared" si="11"/>
        <v>6.8384052008473439</v>
      </c>
      <c r="L139">
        <f>EXP((_C1_exp16+_C2_exp16*G139)*(_C3_exp16+_C4_exp16*H139)*(_C5_exp16+_C6_exp16*J139)*(_C7_exp16+_C8_exp16*I139)/(1+(d1_exp16+d2_exp16*G139)*(d3_exp16+d4_exp16*H139)*(d5_exp16+d6_exp16*J139)*(d7_exp16+d8_exp16*I139)))</f>
        <v>2984.1393052874564</v>
      </c>
      <c r="N139">
        <f t="shared" si="7"/>
        <v>7.9330797718804149</v>
      </c>
      <c r="O139">
        <f t="shared" si="8"/>
        <v>8.0010666443115497</v>
      </c>
      <c r="P139">
        <f t="shared" si="9"/>
        <v>4.6222148229673934E-3</v>
      </c>
      <c r="S139">
        <f t="shared" si="10"/>
        <v>6.5727261773579529E-2</v>
      </c>
    </row>
    <row r="140" spans="1:19" ht="15.75" x14ac:dyDescent="0.3">
      <c r="A140" s="20">
        <v>118</v>
      </c>
      <c r="B140" s="1">
        <v>165</v>
      </c>
      <c r="C140" s="15">
        <v>44.3</v>
      </c>
      <c r="D140" s="14">
        <v>0.84429487179487173</v>
      </c>
      <c r="E140" s="11">
        <v>1482</v>
      </c>
      <c r="F140" s="11">
        <v>3482</v>
      </c>
      <c r="G140">
        <f t="shared" si="11"/>
        <v>5.1059454739005803</v>
      </c>
      <c r="H140">
        <f t="shared" si="11"/>
        <v>3.7909846770510898</v>
      </c>
      <c r="I140">
        <f t="shared" si="11"/>
        <v>-0.16925347123858198</v>
      </c>
      <c r="J140">
        <f t="shared" si="11"/>
        <v>7.301147805856032</v>
      </c>
      <c r="L140">
        <f>EXP((_C1_exp16+_C2_exp16*G140)*(_C3_exp16+_C4_exp16*H140)*(_C5_exp16+_C6_exp16*J140)*(_C7_exp16+_C8_exp16*I140)/(1+(d1_exp16+d2_exp16*G140)*(d3_exp16+d4_exp16*H140)*(d5_exp16+d6_exp16*J140)*(d7_exp16+d8_exp16*I140)))</f>
        <v>3679.9883909867053</v>
      </c>
      <c r="N140">
        <f t="shared" si="7"/>
        <v>8.1553621203281352</v>
      </c>
      <c r="O140">
        <f t="shared" si="8"/>
        <v>8.2106648765348229</v>
      </c>
      <c r="P140">
        <f t="shared" si="9"/>
        <v>3.0583948440563321E-3</v>
      </c>
      <c r="S140">
        <f t="shared" si="10"/>
        <v>5.3801362925935542E-2</v>
      </c>
    </row>
    <row r="141" spans="1:19" ht="15.75" x14ac:dyDescent="0.3">
      <c r="A141" s="20">
        <v>119</v>
      </c>
      <c r="B141" s="1">
        <v>157</v>
      </c>
      <c r="C141" s="15">
        <v>42.2</v>
      </c>
      <c r="D141" s="14">
        <v>0.84965544554455452</v>
      </c>
      <c r="E141" s="11">
        <v>1010</v>
      </c>
      <c r="F141" s="11">
        <v>2976</v>
      </c>
      <c r="G141">
        <f t="shared" si="11"/>
        <v>5.0562458053483077</v>
      </c>
      <c r="H141">
        <f t="shared" si="11"/>
        <v>3.7424202210419661</v>
      </c>
      <c r="I141">
        <f t="shared" si="11"/>
        <v>-0.16292436986048908</v>
      </c>
      <c r="J141">
        <f t="shared" si="11"/>
        <v>6.9177056098353047</v>
      </c>
      <c r="L141">
        <f>EXP((_C1_exp16+_C2_exp16*G141)*(_C3_exp16+_C4_exp16*H141)*(_C5_exp16+_C6_exp16*J141)*(_C7_exp16+_C8_exp16*I141)/(1+(d1_exp16+d2_exp16*G141)*(d3_exp16+d4_exp16*H141)*(d5_exp16+d6_exp16*J141)*(d7_exp16+d8_exp16*I141)))</f>
        <v>3102.3864525178869</v>
      </c>
      <c r="N141">
        <f t="shared" si="7"/>
        <v>7.9983353959529824</v>
      </c>
      <c r="O141">
        <f t="shared" si="8"/>
        <v>8.0399269177040615</v>
      </c>
      <c r="P141">
        <f t="shared" si="9"/>
        <v>1.7298546815704911E-3</v>
      </c>
      <c r="S141">
        <f t="shared" si="10"/>
        <v>4.0738461971851408E-2</v>
      </c>
    </row>
    <row r="142" spans="1:19" ht="15.75" x14ac:dyDescent="0.3">
      <c r="A142" s="20">
        <v>120</v>
      </c>
      <c r="B142" s="1">
        <v>159</v>
      </c>
      <c r="C142" s="16">
        <v>42.44</v>
      </c>
      <c r="D142" s="14">
        <f>(811*0.799+61*1.333)/(872)</f>
        <v>0.83635550458715602</v>
      </c>
      <c r="E142" s="12">
        <v>872</v>
      </c>
      <c r="F142" s="11">
        <v>2814.6959999999999</v>
      </c>
      <c r="G142">
        <f t="shared" si="11"/>
        <v>5.0689042022202315</v>
      </c>
      <c r="H142">
        <f t="shared" si="11"/>
        <v>3.7480913137457823</v>
      </c>
      <c r="I142">
        <f t="shared" si="11"/>
        <v>-0.17870151156686892</v>
      </c>
      <c r="J142">
        <f t="shared" si="11"/>
        <v>6.7707894239089796</v>
      </c>
      <c r="L142">
        <f>EXP((_C1_exp16+_C2_exp16*G142)*(_C3_exp16+_C4_exp16*H142)*(_C5_exp16+_C6_exp16*J142)*(_C7_exp16+_C8_exp16*I142)/(1+(d1_exp16+d2_exp16*G142)*(d3_exp16+d4_exp16*H142)*(d5_exp16+d6_exp16*J142)*(d7_exp16+d8_exp16*I142)))</f>
        <v>2872.6101617987233</v>
      </c>
      <c r="N142">
        <f t="shared" si="7"/>
        <v>7.9426095418469336</v>
      </c>
      <c r="O142">
        <f t="shared" si="8"/>
        <v>7.9629763594831884</v>
      </c>
      <c r="P142">
        <f t="shared" si="9"/>
        <v>4.148072606284599E-4</v>
      </c>
      <c r="S142">
        <f t="shared" si="10"/>
        <v>2.0160814916305829E-2</v>
      </c>
    </row>
    <row r="143" spans="1:19" ht="15.75" x14ac:dyDescent="0.3">
      <c r="A143" s="20">
        <v>121</v>
      </c>
      <c r="B143" s="1">
        <v>156</v>
      </c>
      <c r="C143" s="16">
        <v>41.48</v>
      </c>
      <c r="D143" s="14">
        <v>0.83803829145728648</v>
      </c>
      <c r="E143" s="12">
        <v>779</v>
      </c>
      <c r="F143" s="11">
        <v>2364.6959999999999</v>
      </c>
      <c r="G143">
        <f t="shared" si="11"/>
        <v>5.0498560072495371</v>
      </c>
      <c r="H143">
        <f t="shared" si="11"/>
        <v>3.7252113833613265</v>
      </c>
      <c r="I143">
        <f t="shared" si="11"/>
        <v>-0.17669148568087642</v>
      </c>
      <c r="J143">
        <f t="shared" si="11"/>
        <v>6.6580110458707482</v>
      </c>
      <c r="L143">
        <f>EXP((_C1_exp16+_C2_exp16*G143)*(_C3_exp16+_C4_exp16*H143)*(_C5_exp16+_C6_exp16*J143)*(_C7_exp16+_C8_exp16*I143)/(1+(d1_exp16+d2_exp16*G143)*(d3_exp16+d4_exp16*H143)*(d5_exp16+d6_exp16*J143)*(d7_exp16+d8_exp16*I143)))</f>
        <v>2712.3742219224787</v>
      </c>
      <c r="N143">
        <f t="shared" si="7"/>
        <v>7.7684047514376866</v>
      </c>
      <c r="O143">
        <f t="shared" si="8"/>
        <v>7.9055796269754381</v>
      </c>
      <c r="P143">
        <f t="shared" si="9"/>
        <v>1.8816946478797624E-2</v>
      </c>
      <c r="S143">
        <f t="shared" si="10"/>
        <v>0.12818224679780768</v>
      </c>
    </row>
    <row r="144" spans="1:19" ht="15.75" x14ac:dyDescent="0.3">
      <c r="A144" s="20">
        <v>122</v>
      </c>
      <c r="B144" s="1">
        <v>165</v>
      </c>
      <c r="C144" s="15">
        <v>44</v>
      </c>
      <c r="D144" s="14">
        <v>0.87540818768020245</v>
      </c>
      <c r="E144" s="11">
        <v>1147</v>
      </c>
      <c r="F144" s="11">
        <v>2988</v>
      </c>
      <c r="G144">
        <f t="shared" si="11"/>
        <v>5.1059454739005803</v>
      </c>
      <c r="H144">
        <f t="shared" si="11"/>
        <v>3.784189633918261</v>
      </c>
      <c r="I144">
        <f t="shared" si="11"/>
        <v>-0.13306500119596956</v>
      </c>
      <c r="J144">
        <f t="shared" si="11"/>
        <v>7.0449051171293711</v>
      </c>
      <c r="L144">
        <f>EXP((_C1_exp16+_C2_exp16*G144)*(_C3_exp16+_C4_exp16*H144)*(_C5_exp16+_C6_exp16*J144)*(_C7_exp16+_C8_exp16*I144)/(1+(d1_exp16+d2_exp16*G144)*(d3_exp16+d4_exp16*H144)*(d5_exp16+d6_exp16*J144)*(d7_exp16+d8_exp16*I144)))</f>
        <v>3223.9634233621978</v>
      </c>
      <c r="N144">
        <f t="shared" si="7"/>
        <v>8.0023595462527073</v>
      </c>
      <c r="O144">
        <f t="shared" si="8"/>
        <v>8.0783667584511818</v>
      </c>
      <c r="P144">
        <f t="shared" si="9"/>
        <v>5.7770963061839313E-3</v>
      </c>
      <c r="S144">
        <f t="shared" si="10"/>
        <v>7.319047779894379E-2</v>
      </c>
    </row>
    <row r="145" spans="1:19" ht="15.75" x14ac:dyDescent="0.3">
      <c r="A145" s="20">
        <v>123</v>
      </c>
      <c r="B145" s="1">
        <v>158</v>
      </c>
      <c r="C145" s="15">
        <v>41.7</v>
      </c>
      <c r="D145" s="14">
        <v>0.8943024523160763</v>
      </c>
      <c r="E145" s="11">
        <v>734</v>
      </c>
      <c r="F145" s="11">
        <v>2327</v>
      </c>
      <c r="G145">
        <f t="shared" si="11"/>
        <v>5.0625950330269669</v>
      </c>
      <c r="H145">
        <f t="shared" si="11"/>
        <v>3.730501128804756</v>
      </c>
      <c r="I145">
        <f t="shared" si="11"/>
        <v>-0.11171124747109074</v>
      </c>
      <c r="J145">
        <f t="shared" si="11"/>
        <v>6.5985090286145152</v>
      </c>
      <c r="L145">
        <f>EXP((_C1_exp16+_C2_exp16*G145)*(_C3_exp16+_C4_exp16*H145)*(_C5_exp16+_C6_exp16*J145)*(_C7_exp16+_C8_exp16*I145)/(1+(d1_exp16+d2_exp16*G145)*(d3_exp16+d4_exp16*H145)*(d5_exp16+d6_exp16*J145)*(d7_exp16+d8_exp16*I145)))</f>
        <v>2559.7017342610138</v>
      </c>
      <c r="N145">
        <f t="shared" si="7"/>
        <v>7.7523351633022921</v>
      </c>
      <c r="O145">
        <f t="shared" si="8"/>
        <v>7.8476460206314931</v>
      </c>
      <c r="P145">
        <f t="shared" si="9"/>
        <v>9.0841595248273028E-3</v>
      </c>
      <c r="S145">
        <f t="shared" si="10"/>
        <v>9.0909706840588148E-2</v>
      </c>
    </row>
    <row r="146" spans="1:19" ht="15.75" x14ac:dyDescent="0.3">
      <c r="A146" s="20">
        <v>124</v>
      </c>
      <c r="B146" s="1">
        <v>161</v>
      </c>
      <c r="C146" s="15">
        <v>45.2</v>
      </c>
      <c r="D146" s="14">
        <v>0.83407938415369509</v>
      </c>
      <c r="E146" s="11">
        <v>1908</v>
      </c>
      <c r="F146" s="11">
        <v>3841.6959999999999</v>
      </c>
      <c r="G146">
        <f t="shared" si="11"/>
        <v>5.0814043649844631</v>
      </c>
      <c r="H146">
        <f t="shared" si="11"/>
        <v>3.8110970868381857</v>
      </c>
      <c r="I146">
        <f t="shared" si="11"/>
        <v>-0.18142669631661454</v>
      </c>
      <c r="J146">
        <f t="shared" si="11"/>
        <v>7.5538108520082314</v>
      </c>
      <c r="L146">
        <f>EXP((_C1_exp16+_C2_exp16*G146)*(_C3_exp16+_C4_exp16*H146)*(_C5_exp16+_C6_exp16*J146)*(_C7_exp16+_C8_exp16*I146)/(1+(d1_exp16+d2_exp16*G146)*(d3_exp16+d4_exp16*H146)*(d5_exp16+d6_exp16*J146)*(d7_exp16+d8_exp16*I146)))</f>
        <v>4133.3429197278429</v>
      </c>
      <c r="N146">
        <f t="shared" si="7"/>
        <v>8.2536692147424269</v>
      </c>
      <c r="O146">
        <f t="shared" si="8"/>
        <v>8.3268417822113232</v>
      </c>
      <c r="P146">
        <f t="shared" si="9"/>
        <v>5.3542246299901862E-3</v>
      </c>
      <c r="S146">
        <f t="shared" si="10"/>
        <v>7.0559574995787244E-2</v>
      </c>
    </row>
    <row r="147" spans="1:19" ht="15.75" x14ac:dyDescent="0.3">
      <c r="A147" s="20">
        <v>125</v>
      </c>
      <c r="B147" s="1">
        <v>175</v>
      </c>
      <c r="C147" s="15">
        <v>45.4</v>
      </c>
      <c r="D147" s="14">
        <v>0.84904356846473017</v>
      </c>
      <c r="E147" s="11">
        <v>1446</v>
      </c>
      <c r="F147" s="12">
        <v>3452</v>
      </c>
      <c r="G147">
        <f t="shared" si="11"/>
        <v>5.1647859739235145</v>
      </c>
      <c r="H147">
        <f t="shared" si="11"/>
        <v>3.8155121050473024</v>
      </c>
      <c r="I147">
        <f t="shared" si="11"/>
        <v>-0.16364477659675153</v>
      </c>
      <c r="J147">
        <f t="shared" si="11"/>
        <v>7.2765564027187102</v>
      </c>
      <c r="L147">
        <f>EXP((_C1_exp16+_C2_exp16*G147)*(_C3_exp16+_C4_exp16*H147)*(_C5_exp16+_C6_exp16*J147)*(_C7_exp16+_C8_exp16*I147)/(1+(d1_exp16+d2_exp16*G147)*(d3_exp16+d4_exp16*H147)*(d5_exp16+d6_exp16*J147)*(d7_exp16+d8_exp16*I147)))</f>
        <v>3558.7981814307918</v>
      </c>
      <c r="N147">
        <f t="shared" si="7"/>
        <v>8.1467090522033185</v>
      </c>
      <c r="O147">
        <f t="shared" si="8"/>
        <v>8.1771781773641852</v>
      </c>
      <c r="P147">
        <f t="shared" si="9"/>
        <v>9.2836758806855645E-4</v>
      </c>
      <c r="S147">
        <f t="shared" si="10"/>
        <v>3.0009620098168734E-2</v>
      </c>
    </row>
    <row r="148" spans="1:19" ht="15.75" x14ac:dyDescent="0.3">
      <c r="A148" s="20">
        <v>126</v>
      </c>
      <c r="B148" s="1">
        <v>183</v>
      </c>
      <c r="C148" s="16">
        <v>43.58</v>
      </c>
      <c r="D148" s="13">
        <v>0.88906403013182678</v>
      </c>
      <c r="E148" s="11">
        <v>1062</v>
      </c>
      <c r="F148" s="11">
        <v>2774.6959999999999</v>
      </c>
      <c r="G148">
        <f t="shared" si="11"/>
        <v>5.2094861528414214</v>
      </c>
      <c r="H148">
        <f t="shared" si="11"/>
        <v>3.7745983295164738</v>
      </c>
      <c r="I148">
        <f t="shared" si="11"/>
        <v>-0.11758602116670748</v>
      </c>
      <c r="J148">
        <f t="shared" si="11"/>
        <v>6.9679092018018842</v>
      </c>
      <c r="L148">
        <f>EXP((_C1_exp16+_C2_exp16*G148)*(_C3_exp16+_C4_exp16*H148)*(_C5_exp16+_C6_exp16*J148)*(_C7_exp16+_C8_exp16*I148)/(1+(d1_exp16+d2_exp16*G148)*(d3_exp16+d4_exp16*H148)*(d5_exp16+d6_exp16*J148)*(d7_exp16+d8_exp16*I148)))</f>
        <v>3015.6065197154094</v>
      </c>
      <c r="N148">
        <f t="shared" si="7"/>
        <v>7.928296470629995</v>
      </c>
      <c r="O148">
        <f t="shared" si="8"/>
        <v>8.0115562563312999</v>
      </c>
      <c r="P148">
        <f t="shared" si="9"/>
        <v>6.9321919150272119E-3</v>
      </c>
      <c r="S148">
        <f t="shared" si="10"/>
        <v>7.988791579418153E-2</v>
      </c>
    </row>
    <row r="149" spans="1:19" ht="15.75" x14ac:dyDescent="0.3">
      <c r="A149" s="20">
        <v>127</v>
      </c>
      <c r="B149" s="1">
        <v>180</v>
      </c>
      <c r="C149" s="16">
        <v>44.1</v>
      </c>
      <c r="D149" s="14">
        <f>(923*0.844+105*1.292)/1028</f>
        <v>0.88975875486381317</v>
      </c>
      <c r="E149" s="11">
        <v>1028</v>
      </c>
      <c r="F149" s="11">
        <v>2737</v>
      </c>
      <c r="G149">
        <f t="shared" si="11"/>
        <v>5.1929568508902104</v>
      </c>
      <c r="H149">
        <f t="shared" si="11"/>
        <v>3.7864597824528001</v>
      </c>
      <c r="I149">
        <f t="shared" si="11"/>
        <v>-0.1168049149506539</v>
      </c>
      <c r="J149">
        <f t="shared" si="11"/>
        <v>6.93537044601511</v>
      </c>
      <c r="L149">
        <f>EXP((_C1_exp16+_C2_exp16*G149)*(_C3_exp16+_C4_exp16*H149)*(_C5_exp16+_C6_exp16*J149)*(_C7_exp16+_C8_exp16*I149)/(1+(d1_exp16+d2_exp16*G149)*(d3_exp16+d4_exp16*H149)*(d5_exp16+d6_exp16*J149)*(d7_exp16+d8_exp16*I149)))</f>
        <v>2970.089005868706</v>
      </c>
      <c r="N149">
        <f t="shared" si="7"/>
        <v>7.9146177090406793</v>
      </c>
      <c r="O149">
        <f t="shared" si="8"/>
        <v>7.9963471996536661</v>
      </c>
      <c r="P149">
        <f t="shared" si="9"/>
        <v>6.6797096358583042E-3</v>
      </c>
      <c r="S149">
        <f t="shared" si="10"/>
        <v>7.8478794880603567E-2</v>
      </c>
    </row>
    <row r="150" spans="1:19" ht="15.75" x14ac:dyDescent="0.3">
      <c r="A150" s="20">
        <v>128</v>
      </c>
      <c r="B150" s="1">
        <v>190</v>
      </c>
      <c r="C150" s="16">
        <v>42.1</v>
      </c>
      <c r="D150" s="13">
        <v>0.89860640942942094</v>
      </c>
      <c r="E150" s="11">
        <v>875.9778633928637</v>
      </c>
      <c r="F150" s="11">
        <v>2665</v>
      </c>
      <c r="G150">
        <f t="shared" si="11"/>
        <v>5.2470240721604862</v>
      </c>
      <c r="H150">
        <f t="shared" si="11"/>
        <v>3.7400477406883357</v>
      </c>
      <c r="I150">
        <f t="shared" si="11"/>
        <v>-0.10691014968798396</v>
      </c>
      <c r="J150">
        <f t="shared" si="11"/>
        <v>6.7753408205176262</v>
      </c>
      <c r="L150">
        <f>EXP((_C1_exp16+_C2_exp16*G150)*(_C3_exp16+_C4_exp16*H150)*(_C5_exp16+_C6_exp16*J150)*(_C7_exp16+_C8_exp16*I150)/(1+(d1_exp16+d2_exp16*G150)*(d3_exp16+d4_exp16*H150)*(d5_exp16+d6_exp16*J150)*(d7_exp16+d8_exp16*I150)))</f>
        <v>2704.4013317259996</v>
      </c>
      <c r="N150">
        <f t="shared" si="7"/>
        <v>7.8879593365999447</v>
      </c>
      <c r="O150">
        <f t="shared" si="8"/>
        <v>7.9026358476457759</v>
      </c>
      <c r="P150">
        <f t="shared" si="9"/>
        <v>2.1539997647840287E-4</v>
      </c>
      <c r="S150">
        <f t="shared" si="10"/>
        <v>1.4569336016726836E-2</v>
      </c>
    </row>
    <row r="151" spans="1:19" ht="15.75" x14ac:dyDescent="0.3">
      <c r="A151" s="20">
        <v>129</v>
      </c>
      <c r="B151" s="1">
        <v>180</v>
      </c>
      <c r="C151" s="16">
        <v>40.200000000000003</v>
      </c>
      <c r="D151" s="13">
        <v>0.91390951743438698</v>
      </c>
      <c r="E151" s="11">
        <v>878.71586985293175</v>
      </c>
      <c r="F151" s="11">
        <v>2665</v>
      </c>
      <c r="G151">
        <f t="shared" ref="G151:J166" si="12">LN(B151)</f>
        <v>5.1929568508902104</v>
      </c>
      <c r="H151">
        <f t="shared" si="12"/>
        <v>3.6938669956249757</v>
      </c>
      <c r="I151">
        <f t="shared" si="12"/>
        <v>-9.0023708670903493E-2</v>
      </c>
      <c r="J151">
        <f t="shared" si="12"/>
        <v>6.7784616029429312</v>
      </c>
      <c r="L151">
        <f>EXP((_C1_exp16+_C2_exp16*G151)*(_C3_exp16+_C4_exp16*H151)*(_C5_exp16+_C6_exp16*J151)*(_C7_exp16+_C8_exp16*I151)/(1+(d1_exp16+d2_exp16*G151)*(d3_exp16+d4_exp16*H151)*(d5_exp16+d6_exp16*J151)*(d7_exp16+d8_exp16*I151)))</f>
        <v>2748.2096121202981</v>
      </c>
      <c r="N151">
        <f t="shared" ref="N151:N176" si="13">LN(F151)</f>
        <v>7.8879593365999447</v>
      </c>
      <c r="O151">
        <f t="shared" ref="O151:O176" si="14">LN(L151)</f>
        <v>7.9187049284973714</v>
      </c>
      <c r="P151">
        <f t="shared" si="9"/>
        <v>9.4529142112310721E-4</v>
      </c>
      <c r="S151">
        <f t="shared" si="10"/>
        <v>3.0277753106357923E-2</v>
      </c>
    </row>
    <row r="152" spans="1:19" ht="15.75" x14ac:dyDescent="0.3">
      <c r="A152" s="20">
        <v>130</v>
      </c>
      <c r="B152" s="1">
        <v>175</v>
      </c>
      <c r="C152" s="16">
        <v>39.619999999999997</v>
      </c>
      <c r="D152" s="13">
        <v>0.91801860641097199</v>
      </c>
      <c r="E152" s="11">
        <v>893.50580230451294</v>
      </c>
      <c r="F152" s="11">
        <v>2765</v>
      </c>
      <c r="G152">
        <f t="shared" si="12"/>
        <v>5.1647859739235145</v>
      </c>
      <c r="H152">
        <f t="shared" si="12"/>
        <v>3.6793340412704048</v>
      </c>
      <c r="I152">
        <f t="shared" si="12"/>
        <v>-8.5537620145510154E-2</v>
      </c>
      <c r="J152">
        <f t="shared" si="12"/>
        <v>6.7951528284838396</v>
      </c>
      <c r="L152">
        <f>EXP((_C1_exp16+_C2_exp16*G152)*(_C3_exp16+_C4_exp16*H152)*(_C5_exp16+_C6_exp16*J152)*(_C7_exp16+_C8_exp16*I152)/(1+(d1_exp16+d2_exp16*G152)*(d3_exp16+d4_exp16*H152)*(d5_exp16+d6_exp16*J152)*(d7_exp16+d8_exp16*I152)))</f>
        <v>2803.0837739061112</v>
      </c>
      <c r="N152">
        <f t="shared" si="13"/>
        <v>7.9247959139564355</v>
      </c>
      <c r="O152">
        <f t="shared" si="14"/>
        <v>7.9384754379483242</v>
      </c>
      <c r="P152">
        <f t="shared" ref="P152:P176" si="15">(N152-O152)^2</f>
        <v>1.8712937664466033E-4</v>
      </c>
      <c r="S152">
        <f t="shared" ref="S152:S176" si="16">ABS((F152-L152)/L152)</f>
        <v>1.358638448862386E-2</v>
      </c>
    </row>
    <row r="153" spans="1:19" ht="15.75" x14ac:dyDescent="0.3">
      <c r="A153" s="20">
        <v>131</v>
      </c>
      <c r="B153" s="1">
        <v>125</v>
      </c>
      <c r="C153" s="16">
        <v>37.68</v>
      </c>
      <c r="D153" s="13">
        <v>1.0250941951674821</v>
      </c>
      <c r="E153" s="11">
        <v>819.2574068129552</v>
      </c>
      <c r="F153" s="11">
        <v>2665</v>
      </c>
      <c r="G153">
        <f t="shared" si="12"/>
        <v>4.8283137373023015</v>
      </c>
      <c r="H153">
        <f t="shared" si="12"/>
        <v>3.6291294497081621</v>
      </c>
      <c r="I153">
        <f t="shared" si="12"/>
        <v>2.4784506092407114E-2</v>
      </c>
      <c r="J153">
        <f t="shared" si="12"/>
        <v>6.7083983285059583</v>
      </c>
      <c r="L153">
        <f>EXP((_C1_exp16+_C2_exp16*G153)*(_C3_exp16+_C4_exp16*H153)*(_C5_exp16+_C6_exp16*J153)*(_C7_exp16+_C8_exp16*I153)/(1+(d1_exp16+d2_exp16*G153)*(d3_exp16+d4_exp16*H153)*(d5_exp16+d6_exp16*J153)*(d7_exp16+d8_exp16*I153)))</f>
        <v>3034.7903749269349</v>
      </c>
      <c r="N153">
        <f t="shared" si="13"/>
        <v>7.8879593365999447</v>
      </c>
      <c r="O153">
        <f t="shared" si="14"/>
        <v>8.017897631891385</v>
      </c>
      <c r="P153">
        <f t="shared" si="15"/>
        <v>1.6883960583245535E-2</v>
      </c>
      <c r="S153">
        <f t="shared" si="16"/>
        <v>0.1218503847850901</v>
      </c>
    </row>
    <row r="154" spans="1:19" ht="15.75" x14ac:dyDescent="0.3">
      <c r="A154" s="20">
        <v>132</v>
      </c>
      <c r="B154" s="1">
        <v>152</v>
      </c>
      <c r="C154" s="16">
        <v>41.82</v>
      </c>
      <c r="D154" s="13">
        <v>0.88702597887453039</v>
      </c>
      <c r="E154" s="11">
        <v>1014.8050338327058</v>
      </c>
      <c r="F154" s="11">
        <v>2865</v>
      </c>
      <c r="G154">
        <f t="shared" si="12"/>
        <v>5.0238805208462765</v>
      </c>
      <c r="H154">
        <f t="shared" si="12"/>
        <v>3.7333746940004877</v>
      </c>
      <c r="I154">
        <f t="shared" si="12"/>
        <v>-0.11988100862960711</v>
      </c>
      <c r="J154">
        <f t="shared" si="12"/>
        <v>6.9224517881313359</v>
      </c>
      <c r="L154">
        <f>EXP((_C1_exp16+_C2_exp16*G154)*(_C3_exp16+_C4_exp16*H154)*(_C5_exp16+_C6_exp16*J154)*(_C7_exp16+_C8_exp16*I154)/(1+(d1_exp16+d2_exp16*G154)*(d3_exp16+d4_exp16*H154)*(d5_exp16+d6_exp16*J154)*(d7_exp16+d8_exp16*I154)))</f>
        <v>3115.3267374676229</v>
      </c>
      <c r="N154">
        <f t="shared" si="13"/>
        <v>7.9603236291488395</v>
      </c>
      <c r="O154">
        <f t="shared" si="14"/>
        <v>8.0440893173637065</v>
      </c>
      <c r="P154">
        <f t="shared" si="15"/>
        <v>7.0166905221103019E-3</v>
      </c>
      <c r="S154">
        <f t="shared" si="16"/>
        <v>8.0353285084667478E-2</v>
      </c>
    </row>
    <row r="155" spans="1:19" ht="15.75" x14ac:dyDescent="0.3">
      <c r="A155" s="20">
        <v>133</v>
      </c>
      <c r="B155" s="1">
        <v>155</v>
      </c>
      <c r="C155" s="16">
        <v>41.4</v>
      </c>
      <c r="D155" s="13">
        <v>0.91363998027137561</v>
      </c>
      <c r="E155" s="11">
        <v>1316.8520531613119</v>
      </c>
      <c r="F155" s="11">
        <v>3265</v>
      </c>
      <c r="G155">
        <f t="shared" si="12"/>
        <v>5.0434251169192468</v>
      </c>
      <c r="H155">
        <f t="shared" si="12"/>
        <v>3.7232808808312687</v>
      </c>
      <c r="I155">
        <f t="shared" si="12"/>
        <v>-9.0318679795137399E-2</v>
      </c>
      <c r="J155">
        <f t="shared" si="12"/>
        <v>7.1829993591850378</v>
      </c>
      <c r="L155">
        <f>EXP((_C1_exp16+_C2_exp16*G155)*(_C3_exp16+_C4_exp16*H155)*(_C5_exp16+_C6_exp16*J155)*(_C7_exp16+_C8_exp16*I155)/(1+(d1_exp16+d2_exp16*G155)*(d3_exp16+d4_exp16*H155)*(d5_exp16+d6_exp16*J155)*(d7_exp16+d8_exp16*I155)))</f>
        <v>3589.8077471018187</v>
      </c>
      <c r="N155">
        <f t="shared" si="13"/>
        <v>8.0910150417105307</v>
      </c>
      <c r="O155">
        <f t="shared" si="14"/>
        <v>8.1858539277090205</v>
      </c>
      <c r="P155">
        <f t="shared" si="15"/>
        <v>8.9944142974345605E-3</v>
      </c>
      <c r="S155">
        <f t="shared" si="16"/>
        <v>9.0480541016172158E-2</v>
      </c>
    </row>
    <row r="156" spans="1:19" ht="15.75" x14ac:dyDescent="0.3">
      <c r="A156" s="20">
        <v>134</v>
      </c>
      <c r="B156" s="1">
        <v>159</v>
      </c>
      <c r="C156" s="16">
        <v>44.21</v>
      </c>
      <c r="D156" s="13">
        <v>0.86290875140960577</v>
      </c>
      <c r="E156" s="11">
        <v>1309.5712971320097</v>
      </c>
      <c r="F156" s="11">
        <v>3165</v>
      </c>
      <c r="G156">
        <f t="shared" si="12"/>
        <v>5.0689042022202315</v>
      </c>
      <c r="H156">
        <f t="shared" si="12"/>
        <v>3.7889510078381519</v>
      </c>
      <c r="I156">
        <f t="shared" si="12"/>
        <v>-0.14744632766091231</v>
      </c>
      <c r="J156">
        <f t="shared" si="12"/>
        <v>7.1774551085381875</v>
      </c>
      <c r="L156">
        <f>EXP((_C1_exp16+_C2_exp16*G156)*(_C3_exp16+_C4_exp16*H156)*(_C5_exp16+_C6_exp16*J156)*(_C7_exp16+_C8_exp16*I156)/(1+(d1_exp16+d2_exp16*G156)*(d3_exp16+d4_exp16*H156)*(d5_exp16+d6_exp16*J156)*(d7_exp16+d8_exp16*I156)))</f>
        <v>3484.3801919850343</v>
      </c>
      <c r="N156">
        <f t="shared" si="13"/>
        <v>8.0599083345782763</v>
      </c>
      <c r="O156">
        <f t="shared" si="14"/>
        <v>8.1560454571578962</v>
      </c>
      <c r="P156">
        <f t="shared" si="15"/>
        <v>9.2423463378888682E-3</v>
      </c>
      <c r="S156">
        <f t="shared" si="16"/>
        <v>9.1660546320315589E-2</v>
      </c>
    </row>
    <row r="157" spans="1:19" ht="15.75" x14ac:dyDescent="0.3">
      <c r="A157" s="20">
        <v>135</v>
      </c>
      <c r="B157" s="1">
        <v>155</v>
      </c>
      <c r="C157" s="16">
        <v>40.6</v>
      </c>
      <c r="D157" s="13">
        <v>0.90748600249209299</v>
      </c>
      <c r="E157" s="11">
        <v>1255.9824334889472</v>
      </c>
      <c r="F157" s="11">
        <v>3215</v>
      </c>
      <c r="G157">
        <f t="shared" si="12"/>
        <v>5.0434251169192468</v>
      </c>
      <c r="H157">
        <f t="shared" si="12"/>
        <v>3.7037680666076871</v>
      </c>
      <c r="I157">
        <f t="shared" si="12"/>
        <v>-9.7077137213223391E-2</v>
      </c>
      <c r="J157">
        <f t="shared" si="12"/>
        <v>7.1356733608546588</v>
      </c>
      <c r="L157">
        <f>EXP((_C1_exp16+_C2_exp16*G157)*(_C3_exp16+_C4_exp16*H157)*(_C5_exp16+_C6_exp16*J157)*(_C7_exp16+_C8_exp16*I157)/(1+(d1_exp16+d2_exp16*G157)*(d3_exp16+d4_exp16*H157)*(d5_exp16+d6_exp16*J157)*(d7_exp16+d8_exp16*I157)))</f>
        <v>3525.5544533480038</v>
      </c>
      <c r="N157">
        <f t="shared" si="13"/>
        <v>8.0755826366717205</v>
      </c>
      <c r="O157">
        <f t="shared" si="14"/>
        <v>8.1677929946072521</v>
      </c>
      <c r="P157">
        <f t="shared" si="15"/>
        <v>8.5027501105988477E-3</v>
      </c>
      <c r="S157">
        <f t="shared" si="16"/>
        <v>8.8086698832034543E-2</v>
      </c>
    </row>
    <row r="158" spans="1:19" ht="15.75" x14ac:dyDescent="0.3">
      <c r="A158" s="20">
        <v>136</v>
      </c>
      <c r="B158" s="1">
        <v>188</v>
      </c>
      <c r="C158" s="15">
        <v>45.1</v>
      </c>
      <c r="D158" s="14">
        <v>0.9249433431781553</v>
      </c>
      <c r="E158" s="11">
        <v>1662.9066039752083</v>
      </c>
      <c r="F158" s="11">
        <v>3259</v>
      </c>
      <c r="G158">
        <f t="shared" si="12"/>
        <v>5.2364419628299492</v>
      </c>
      <c r="H158">
        <f t="shared" si="12"/>
        <v>3.8088822465086327</v>
      </c>
      <c r="I158">
        <f t="shared" si="12"/>
        <v>-7.802279396381806E-2</v>
      </c>
      <c r="J158">
        <f t="shared" si="12"/>
        <v>7.4163223164463821</v>
      </c>
      <c r="L158">
        <f>EXP((_C1_exp16+_C2_exp16*G158)*(_C3_exp16+_C4_exp16*H158)*(_C5_exp16+_C6_exp16*J158)*(_C7_exp16+_C8_exp16*I158)/(1+(d1_exp16+d2_exp16*G158)*(d3_exp16+d4_exp16*H158)*(d5_exp16+d6_exp16*J158)*(d7_exp16+d8_exp16*I158)))</f>
        <v>3637.7278523342452</v>
      </c>
      <c r="N158">
        <f t="shared" si="13"/>
        <v>8.0891756788375613</v>
      </c>
      <c r="O158">
        <f t="shared" si="14"/>
        <v>8.1991145493349311</v>
      </c>
      <c r="P158">
        <f t="shared" si="15"/>
        <v>1.2086555246237455E-2</v>
      </c>
      <c r="S158">
        <f t="shared" si="16"/>
        <v>0.10411110113452395</v>
      </c>
    </row>
    <row r="159" spans="1:19" ht="15.75" x14ac:dyDescent="0.3">
      <c r="A159" s="20">
        <v>137</v>
      </c>
      <c r="B159" s="1">
        <v>147</v>
      </c>
      <c r="C159" s="15">
        <v>41.9</v>
      </c>
      <c r="D159" s="14">
        <v>0.92190427125757779</v>
      </c>
      <c r="E159" s="11">
        <v>926.67416705051619</v>
      </c>
      <c r="F159" s="11">
        <v>2290</v>
      </c>
      <c r="G159">
        <f t="shared" si="12"/>
        <v>4.990432586778736</v>
      </c>
      <c r="H159">
        <f t="shared" si="12"/>
        <v>3.735285826928092</v>
      </c>
      <c r="I159">
        <f t="shared" si="12"/>
        <v>-8.1313888085405683E-2</v>
      </c>
      <c r="J159">
        <f t="shared" si="12"/>
        <v>6.8316020119232235</v>
      </c>
      <c r="L159">
        <f>EXP((_C1_exp16+_C2_exp16*G159)*(_C3_exp16+_C4_exp16*H159)*(_C5_exp16+_C6_exp16*J159)*(_C7_exp16+_C8_exp16*I159)/(1+(d1_exp16+d2_exp16*G159)*(d3_exp16+d4_exp16*H159)*(d5_exp16+d6_exp16*J159)*(d7_exp16+d8_exp16*I159)))</f>
        <v>2960.6802297251638</v>
      </c>
      <c r="N159">
        <f t="shared" si="13"/>
        <v>7.736307096548285</v>
      </c>
      <c r="O159">
        <f t="shared" si="14"/>
        <v>7.9931743282560266</v>
      </c>
      <c r="P159">
        <f t="shared" si="15"/>
        <v>6.5980774725198615E-2</v>
      </c>
      <c r="S159">
        <f t="shared" si="16"/>
        <v>0.22652910064097742</v>
      </c>
    </row>
    <row r="160" spans="1:19" ht="15.75" x14ac:dyDescent="0.3">
      <c r="A160" s="20">
        <v>138</v>
      </c>
      <c r="B160" s="1">
        <v>189</v>
      </c>
      <c r="C160" s="15">
        <v>45.1</v>
      </c>
      <c r="D160" s="14">
        <v>0.90878470942589007</v>
      </c>
      <c r="E160" s="11">
        <v>1669.824655779699</v>
      </c>
      <c r="F160" s="11">
        <v>3478</v>
      </c>
      <c r="G160">
        <f t="shared" si="12"/>
        <v>5.2417470150596426</v>
      </c>
      <c r="H160">
        <f t="shared" si="12"/>
        <v>3.8088822465086327</v>
      </c>
      <c r="I160">
        <f t="shared" si="12"/>
        <v>-9.5647056172318196E-2</v>
      </c>
      <c r="J160">
        <f t="shared" si="12"/>
        <v>7.4204739033591762</v>
      </c>
      <c r="L160">
        <f>EXP((_C1_exp16+_C2_exp16*G160)*(_C3_exp16+_C4_exp16*H160)*(_C5_exp16+_C6_exp16*J160)*(_C7_exp16+_C8_exp16*I160)/(1+(d1_exp16+d2_exp16*G160)*(d3_exp16+d4_exp16*H160)*(d5_exp16+d6_exp16*J160)*(d7_exp16+d8_exp16*I160)))</f>
        <v>3655.5794046733713</v>
      </c>
      <c r="N160">
        <f t="shared" si="13"/>
        <v>8.1542126949142286</v>
      </c>
      <c r="O160">
        <f t="shared" si="14"/>
        <v>8.2040098834707447</v>
      </c>
      <c r="P160">
        <f t="shared" si="15"/>
        <v>2.4797599881332126E-3</v>
      </c>
      <c r="S160">
        <f t="shared" si="16"/>
        <v>4.857763572208279E-2</v>
      </c>
    </row>
    <row r="161" spans="2:19" ht="15.75" x14ac:dyDescent="0.3">
      <c r="B161" s="1">
        <v>161</v>
      </c>
      <c r="C161" s="15">
        <v>42.825489712948126</v>
      </c>
      <c r="D161" s="13">
        <v>0.92547543459989179</v>
      </c>
      <c r="E161" s="11">
        <v>1078.8275574104816</v>
      </c>
      <c r="F161" s="11">
        <v>2656.22</v>
      </c>
      <c r="G161">
        <f t="shared" si="12"/>
        <v>5.0814043649844631</v>
      </c>
      <c r="H161">
        <f t="shared" si="12"/>
        <v>3.7571334793566673</v>
      </c>
      <c r="I161">
        <f t="shared" si="12"/>
        <v>-7.7447690162676427E-2</v>
      </c>
      <c r="J161">
        <f t="shared" si="12"/>
        <v>6.983630135442918</v>
      </c>
      <c r="L161">
        <f>EXP((_C1_exp16+_C2_exp16*G161)*(_C3_exp16+_C4_exp16*H161)*(_C5_exp16+_C6_exp16*J161)*(_C7_exp16+_C8_exp16*I161)/(1+(d1_exp16+d2_exp16*G161)*(d3_exp16+d4_exp16*H161)*(d5_exp16+d6_exp16*J161)*(d7_exp16+d8_exp16*I161)))</f>
        <v>3122.8040766637018</v>
      </c>
      <c r="N161">
        <f t="shared" si="13"/>
        <v>7.8846593384913009</v>
      </c>
      <c r="O161">
        <f t="shared" si="14"/>
        <v>8.0464866196967062</v>
      </c>
      <c r="P161">
        <f t="shared" si="15"/>
        <v>2.6188068942333338E-2</v>
      </c>
      <c r="S161">
        <f t="shared" si="16"/>
        <v>0.14941189559422655</v>
      </c>
    </row>
    <row r="162" spans="2:19" ht="15.75" x14ac:dyDescent="0.3">
      <c r="B162" s="1">
        <v>165</v>
      </c>
      <c r="C162" s="16">
        <v>37.130000000000003</v>
      </c>
      <c r="D162" s="14">
        <v>0.92645137195121963</v>
      </c>
      <c r="E162" s="11">
        <v>656</v>
      </c>
      <c r="F162" s="11">
        <v>2265</v>
      </c>
      <c r="G162">
        <f t="shared" si="12"/>
        <v>5.1059454739005803</v>
      </c>
      <c r="H162">
        <f t="shared" si="12"/>
        <v>3.6144252681889886</v>
      </c>
      <c r="I162">
        <f t="shared" si="12"/>
        <v>-7.6393720385664693E-2</v>
      </c>
      <c r="J162">
        <f t="shared" si="12"/>
        <v>6.4861607889440887</v>
      </c>
      <c r="L162">
        <f>EXP((_C1_exp16+_C2_exp16*G162)*(_C3_exp16+_C4_exp16*H162)*(_C5_exp16+_C6_exp16*J162)*(_C7_exp16+_C8_exp16*I162)/(1+(d1_exp16+d2_exp16*G162)*(d3_exp16+d4_exp16*H162)*(d5_exp16+d6_exp16*J162)*(d7_exp16+d8_exp16*I162)))</f>
        <v>2383.8670555582444</v>
      </c>
      <c r="N162">
        <f t="shared" si="13"/>
        <v>7.7253300379171348</v>
      </c>
      <c r="O162">
        <f t="shared" si="14"/>
        <v>7.7764792613443277</v>
      </c>
      <c r="P162">
        <f t="shared" si="15"/>
        <v>2.6162430572048948E-3</v>
      </c>
      <c r="S162">
        <f t="shared" si="16"/>
        <v>4.9863122727877358E-2</v>
      </c>
    </row>
    <row r="163" spans="2:19" ht="15.75" x14ac:dyDescent="0.3">
      <c r="B163" s="1">
        <v>280</v>
      </c>
      <c r="C163" s="6">
        <v>43.3</v>
      </c>
      <c r="D163" s="7">
        <v>0.87214580467675373</v>
      </c>
      <c r="E163" s="17">
        <v>1454</v>
      </c>
      <c r="F163" s="1">
        <v>3280</v>
      </c>
      <c r="G163">
        <f t="shared" si="12"/>
        <v>5.6347896031692493</v>
      </c>
      <c r="H163">
        <f t="shared" si="12"/>
        <v>3.7681526350084442</v>
      </c>
      <c r="I163">
        <f t="shared" si="12"/>
        <v>-0.1367986618526108</v>
      </c>
      <c r="J163">
        <f t="shared" si="12"/>
        <v>7.2820736580934646</v>
      </c>
      <c r="L163">
        <f>EXP((_C1_exp16+_C2_exp16*G163)*(_C3_exp16+_C4_exp16*H163)*(_C5_exp16+_C6_exp16*J163)*(_C7_exp16+_C8_exp16*I163)/(1+(d1_exp16+d2_exp16*G163)*(d3_exp16+d4_exp16*H163)*(d5_exp16+d6_exp16*J163)*(d7_exp16+d8_exp16*I163)))</f>
        <v>3101.5133135396845</v>
      </c>
      <c r="N163">
        <f t="shared" si="13"/>
        <v>8.09559870137819</v>
      </c>
      <c r="O163">
        <f t="shared" si="14"/>
        <v>8.0396454370171089</v>
      </c>
      <c r="P163">
        <f t="shared" si="15"/>
        <v>3.1307677926610358E-3</v>
      </c>
      <c r="S163">
        <f t="shared" si="16"/>
        <v>5.7548257388137014E-2</v>
      </c>
    </row>
    <row r="164" spans="2:19" ht="15.75" x14ac:dyDescent="0.3">
      <c r="B164" s="1">
        <v>270</v>
      </c>
      <c r="C164" s="6">
        <v>44.4</v>
      </c>
      <c r="D164" s="7">
        <v>0.9681445936820593</v>
      </c>
      <c r="E164" s="17">
        <v>2205.9741313164527</v>
      </c>
      <c r="F164" s="1">
        <v>3722</v>
      </c>
      <c r="G164">
        <f t="shared" si="12"/>
        <v>5.598421958998375</v>
      </c>
      <c r="H164">
        <f t="shared" si="12"/>
        <v>3.7932394694381792</v>
      </c>
      <c r="I164">
        <f t="shared" si="12"/>
        <v>-3.2373829222200126E-2</v>
      </c>
      <c r="J164">
        <f t="shared" si="12"/>
        <v>7.6989244732335642</v>
      </c>
      <c r="L164">
        <f>EXP((_C1_exp16+_C2_exp16*G164)*(_C3_exp16+_C4_exp16*H164)*(_C5_exp16+_C6_exp16*J164)*(_C7_exp16+_C8_exp16*I164)/(1+(d1_exp16+d2_exp16*G164)*(d3_exp16+d4_exp16*H164)*(d5_exp16+d6_exp16*J164)*(d7_exp16+d8_exp16*I164)))</f>
        <v>3491.0908755419377</v>
      </c>
      <c r="N164">
        <f t="shared" si="13"/>
        <v>8.2220164372021962</v>
      </c>
      <c r="O164">
        <f t="shared" si="14"/>
        <v>8.1579695381446093</v>
      </c>
      <c r="P164">
        <f t="shared" si="15"/>
        <v>4.102005278892722E-3</v>
      </c>
      <c r="S164">
        <f t="shared" si="16"/>
        <v>6.6142398662772481E-2</v>
      </c>
    </row>
    <row r="165" spans="2:19" ht="15.75" x14ac:dyDescent="0.3">
      <c r="B165" s="1">
        <v>270</v>
      </c>
      <c r="C165" s="6">
        <v>44.2</v>
      </c>
      <c r="D165" s="7">
        <v>0.98172449597075817</v>
      </c>
      <c r="E165" s="17">
        <v>2185.1652241112824</v>
      </c>
      <c r="F165" s="1">
        <v>3697</v>
      </c>
      <c r="G165">
        <f t="shared" si="12"/>
        <v>5.598421958998375</v>
      </c>
      <c r="H165">
        <f t="shared" si="12"/>
        <v>3.7887247890836524</v>
      </c>
      <c r="I165">
        <f t="shared" si="12"/>
        <v>-1.8444563991571971E-2</v>
      </c>
      <c r="J165">
        <f t="shared" si="12"/>
        <v>7.68944672211307</v>
      </c>
      <c r="L165">
        <f>EXP((_C1_exp16+_C2_exp16*G165)*(_C3_exp16+_C4_exp16*H165)*(_C5_exp16+_C6_exp16*J165)*(_C7_exp16+_C8_exp16*I165)/(1+(d1_exp16+d2_exp16*G165)*(d3_exp16+d4_exp16*H165)*(d5_exp16+d6_exp16*J165)*(d7_exp16+d8_exp16*I165)))</f>
        <v>3463.343126035636</v>
      </c>
      <c r="N165">
        <f t="shared" si="13"/>
        <v>8.2152769589366326</v>
      </c>
      <c r="O165">
        <f t="shared" si="14"/>
        <v>8.1499896229579232</v>
      </c>
      <c r="P165">
        <f t="shared" si="15"/>
        <v>4.2624362391968816E-3</v>
      </c>
      <c r="S165">
        <f t="shared" si="16"/>
        <v>6.7465701624494417E-2</v>
      </c>
    </row>
    <row r="166" spans="2:19" ht="15.75" x14ac:dyDescent="0.3">
      <c r="B166" s="1">
        <v>270</v>
      </c>
      <c r="C166" s="6">
        <v>41.8</v>
      </c>
      <c r="D166" s="7">
        <v>0.97099999999999997</v>
      </c>
      <c r="E166" s="17">
        <v>1317.9111629386198</v>
      </c>
      <c r="F166" s="1">
        <v>3066</v>
      </c>
      <c r="G166">
        <f t="shared" si="12"/>
        <v>5.598421958998375</v>
      </c>
      <c r="H166">
        <f t="shared" si="12"/>
        <v>3.7328963395307104</v>
      </c>
      <c r="I166">
        <f t="shared" si="12"/>
        <v>-2.9428810690812168E-2</v>
      </c>
      <c r="J166">
        <f t="shared" si="12"/>
        <v>7.1838033098610463</v>
      </c>
      <c r="L166">
        <f>EXP((_C1_exp16+_C2_exp16*G166)*(_C3_exp16+_C4_exp16*H166)*(_C5_exp16+_C6_exp16*J166)*(_C7_exp16+_C8_exp16*I166)/(1+(d1_exp16+d2_exp16*G166)*(d3_exp16+d4_exp16*H166)*(d5_exp16+d6_exp16*J166)*(d7_exp16+d8_exp16*I166)))</f>
        <v>2823.6856042392569</v>
      </c>
      <c r="N166">
        <f t="shared" si="13"/>
        <v>8.0281290594317589</v>
      </c>
      <c r="O166">
        <f t="shared" si="14"/>
        <v>7.9457982624718886</v>
      </c>
      <c r="P166">
        <f t="shared" si="15"/>
        <v>6.7783601280473945E-3</v>
      </c>
      <c r="S166">
        <f t="shared" si="16"/>
        <v>8.5814934706948787E-2</v>
      </c>
    </row>
    <row r="167" spans="2:19" ht="15.75" x14ac:dyDescent="0.3">
      <c r="B167" s="1">
        <v>270</v>
      </c>
      <c r="C167" s="6">
        <v>42.5</v>
      </c>
      <c r="D167" s="7">
        <v>0.99283819657972716</v>
      </c>
      <c r="E167" s="17">
        <v>1300.3197900526727</v>
      </c>
      <c r="F167" s="1">
        <v>2944</v>
      </c>
      <c r="G167">
        <f t="shared" ref="G167:J176" si="17">LN(B167)</f>
        <v>5.598421958998375</v>
      </c>
      <c r="H167">
        <f t="shared" si="17"/>
        <v>3.7495040759303713</v>
      </c>
      <c r="I167">
        <f t="shared" si="17"/>
        <v>-7.187572242257083E-3</v>
      </c>
      <c r="J167">
        <f t="shared" si="17"/>
        <v>7.1703655055466813</v>
      </c>
      <c r="L167">
        <f>EXP((_C1_exp16+_C2_exp16*G167)*(_C3_exp16+_C4_exp16*H167)*(_C5_exp16+_C6_exp16*J167)*(_C7_exp16+_C8_exp16*I167)/(1+(d1_exp16+d2_exp16*G167)*(d3_exp16+d4_exp16*H167)*(d5_exp16+d6_exp16*J167)*(d7_exp16+d8_exp16*I167)))</f>
        <v>2760.1512201622149</v>
      </c>
      <c r="N167">
        <f t="shared" si="13"/>
        <v>7.9875244798487666</v>
      </c>
      <c r="O167">
        <f t="shared" si="14"/>
        <v>7.9230407471241291</v>
      </c>
      <c r="P167">
        <f t="shared" si="15"/>
        <v>4.1581517861024823E-3</v>
      </c>
      <c r="S167">
        <f t="shared" si="16"/>
        <v>6.6608227293785807E-2</v>
      </c>
    </row>
    <row r="168" spans="2:19" ht="15.75" x14ac:dyDescent="0.3">
      <c r="B168" s="1">
        <v>270</v>
      </c>
      <c r="C168" s="6">
        <v>42.6</v>
      </c>
      <c r="D168" s="7">
        <v>0.95694427106172286</v>
      </c>
      <c r="E168" s="17">
        <v>1220.3824306769673</v>
      </c>
      <c r="F168" s="1">
        <v>2923</v>
      </c>
      <c r="G168">
        <f t="shared" si="17"/>
        <v>5.598421958998375</v>
      </c>
      <c r="H168">
        <f t="shared" si="17"/>
        <v>3.751854253275325</v>
      </c>
      <c r="I168">
        <f t="shared" si="17"/>
        <v>-4.4010122180144676E-2</v>
      </c>
      <c r="J168">
        <f t="shared" si="17"/>
        <v>7.1069195563745522</v>
      </c>
      <c r="L168">
        <f>EXP((_C1_exp16+_C2_exp16*G168)*(_C3_exp16+_C4_exp16*H168)*(_C5_exp16+_C6_exp16*J168)*(_C7_exp16+_C8_exp16*I168)/(1+(d1_exp16+d2_exp16*G168)*(d3_exp16+d4_exp16*H168)*(d5_exp16+d6_exp16*J168)*(d7_exp16+d8_exp16*I168)))</f>
        <v>2741.8184748245358</v>
      </c>
      <c r="N168">
        <f t="shared" si="13"/>
        <v>7.9803657651112463</v>
      </c>
      <c r="O168">
        <f t="shared" si="14"/>
        <v>7.9163766561892288</v>
      </c>
      <c r="P168">
        <f t="shared" si="15"/>
        <v>4.0946060606338172E-3</v>
      </c>
      <c r="S168">
        <f t="shared" si="16"/>
        <v>6.6080787929280779E-2</v>
      </c>
    </row>
    <row r="169" spans="2:19" ht="15.75" x14ac:dyDescent="0.3">
      <c r="B169" s="1">
        <v>270</v>
      </c>
      <c r="C169" s="6">
        <v>46.088188442211049</v>
      </c>
      <c r="D169" s="7">
        <v>0.91100000000000003</v>
      </c>
      <c r="E169" s="17">
        <v>2716.0284119008852</v>
      </c>
      <c r="F169" s="1">
        <v>3789</v>
      </c>
      <c r="G169">
        <f t="shared" si="17"/>
        <v>5.598421958998375</v>
      </c>
      <c r="H169">
        <f t="shared" si="17"/>
        <v>3.8305567011695763</v>
      </c>
      <c r="I169">
        <f t="shared" si="17"/>
        <v>-9.3212381722178703E-2</v>
      </c>
      <c r="J169">
        <f t="shared" si="17"/>
        <v>7.9069259495593966</v>
      </c>
      <c r="L169">
        <f>EXP((_C1_exp16+_C2_exp16*G169)*(_C3_exp16+_C4_exp16*H169)*(_C5_exp16+_C6_exp16*J169)*(_C7_exp16+_C8_exp16*I169)/(1+(d1_exp16+d2_exp16*G169)*(d3_exp16+d4_exp16*H169)*(d5_exp16+d6_exp16*J169)*(d7_exp16+d8_exp16*I169)))</f>
        <v>3820.7698185379882</v>
      </c>
      <c r="N169">
        <f t="shared" si="13"/>
        <v>8.2398574110186011</v>
      </c>
      <c r="O169">
        <f t="shared" si="14"/>
        <v>8.2482072044750367</v>
      </c>
      <c r="P169">
        <f t="shared" si="15"/>
        <v>6.9719050765134854E-5</v>
      </c>
      <c r="S169">
        <f t="shared" si="16"/>
        <v>8.3150307521390621E-3</v>
      </c>
    </row>
    <row r="170" spans="2:19" ht="15.75" x14ac:dyDescent="0.3">
      <c r="B170" s="1">
        <v>234</v>
      </c>
      <c r="C170" s="6">
        <v>42.5</v>
      </c>
      <c r="D170" s="7">
        <v>1.05</v>
      </c>
      <c r="E170" s="17">
        <v>997</v>
      </c>
      <c r="F170" s="1">
        <v>2356</v>
      </c>
      <c r="G170">
        <f t="shared" si="17"/>
        <v>5.4553211153577017</v>
      </c>
      <c r="H170">
        <f t="shared" si="17"/>
        <v>3.7495040759303713</v>
      </c>
      <c r="I170">
        <f t="shared" si="17"/>
        <v>4.8790164169432049E-2</v>
      </c>
      <c r="J170">
        <f t="shared" si="17"/>
        <v>6.9047507699618382</v>
      </c>
      <c r="L170">
        <f>EXP((_C1_exp16+_C2_exp16*G170)*(_C3_exp16+_C4_exp16*H170)*(_C5_exp16+_C6_exp16*J170)*(_C7_exp16+_C8_exp16*I170)/(1+(d1_exp16+d2_exp16*G170)*(d3_exp16+d4_exp16*H170)*(d5_exp16+d6_exp16*J170)*(d7_exp16+d8_exp16*I170)))</f>
        <v>2481.9098240714943</v>
      </c>
      <c r="N170">
        <f t="shared" si="13"/>
        <v>7.7647205447714773</v>
      </c>
      <c r="O170">
        <f t="shared" si="14"/>
        <v>7.8167836331430056</v>
      </c>
      <c r="P170">
        <f t="shared" si="15"/>
        <v>2.7105651707815641E-3</v>
      </c>
      <c r="S170">
        <f t="shared" si="16"/>
        <v>5.0731022880171867E-2</v>
      </c>
    </row>
    <row r="171" spans="2:19" ht="15.75" x14ac:dyDescent="0.3">
      <c r="B171" s="1">
        <v>234</v>
      </c>
      <c r="C171" s="6">
        <v>41.8</v>
      </c>
      <c r="D171" s="7">
        <v>1.042</v>
      </c>
      <c r="E171" s="17">
        <v>847.10507033279407</v>
      </c>
      <c r="F171" s="1">
        <v>2212</v>
      </c>
      <c r="G171">
        <f t="shared" si="17"/>
        <v>5.4553211153577017</v>
      </c>
      <c r="H171">
        <f t="shared" si="17"/>
        <v>3.7328963395307104</v>
      </c>
      <c r="I171">
        <f t="shared" si="17"/>
        <v>4.1141943331175213E-2</v>
      </c>
      <c r="J171">
        <f t="shared" si="17"/>
        <v>6.7418247369381783</v>
      </c>
      <c r="L171">
        <f>EXP((_C1_exp16+_C2_exp16*G171)*(_C3_exp16+_C4_exp16*H171)*(_C5_exp16+_C6_exp16*J171)*(_C7_exp16+_C8_exp16*I171)/(1+(d1_exp16+d2_exp16*G171)*(d3_exp16+d4_exp16*H171)*(d5_exp16+d6_exp16*J171)*(d7_exp16+d8_exp16*I171)))</f>
        <v>2286.6171644730894</v>
      </c>
      <c r="N171">
        <f t="shared" si="13"/>
        <v>7.7016523626422257</v>
      </c>
      <c r="O171">
        <f t="shared" si="14"/>
        <v>7.7348287836278846</v>
      </c>
      <c r="P171">
        <f t="shared" si="15"/>
        <v>1.1006749094176664E-3</v>
      </c>
      <c r="S171">
        <f t="shared" si="16"/>
        <v>3.2632119461188235E-2</v>
      </c>
    </row>
    <row r="172" spans="2:19" ht="15.75" x14ac:dyDescent="0.3">
      <c r="B172" s="1">
        <v>240</v>
      </c>
      <c r="C172" s="6">
        <v>44.7</v>
      </c>
      <c r="D172" s="7">
        <v>0.84899999999999998</v>
      </c>
      <c r="E172" s="17">
        <v>1471.8214907124384</v>
      </c>
      <c r="F172" s="1">
        <v>3310</v>
      </c>
      <c r="G172">
        <f t="shared" si="17"/>
        <v>5.4806389233419912</v>
      </c>
      <c r="H172">
        <f t="shared" si="17"/>
        <v>3.7999735016195233</v>
      </c>
      <c r="I172">
        <f t="shared" si="17"/>
        <v>-0.16369609267078977</v>
      </c>
      <c r="J172">
        <f t="shared" si="17"/>
        <v>7.2942560220385921</v>
      </c>
      <c r="L172">
        <f>EXP((_C1_exp16+_C2_exp16*G172)*(_C3_exp16+_C4_exp16*H172)*(_C5_exp16+_C6_exp16*J172)*(_C7_exp16+_C8_exp16*I172)/(1+(d1_exp16+d2_exp16*G172)*(d3_exp16+d4_exp16*H172)*(d5_exp16+d6_exp16*J172)*(d7_exp16+d8_exp16*I172)))</f>
        <v>3325.0205668558169</v>
      </c>
      <c r="N172">
        <f t="shared" si="13"/>
        <v>8.1047034683711079</v>
      </c>
      <c r="O172">
        <f t="shared" si="14"/>
        <v>8.1092311385913707</v>
      </c>
      <c r="P172">
        <f t="shared" si="15"/>
        <v>2.0499797623454516E-5</v>
      </c>
      <c r="S172">
        <f t="shared" si="16"/>
        <v>4.5174357733433722E-3</v>
      </c>
    </row>
    <row r="173" spans="2:19" ht="15.75" x14ac:dyDescent="0.3">
      <c r="B173" s="1">
        <v>242</v>
      </c>
      <c r="C173" s="6">
        <v>40.9</v>
      </c>
      <c r="D173" s="7">
        <v>0.91600000000000004</v>
      </c>
      <c r="E173" s="17">
        <v>1195.9951434878585</v>
      </c>
      <c r="F173" s="1">
        <v>3067</v>
      </c>
      <c r="G173">
        <f t="shared" si="17"/>
        <v>5.4889377261566867</v>
      </c>
      <c r="H173">
        <f t="shared" si="17"/>
        <v>3.7111300630487558</v>
      </c>
      <c r="I173">
        <f t="shared" si="17"/>
        <v>-8.7738914308006746E-2</v>
      </c>
      <c r="J173">
        <f t="shared" si="17"/>
        <v>7.0867338738734516</v>
      </c>
      <c r="L173">
        <f>EXP((_C1_exp16+_C2_exp16*G173)*(_C3_exp16+_C4_exp16*H173)*(_C5_exp16+_C6_exp16*J173)*(_C7_exp16+_C8_exp16*I173)/(1+(d1_exp16+d2_exp16*G173)*(d3_exp16+d4_exp16*H173)*(d5_exp16+d6_exp16*J173)*(d7_exp16+d8_exp16*I173)))</f>
        <v>2917.7851982586703</v>
      </c>
      <c r="N173">
        <f t="shared" si="13"/>
        <v>8.0284551641142521</v>
      </c>
      <c r="O173">
        <f t="shared" si="14"/>
        <v>7.9785801137133747</v>
      </c>
      <c r="P173">
        <f t="shared" si="15"/>
        <v>2.4875206524900572E-3</v>
      </c>
      <c r="S173">
        <f t="shared" si="16"/>
        <v>5.1139748680053908E-2</v>
      </c>
    </row>
    <row r="174" spans="2:19" ht="15.75" x14ac:dyDescent="0.3">
      <c r="B174" s="1">
        <v>241</v>
      </c>
      <c r="C174" s="6">
        <v>42.8</v>
      </c>
      <c r="D174" s="7">
        <v>0.88902905853998426</v>
      </c>
      <c r="E174" s="17">
        <v>1302.9698972755696</v>
      </c>
      <c r="F174" s="1">
        <v>3149</v>
      </c>
      <c r="G174">
        <f t="shared" si="17"/>
        <v>5.4847969334906548</v>
      </c>
      <c r="H174">
        <f t="shared" si="17"/>
        <v>3.7565381025877511</v>
      </c>
      <c r="I174">
        <f t="shared" si="17"/>
        <v>-0.11762535723079751</v>
      </c>
      <c r="J174">
        <f t="shared" si="17"/>
        <v>7.1724014742298632</v>
      </c>
      <c r="L174">
        <f>EXP((_C1_exp16+_C2_exp16*G174)*(_C3_exp16+_C4_exp16*H174)*(_C5_exp16+_C6_exp16*J174)*(_C7_exp16+_C8_exp16*I174)/(1+(d1_exp16+d2_exp16*G174)*(d3_exp16+d4_exp16*H174)*(d5_exp16+d6_exp16*J174)*(d7_exp16+d8_exp16*I174)))</f>
        <v>3078.3995882356653</v>
      </c>
      <c r="N174">
        <f t="shared" si="13"/>
        <v>8.0548402211010242</v>
      </c>
      <c r="O174">
        <f t="shared" si="14"/>
        <v>8.0321651267121741</v>
      </c>
      <c r="P174">
        <f t="shared" si="15"/>
        <v>5.1415990554325988E-4</v>
      </c>
      <c r="S174">
        <f t="shared" si="16"/>
        <v>2.2934128510846825E-2</v>
      </c>
    </row>
    <row r="175" spans="2:19" ht="15.75" x14ac:dyDescent="0.3">
      <c r="B175" s="1">
        <v>242</v>
      </c>
      <c r="C175" s="6">
        <v>44.9</v>
      </c>
      <c r="D175" s="7">
        <v>0.90783856762258497</v>
      </c>
      <c r="E175" s="17">
        <v>1290.7743124026983</v>
      </c>
      <c r="F175" s="1">
        <v>3005</v>
      </c>
      <c r="G175">
        <f t="shared" si="17"/>
        <v>5.4889377261566867</v>
      </c>
      <c r="H175">
        <f t="shared" si="17"/>
        <v>3.8044377947482086</v>
      </c>
      <c r="I175">
        <f t="shared" si="17"/>
        <v>-9.6688705149085563E-2</v>
      </c>
      <c r="J175">
        <f t="shared" si="17"/>
        <v>7.1629975594550741</v>
      </c>
      <c r="L175">
        <f>EXP((_C1_exp16+_C2_exp16*G175)*(_C3_exp16+_C4_exp16*H175)*(_C5_exp16+_C6_exp16*J175)*(_C7_exp16+_C8_exp16*I175)/(1+(d1_exp16+d2_exp16*G175)*(d3_exp16+d4_exp16*H175)*(d5_exp16+d6_exp16*J175)*(d7_exp16+d8_exp16*I175)))</f>
        <v>3012.1829213555038</v>
      </c>
      <c r="N175">
        <f t="shared" si="13"/>
        <v>8.0080328469693072</v>
      </c>
      <c r="O175">
        <f t="shared" si="14"/>
        <v>8.0104203179374611</v>
      </c>
      <c r="P175">
        <f t="shared" si="15"/>
        <v>5.700017623777952E-6</v>
      </c>
      <c r="S175">
        <f t="shared" si="16"/>
        <v>2.3846232260926093E-3</v>
      </c>
    </row>
    <row r="176" spans="2:19" ht="15.75" x14ac:dyDescent="0.3">
      <c r="B176" s="1">
        <v>240</v>
      </c>
      <c r="C176" s="6">
        <v>41.4</v>
      </c>
      <c r="D176" s="7">
        <v>0.99679574727810316</v>
      </c>
      <c r="E176" s="17">
        <v>1830</v>
      </c>
      <c r="F176" s="1">
        <v>3609</v>
      </c>
      <c r="G176">
        <f t="shared" si="17"/>
        <v>5.4806389233419912</v>
      </c>
      <c r="H176">
        <f t="shared" si="17"/>
        <v>3.7232808808312687</v>
      </c>
      <c r="I176">
        <f t="shared" si="17"/>
        <v>-3.2093973323439368E-3</v>
      </c>
      <c r="J176">
        <f t="shared" si="17"/>
        <v>7.5120712458354664</v>
      </c>
      <c r="L176">
        <f>EXP((_C1_exp16+_C2_exp16*G176)*(_C3_exp16+_C4_exp16*H176)*(_C5_exp16+_C6_exp16*J176)*(_C7_exp16+_C8_exp16*I176)/(1+(d1_exp16+d2_exp16*G176)*(d3_exp16+d4_exp16*H176)*(d5_exp16+d6_exp16*J176)*(d7_exp16+d8_exp16*I176)))</f>
        <v>3478.0322431727109</v>
      </c>
      <c r="N176">
        <f t="shared" si="13"/>
        <v>8.1911860046427893</v>
      </c>
      <c r="O176">
        <f t="shared" si="14"/>
        <v>8.1542219654787065</v>
      </c>
      <c r="P176">
        <f t="shared" si="15"/>
        <v>1.3663401913238517E-3</v>
      </c>
      <c r="S176">
        <f t="shared" si="16"/>
        <v>3.765570520065635E-2</v>
      </c>
    </row>
    <row r="177" spans="2:2" ht="15.75" x14ac:dyDescent="0.3">
      <c r="B177" s="1">
        <v>240</v>
      </c>
    </row>
  </sheetData>
  <autoFilter ref="A22:T177" xr:uid="{858591E3-DF99-42E8-984F-3A9411C5B001}"/>
  <mergeCells count="3">
    <mergeCell ref="A1:B1"/>
    <mergeCell ref="N21:Q21"/>
    <mergeCell ref="S21:T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F5D2-4E44-487C-9262-2513BA8431E7}">
  <dimension ref="A1:U150"/>
  <sheetViews>
    <sheetView topLeftCell="D1" workbookViewId="0">
      <selection activeCell="D26" sqref="D26"/>
    </sheetView>
  </sheetViews>
  <sheetFormatPr defaultRowHeight="15" x14ac:dyDescent="0.25"/>
  <cols>
    <col min="1" max="1" width="9.42578125" style="20" bestFit="1" customWidth="1"/>
    <col min="2" max="2" width="32.5703125" style="20" bestFit="1" customWidth="1"/>
    <col min="3" max="3" width="19.140625" style="20" customWidth="1"/>
    <col min="4" max="4" width="27" style="20" customWidth="1"/>
    <col min="5" max="5" width="26.42578125" style="20" customWidth="1"/>
    <col min="6" max="6" width="26.42578125" style="20" bestFit="1" customWidth="1"/>
    <col min="7" max="7" width="18.42578125" bestFit="1" customWidth="1"/>
    <col min="8" max="8" width="17.28515625" bestFit="1" customWidth="1"/>
    <col min="9" max="9" width="11.42578125" customWidth="1"/>
    <col min="12" max="12" width="5" customWidth="1"/>
    <col min="13" max="13" width="29.28515625" bestFit="1" customWidth="1"/>
    <col min="14" max="14" width="18.42578125" bestFit="1" customWidth="1"/>
    <col min="15" max="15" width="18" bestFit="1" customWidth="1"/>
    <col min="16" max="16" width="12" bestFit="1" customWidth="1"/>
    <col min="17" max="17" width="11.140625" bestFit="1" customWidth="1"/>
    <col min="20" max="20" width="18.42578125" bestFit="1" customWidth="1"/>
  </cols>
  <sheetData>
    <row r="1" spans="1:8" ht="30" x14ac:dyDescent="0.25">
      <c r="A1" s="35" t="s">
        <v>33</v>
      </c>
      <c r="B1" s="36"/>
      <c r="D1" s="26" t="s">
        <v>34</v>
      </c>
      <c r="E1" s="26" t="s">
        <v>56</v>
      </c>
      <c r="F1" s="26" t="s">
        <v>35</v>
      </c>
      <c r="G1" s="27" t="s">
        <v>36</v>
      </c>
      <c r="H1" s="27" t="s">
        <v>37</v>
      </c>
    </row>
    <row r="2" spans="1:8" x14ac:dyDescent="0.25">
      <c r="A2" s="29" t="s">
        <v>57</v>
      </c>
      <c r="B2" s="32">
        <v>-0.20154420000000001</v>
      </c>
      <c r="C2" s="22"/>
      <c r="D2" s="28"/>
      <c r="E2" s="28"/>
      <c r="F2" s="22"/>
      <c r="G2" s="22"/>
      <c r="H2" s="28"/>
    </row>
    <row r="3" spans="1:8" x14ac:dyDescent="0.25">
      <c r="A3" s="29" t="s">
        <v>58</v>
      </c>
      <c r="B3" s="32">
        <v>2.4699059999999998E-2</v>
      </c>
      <c r="C3" s="22"/>
      <c r="D3" s="28"/>
      <c r="E3" s="28"/>
      <c r="F3" s="22"/>
      <c r="G3" s="22"/>
      <c r="H3" s="28"/>
    </row>
    <row r="4" spans="1:8" x14ac:dyDescent="0.25">
      <c r="A4" s="29" t="s">
        <v>59</v>
      </c>
      <c r="B4" s="32">
        <v>-3.8203109999999998E-2</v>
      </c>
      <c r="C4" s="22"/>
      <c r="D4" s="28"/>
      <c r="E4" s="28"/>
      <c r="F4" s="22"/>
      <c r="G4" s="22"/>
      <c r="H4" s="28"/>
    </row>
    <row r="5" spans="1:8" x14ac:dyDescent="0.25">
      <c r="A5" s="29" t="s">
        <v>60</v>
      </c>
      <c r="B5" s="32">
        <v>-8.8417320000000004</v>
      </c>
      <c r="C5" s="22"/>
      <c r="D5" s="28"/>
      <c r="E5" s="28"/>
      <c r="F5" s="22"/>
      <c r="G5" s="22"/>
      <c r="H5" s="28"/>
    </row>
    <row r="6" spans="1:8" x14ac:dyDescent="0.25">
      <c r="A6" s="29" t="s">
        <v>61</v>
      </c>
      <c r="B6" s="32">
        <v>4.4461740000000001</v>
      </c>
      <c r="C6" s="22"/>
      <c r="D6" s="28"/>
      <c r="E6" s="28"/>
      <c r="F6" s="22"/>
      <c r="G6" s="22"/>
      <c r="H6" s="28"/>
    </row>
    <row r="7" spans="1:8" x14ac:dyDescent="0.25">
      <c r="A7" s="29" t="s">
        <v>62</v>
      </c>
      <c r="B7" s="32">
        <v>-0.58476280000000003</v>
      </c>
      <c r="C7" s="22"/>
      <c r="D7" s="28"/>
      <c r="E7" s="28"/>
      <c r="F7" s="22"/>
      <c r="G7" s="22"/>
      <c r="H7" s="28"/>
    </row>
    <row r="8" spans="1:8" x14ac:dyDescent="0.25">
      <c r="A8" s="29" t="s">
        <v>63</v>
      </c>
      <c r="B8" s="32">
        <v>1.1684099999999999</v>
      </c>
      <c r="C8" s="22"/>
      <c r="D8" s="28"/>
      <c r="E8" s="28"/>
      <c r="F8" s="22"/>
      <c r="G8" s="22"/>
      <c r="H8" s="28"/>
    </row>
    <row r="9" spans="1:8" x14ac:dyDescent="0.25">
      <c r="A9" s="29" t="s">
        <v>64</v>
      </c>
      <c r="B9" s="32">
        <v>-0.41284349999999997</v>
      </c>
      <c r="C9" s="22"/>
      <c r="D9" s="28"/>
      <c r="E9" s="28"/>
      <c r="F9" s="22"/>
      <c r="G9" s="22"/>
      <c r="H9" s="28"/>
    </row>
    <row r="10" spans="1:8" x14ac:dyDescent="0.25">
      <c r="A10" s="29" t="s">
        <v>65</v>
      </c>
      <c r="B10" s="32">
        <v>3.803488E-2</v>
      </c>
      <c r="C10" s="22"/>
      <c r="D10" s="28"/>
      <c r="E10" s="28"/>
      <c r="F10" s="22"/>
      <c r="G10" s="22"/>
      <c r="H10" s="28"/>
    </row>
    <row r="11" spans="1:8" x14ac:dyDescent="0.25">
      <c r="A11" s="29" t="s">
        <v>66</v>
      </c>
      <c r="B11" s="32">
        <v>1.1299760000000001</v>
      </c>
      <c r="C11" s="22"/>
      <c r="D11" s="28"/>
      <c r="E11" s="28"/>
      <c r="F11" s="22"/>
      <c r="G11" s="22"/>
      <c r="H11" s="28"/>
    </row>
    <row r="12" spans="1:8" x14ac:dyDescent="0.25">
      <c r="A12" s="29" t="s">
        <v>67</v>
      </c>
      <c r="B12" s="32">
        <v>2.7941130000000002E-2</v>
      </c>
      <c r="C12" s="22"/>
      <c r="D12" s="28"/>
      <c r="E12" s="28"/>
      <c r="F12" s="22"/>
      <c r="G12" s="22"/>
      <c r="H12" s="28"/>
    </row>
    <row r="13" spans="1:8" x14ac:dyDescent="0.25">
      <c r="A13" s="29" t="s">
        <v>68</v>
      </c>
      <c r="B13" s="32">
        <v>-6.0519139999999999E-2</v>
      </c>
      <c r="C13" s="22"/>
      <c r="D13" s="28"/>
      <c r="E13" s="28"/>
      <c r="F13" s="22"/>
      <c r="G13" s="22"/>
      <c r="H13" s="28"/>
    </row>
    <row r="14" spans="1:8" x14ac:dyDescent="0.25">
      <c r="A14" s="29" t="s">
        <v>69</v>
      </c>
      <c r="B14" s="32">
        <v>32.054380000000002</v>
      </c>
      <c r="C14" s="22"/>
      <c r="D14" s="28"/>
      <c r="E14" s="28"/>
      <c r="F14" s="22"/>
      <c r="G14" s="22"/>
      <c r="H14" s="28"/>
    </row>
    <row r="15" spans="1:8" x14ac:dyDescent="0.25">
      <c r="A15" s="29" t="s">
        <v>70</v>
      </c>
      <c r="B15" s="32">
        <v>-5.1833419999999997</v>
      </c>
      <c r="C15" s="22"/>
      <c r="D15" s="28"/>
      <c r="E15" s="28"/>
      <c r="F15" s="22"/>
      <c r="G15" s="22"/>
      <c r="H15" s="28"/>
    </row>
    <row r="16" spans="1:8" x14ac:dyDescent="0.25">
      <c r="A16" s="29" t="s">
        <v>71</v>
      </c>
      <c r="B16" s="32">
        <v>0.257521</v>
      </c>
      <c r="C16" s="22"/>
      <c r="D16" s="28"/>
      <c r="E16" s="28"/>
      <c r="F16" s="22"/>
      <c r="G16" s="22"/>
      <c r="H16" s="28"/>
    </row>
    <row r="17" spans="1:21" x14ac:dyDescent="0.25">
      <c r="A17" s="29"/>
      <c r="B17" s="22"/>
      <c r="C17" s="22"/>
      <c r="D17" s="28"/>
      <c r="E17" s="28"/>
      <c r="F17" s="22"/>
      <c r="G17" s="22"/>
      <c r="H17" s="28"/>
    </row>
    <row r="18" spans="1:21" x14ac:dyDescent="0.25">
      <c r="F18" s="29"/>
      <c r="G18" s="22"/>
    </row>
    <row r="19" spans="1:21" x14ac:dyDescent="0.25">
      <c r="F19" s="29"/>
      <c r="G19" s="22"/>
    </row>
    <row r="20" spans="1:21" x14ac:dyDescent="0.25">
      <c r="F20" s="29"/>
      <c r="G20" s="22"/>
    </row>
    <row r="21" spans="1:21" ht="31.5" x14ac:dyDescent="0.25"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M21" s="29" t="s">
        <v>54</v>
      </c>
      <c r="O21" s="38" t="s">
        <v>21</v>
      </c>
      <c r="P21" s="38"/>
      <c r="Q21" s="38"/>
      <c r="R21" s="38"/>
      <c r="T21" s="38" t="s">
        <v>22</v>
      </c>
      <c r="U21" s="38"/>
    </row>
    <row r="22" spans="1:21" ht="31.5" x14ac:dyDescent="0.25">
      <c r="A22" s="2" t="s">
        <v>23</v>
      </c>
      <c r="B22" s="2" t="s">
        <v>3</v>
      </c>
      <c r="C22" s="5" t="s">
        <v>1</v>
      </c>
      <c r="D22" s="2" t="s">
        <v>4</v>
      </c>
      <c r="E22" s="2" t="s">
        <v>0</v>
      </c>
      <c r="F22" s="2" t="s">
        <v>2</v>
      </c>
      <c r="G22" s="19" t="s">
        <v>24</v>
      </c>
      <c r="H22" s="19" t="s">
        <v>25</v>
      </c>
      <c r="I22" s="19" t="s">
        <v>26</v>
      </c>
      <c r="J22" s="19" t="s">
        <v>27</v>
      </c>
      <c r="K22" s="2" t="s">
        <v>72</v>
      </c>
      <c r="M22" s="24" t="s">
        <v>55</v>
      </c>
      <c r="O22" s="19" t="s">
        <v>29</v>
      </c>
      <c r="P22" s="19" t="s">
        <v>30</v>
      </c>
      <c r="Q22" s="19" t="s">
        <v>31</v>
      </c>
      <c r="R22" s="25">
        <f>SUM(Q23:Q149)</f>
        <v>7141.5749654470264</v>
      </c>
      <c r="T22" t="s">
        <v>32</v>
      </c>
      <c r="U22">
        <f>SUM(T23:T149)*100/COUNT(T23:T149)</f>
        <v>183205.85324970642</v>
      </c>
    </row>
    <row r="23" spans="1:21" ht="15.75" x14ac:dyDescent="0.3">
      <c r="A23" s="20">
        <v>0</v>
      </c>
      <c r="B23" s="17">
        <v>90</v>
      </c>
      <c r="C23" s="3">
        <v>42.1</v>
      </c>
      <c r="D23" s="8">
        <v>1.2951339285714287</v>
      </c>
      <c r="E23" s="9">
        <v>224</v>
      </c>
      <c r="F23" s="4">
        <v>325.02499999999998</v>
      </c>
      <c r="G23">
        <f t="shared" ref="G23:G54" si="0">LN(B23)</f>
        <v>4.499809670330265</v>
      </c>
      <c r="H23">
        <f t="shared" ref="H23:H54" si="1">LN(C23)</f>
        <v>3.7400477406883357</v>
      </c>
      <c r="I23">
        <f t="shared" ref="I23:I54" si="2">LN(D23)</f>
        <v>0.25861410955032482</v>
      </c>
      <c r="J23">
        <f t="shared" ref="J23:J54" si="3">LN(E23)</f>
        <v>5.4116460518550396</v>
      </c>
      <c r="K23" s="30">
        <v>1.1680999999999999</v>
      </c>
      <c r="M23">
        <f>EXP(
($B$2+$B$3*LN(B23)*B$4*(LN(B23)^2))*
($B$5+$B$6*LN(C23)+$B$7*(LN(C23)^2))*
($B$8+$B$9*LN(E23)+$B$10*(LN(E23)^2))*
($B$11+$B$12*LN(D23)+$B$13*(LN(D23)^2))*
($B$14+$B$15*LN(F23)+$B$16*(LN(F23)^2))
)</f>
        <v>1.0680015418675861</v>
      </c>
      <c r="O23">
        <f t="shared" ref="O23:O54" si="4">LN(F23)</f>
        <v>5.7839021024482324</v>
      </c>
      <c r="P23">
        <f t="shared" ref="P23:P54" si="5">LN(M23)</f>
        <v>6.5789184233202652E-2</v>
      </c>
      <c r="Q23">
        <f t="shared" ref="Q23:Q54" si="6">(O23-P23)^2</f>
        <v>32.696815345457608</v>
      </c>
      <c r="T23">
        <f t="shared" ref="T23:T54" si="7">ABS((F23-M23)/M23)</f>
        <v>303.33008498436931</v>
      </c>
    </row>
    <row r="24" spans="1:21" ht="15.75" x14ac:dyDescent="0.3">
      <c r="A24" s="20">
        <v>1</v>
      </c>
      <c r="B24" s="17">
        <v>174</v>
      </c>
      <c r="C24" s="3">
        <v>46.658961138443573</v>
      </c>
      <c r="D24" s="8">
        <v>0.83574909006792664</v>
      </c>
      <c r="E24" s="9">
        <v>1667.7686823505701</v>
      </c>
      <c r="F24" s="4">
        <v>3501</v>
      </c>
      <c r="G24">
        <f t="shared" si="0"/>
        <v>5.1590552992145291</v>
      </c>
      <c r="H24">
        <f t="shared" si="1"/>
        <v>3.8428650018457171</v>
      </c>
      <c r="I24">
        <f t="shared" si="2"/>
        <v>-0.17942684244360266</v>
      </c>
      <c r="J24">
        <f t="shared" si="3"/>
        <v>7.4192418936558395</v>
      </c>
      <c r="K24" s="30">
        <v>1.9055786070768399</v>
      </c>
      <c r="M24">
        <f t="shared" ref="M24:M70" si="8">EXP(
($B$2+$B$3*LN(B24)+$B$4*(LN(B24)^2))*
($B$5+$B$6*LN(C24)+$B$7*(LN(C24)^2))*
($B$8+$B$9*LN(E24)+$B$10*(LN(E24)^2))*
($B$11+$B$12*LN(D24)+$B$13*(LN(D24)^2))*
($B$14+$B$15*LN(F24)+$B$16*(LN(F24)^2))
)</f>
        <v>1.932458582603195</v>
      </c>
      <c r="O24">
        <f t="shared" si="4"/>
        <v>8.160803920954665</v>
      </c>
      <c r="P24">
        <f t="shared" si="5"/>
        <v>0.65879306922037617</v>
      </c>
      <c r="Q24">
        <f t="shared" si="6"/>
        <v>56.280166819539026</v>
      </c>
      <c r="T24">
        <f t="shared" si="7"/>
        <v>1810.681777564329</v>
      </c>
    </row>
    <row r="25" spans="1:21" ht="15.75" x14ac:dyDescent="0.3">
      <c r="A25" s="20">
        <v>3</v>
      </c>
      <c r="B25" s="17">
        <v>157</v>
      </c>
      <c r="C25" s="3">
        <v>44.23</v>
      </c>
      <c r="D25" s="8">
        <v>0.8500077412459377</v>
      </c>
      <c r="E25" s="9">
        <v>1133.4462691607539</v>
      </c>
      <c r="F25" s="4">
        <v>3265</v>
      </c>
      <c r="G25">
        <f t="shared" si="0"/>
        <v>5.0562458053483077</v>
      </c>
      <c r="H25">
        <f t="shared" si="1"/>
        <v>3.7894032918802352</v>
      </c>
      <c r="I25">
        <f t="shared" si="2"/>
        <v>-0.16250982219108456</v>
      </c>
      <c r="J25">
        <f t="shared" si="3"/>
        <v>7.0330180662309738</v>
      </c>
      <c r="K25" s="30">
        <v>1.5995999999999999</v>
      </c>
      <c r="M25">
        <f t="shared" si="8"/>
        <v>1.601872494580338</v>
      </c>
      <c r="O25">
        <f t="shared" si="4"/>
        <v>8.0910150417105307</v>
      </c>
      <c r="P25">
        <f t="shared" si="5"/>
        <v>0.47117325408056288</v>
      </c>
      <c r="Q25">
        <f t="shared" si="6"/>
        <v>58.061988868511861</v>
      </c>
      <c r="T25">
        <f t="shared" si="7"/>
        <v>2037.2396295876044</v>
      </c>
    </row>
    <row r="26" spans="1:21" ht="15.75" x14ac:dyDescent="0.3">
      <c r="A26" s="20">
        <v>5</v>
      </c>
      <c r="B26" s="17">
        <v>153</v>
      </c>
      <c r="C26" s="3">
        <v>45.07</v>
      </c>
      <c r="D26" s="8">
        <v>0.84958189781021909</v>
      </c>
      <c r="E26" s="9">
        <v>1371</v>
      </c>
      <c r="F26" s="4">
        <v>3415</v>
      </c>
      <c r="G26">
        <f t="shared" si="0"/>
        <v>5.0304379213924353</v>
      </c>
      <c r="H26">
        <f t="shared" si="1"/>
        <v>3.8082168367025568</v>
      </c>
      <c r="I26">
        <f t="shared" si="2"/>
        <v>-0.16301093544200598</v>
      </c>
      <c r="J26">
        <f t="shared" si="3"/>
        <v>7.2232956795623142</v>
      </c>
      <c r="K26" s="30">
        <v>1.7246999999999999</v>
      </c>
      <c r="M26">
        <f t="shared" si="8"/>
        <v>1.7194821250756362</v>
      </c>
      <c r="O26">
        <f t="shared" si="4"/>
        <v>8.1359327720048906</v>
      </c>
      <c r="P26">
        <f t="shared" si="5"/>
        <v>0.54202315541634083</v>
      </c>
      <c r="Q26">
        <f t="shared" si="6"/>
        <v>57.667463264916059</v>
      </c>
      <c r="T26">
        <f t="shared" si="7"/>
        <v>1985.0631001614988</v>
      </c>
    </row>
    <row r="27" spans="1:21" ht="15.75" x14ac:dyDescent="0.3">
      <c r="A27" s="20">
        <v>6</v>
      </c>
      <c r="B27" s="17">
        <v>156</v>
      </c>
      <c r="C27" s="3">
        <v>41.5</v>
      </c>
      <c r="D27" s="8">
        <v>0.84233779366700712</v>
      </c>
      <c r="E27" s="9">
        <v>979</v>
      </c>
      <c r="F27" s="4">
        <v>2965</v>
      </c>
      <c r="G27">
        <f t="shared" si="0"/>
        <v>5.0498560072495371</v>
      </c>
      <c r="H27">
        <f t="shared" si="1"/>
        <v>3.7256934272366524</v>
      </c>
      <c r="I27">
        <f t="shared" si="2"/>
        <v>-0.17157416506395443</v>
      </c>
      <c r="J27">
        <f t="shared" si="3"/>
        <v>6.8865316425305103</v>
      </c>
      <c r="K27" s="30">
        <v>1.5277000000000001</v>
      </c>
      <c r="M27">
        <f t="shared" si="8"/>
        <v>1.5289503320594229</v>
      </c>
      <c r="O27">
        <f t="shared" si="4"/>
        <v>7.9946323114318254</v>
      </c>
      <c r="P27">
        <f t="shared" si="5"/>
        <v>0.42458144248171942</v>
      </c>
      <c r="Q27">
        <f t="shared" si="6"/>
        <v>57.305670158492255</v>
      </c>
      <c r="T27">
        <f t="shared" si="7"/>
        <v>1938.2389260979373</v>
      </c>
    </row>
    <row r="28" spans="1:21" ht="15.75" x14ac:dyDescent="0.3">
      <c r="A28" s="20">
        <v>7</v>
      </c>
      <c r="B28" s="17">
        <v>135</v>
      </c>
      <c r="C28" s="3">
        <v>43.13</v>
      </c>
      <c r="D28" s="8">
        <f>(1607*1.0505*0.7748+19*0.8601+40*1.4479)/(1607*1.0505+60)</f>
        <v>0.79068527552071366</v>
      </c>
      <c r="E28" s="9">
        <f>(1607*1.0505+60)</f>
        <v>1748.1534999999999</v>
      </c>
      <c r="F28" s="4">
        <v>4215</v>
      </c>
      <c r="G28">
        <f t="shared" si="0"/>
        <v>4.9052747784384296</v>
      </c>
      <c r="H28">
        <f t="shared" si="1"/>
        <v>3.7642188106597518</v>
      </c>
      <c r="I28">
        <f t="shared" si="2"/>
        <v>-0.23485527215944599</v>
      </c>
      <c r="J28">
        <f t="shared" si="3"/>
        <v>7.4663153670053095</v>
      </c>
      <c r="K28" s="30">
        <v>1.3649</v>
      </c>
      <c r="M28">
        <f t="shared" si="8"/>
        <v>1.8367600220443385</v>
      </c>
      <c r="O28">
        <f t="shared" si="4"/>
        <v>8.3464048704359559</v>
      </c>
      <c r="P28">
        <f t="shared" si="5"/>
        <v>0.60800316190425574</v>
      </c>
      <c r="Q28">
        <f t="shared" si="6"/>
        <v>59.88286100260634</v>
      </c>
      <c r="T28">
        <f t="shared" si="7"/>
        <v>2293.8016885236038</v>
      </c>
    </row>
    <row r="29" spans="1:21" ht="15.75" x14ac:dyDescent="0.3">
      <c r="A29" s="20">
        <v>8</v>
      </c>
      <c r="B29" s="17">
        <v>132</v>
      </c>
      <c r="C29" s="3">
        <v>39.19</v>
      </c>
      <c r="D29" s="8">
        <v>0.81936949846468798</v>
      </c>
      <c r="E29" s="9">
        <v>977</v>
      </c>
      <c r="F29" s="4">
        <v>2915.0250000000001</v>
      </c>
      <c r="G29">
        <f t="shared" si="0"/>
        <v>4.8828019225863706</v>
      </c>
      <c r="H29">
        <f t="shared" si="1"/>
        <v>3.6684216122115401</v>
      </c>
      <c r="I29">
        <f t="shared" si="2"/>
        <v>-0.19922013879373077</v>
      </c>
      <c r="J29">
        <f t="shared" si="3"/>
        <v>6.8844866520427823</v>
      </c>
      <c r="K29" s="30">
        <v>1.4986911732675505</v>
      </c>
      <c r="M29">
        <f t="shared" si="8"/>
        <v>1.5032035537582458</v>
      </c>
      <c r="O29">
        <f t="shared" si="4"/>
        <v>7.977633675077147</v>
      </c>
      <c r="P29">
        <f t="shared" si="5"/>
        <v>0.40759853324301326</v>
      </c>
      <c r="Q29">
        <f t="shared" si="6"/>
        <v>57.305432048603734</v>
      </c>
      <c r="T29">
        <f t="shared" si="7"/>
        <v>1938.208427702275</v>
      </c>
    </row>
    <row r="30" spans="1:21" ht="15.75" x14ac:dyDescent="0.3">
      <c r="A30" s="20">
        <v>10</v>
      </c>
      <c r="B30" s="17">
        <v>155</v>
      </c>
      <c r="C30" s="3">
        <v>42.65</v>
      </c>
      <c r="D30" s="8">
        <v>0.86946729910714293</v>
      </c>
      <c r="E30" s="9">
        <v>895</v>
      </c>
      <c r="F30" s="4">
        <v>2515</v>
      </c>
      <c r="G30">
        <f t="shared" si="0"/>
        <v>5.0434251169192468</v>
      </c>
      <c r="H30">
        <f t="shared" si="1"/>
        <v>3.753027273937688</v>
      </c>
      <c r="I30">
        <f t="shared" si="2"/>
        <v>-0.13987455474247895</v>
      </c>
      <c r="J30">
        <f t="shared" si="3"/>
        <v>6.7968237182748554</v>
      </c>
      <c r="K30" s="30">
        <v>1.4924999999999999</v>
      </c>
      <c r="M30">
        <f t="shared" si="8"/>
        <v>1.4926820799333427</v>
      </c>
      <c r="O30">
        <f t="shared" si="4"/>
        <v>7.8300280825338398</v>
      </c>
      <c r="P30">
        <f t="shared" si="5"/>
        <v>0.40057455544889414</v>
      </c>
      <c r="Q30">
        <f t="shared" si="6"/>
        <v>55.196779711114942</v>
      </c>
      <c r="T30">
        <f t="shared" si="7"/>
        <v>1683.8865768605665</v>
      </c>
    </row>
    <row r="31" spans="1:21" ht="15.75" x14ac:dyDescent="0.3">
      <c r="A31" s="20">
        <v>11</v>
      </c>
      <c r="B31" s="17">
        <v>157</v>
      </c>
      <c r="C31" s="3">
        <v>42</v>
      </c>
      <c r="D31" s="8">
        <v>0.85150169491525418</v>
      </c>
      <c r="E31" s="9">
        <v>1179</v>
      </c>
      <c r="F31" s="4">
        <v>3162</v>
      </c>
      <c r="G31">
        <f t="shared" si="0"/>
        <v>5.0562458053483077</v>
      </c>
      <c r="H31">
        <f t="shared" si="1"/>
        <v>3.7376696182833684</v>
      </c>
      <c r="I31">
        <f t="shared" si="2"/>
        <v>-0.16075378837608542</v>
      </c>
      <c r="J31">
        <f t="shared" si="3"/>
        <v>7.0724219005373712</v>
      </c>
      <c r="K31" s="30">
        <v>1.6050995510203501</v>
      </c>
      <c r="M31">
        <f t="shared" si="8"/>
        <v>1.6357434402870437</v>
      </c>
      <c r="O31">
        <f t="shared" si="4"/>
        <v>8.058960017769417</v>
      </c>
      <c r="P31">
        <f t="shared" si="5"/>
        <v>0.49209740454236534</v>
      </c>
      <c r="Q31">
        <f t="shared" si="6"/>
        <v>57.257409807453328</v>
      </c>
      <c r="T31">
        <f t="shared" si="7"/>
        <v>1932.0659821843001</v>
      </c>
    </row>
    <row r="32" spans="1:21" ht="15.75" x14ac:dyDescent="0.3">
      <c r="A32" s="20">
        <v>12</v>
      </c>
      <c r="B32" s="17">
        <v>157</v>
      </c>
      <c r="C32" s="3">
        <v>42.8</v>
      </c>
      <c r="D32" s="8">
        <v>0.8712595864661653</v>
      </c>
      <c r="E32" s="9">
        <v>1064</v>
      </c>
      <c r="F32" s="4">
        <v>2915</v>
      </c>
      <c r="G32">
        <f t="shared" si="0"/>
        <v>5.0562458053483077</v>
      </c>
      <c r="H32">
        <f t="shared" si="1"/>
        <v>3.7565381025877511</v>
      </c>
      <c r="I32">
        <f t="shared" si="2"/>
        <v>-0.13781531385038742</v>
      </c>
      <c r="J32">
        <f t="shared" si="3"/>
        <v>6.9697906699015899</v>
      </c>
      <c r="K32" s="30">
        <v>1.5653999999999999</v>
      </c>
      <c r="M32">
        <f t="shared" si="8"/>
        <v>1.5779274927593387</v>
      </c>
      <c r="O32">
        <f t="shared" si="4"/>
        <v>7.9776250987845927</v>
      </c>
      <c r="P32">
        <f t="shared" si="5"/>
        <v>0.45611227254629122</v>
      </c>
      <c r="Q32">
        <f t="shared" si="6"/>
        <v>56.573155195267276</v>
      </c>
      <c r="T32">
        <f t="shared" si="7"/>
        <v>1846.359915697082</v>
      </c>
    </row>
    <row r="33" spans="1:20" ht="15.75" x14ac:dyDescent="0.3">
      <c r="A33" s="20">
        <v>13</v>
      </c>
      <c r="B33" s="17">
        <v>144</v>
      </c>
      <c r="C33" s="3">
        <v>45.6</v>
      </c>
      <c r="D33" s="8">
        <v>0.77204269293924499</v>
      </c>
      <c r="E33" s="9">
        <v>1827</v>
      </c>
      <c r="F33" s="4">
        <v>3981</v>
      </c>
      <c r="G33">
        <f t="shared" si="0"/>
        <v>4.9698132995760007</v>
      </c>
      <c r="H33">
        <f t="shared" si="1"/>
        <v>3.8199077165203406</v>
      </c>
      <c r="I33">
        <f t="shared" si="2"/>
        <v>-0.25871542875167214</v>
      </c>
      <c r="J33">
        <f t="shared" si="3"/>
        <v>7.5104305563780063</v>
      </c>
      <c r="K33" s="30">
        <v>1.88574002017762</v>
      </c>
      <c r="M33">
        <f t="shared" si="8"/>
        <v>1.907444265586222</v>
      </c>
      <c r="O33">
        <f t="shared" si="4"/>
        <v>8.2892883230003171</v>
      </c>
      <c r="P33">
        <f t="shared" si="5"/>
        <v>0.64576426518405894</v>
      </c>
      <c r="Q33">
        <f t="shared" si="6"/>
        <v>58.42346002241591</v>
      </c>
      <c r="T33">
        <f t="shared" si="7"/>
        <v>2086.085883359483</v>
      </c>
    </row>
    <row r="34" spans="1:20" ht="15.75" x14ac:dyDescent="0.3">
      <c r="A34" s="20">
        <v>14</v>
      </c>
      <c r="B34" s="17">
        <v>164</v>
      </c>
      <c r="C34" s="3">
        <v>47.66</v>
      </c>
      <c r="D34" s="8">
        <v>0.79283404776485</v>
      </c>
      <c r="E34" s="9">
        <v>1633</v>
      </c>
      <c r="F34" s="4">
        <v>3765.0250000000001</v>
      </c>
      <c r="G34">
        <f t="shared" si="0"/>
        <v>5.0998664278241987</v>
      </c>
      <c r="H34">
        <f t="shared" si="1"/>
        <v>3.8640924716705958</v>
      </c>
      <c r="I34">
        <f t="shared" si="2"/>
        <v>-0.23214135066646036</v>
      </c>
      <c r="J34">
        <f t="shared" si="3"/>
        <v>7.3981740929704651</v>
      </c>
      <c r="K34" s="30">
        <v>1.905</v>
      </c>
      <c r="M34">
        <f t="shared" si="8"/>
        <v>1.8765515727623678</v>
      </c>
      <c r="O34">
        <f t="shared" si="4"/>
        <v>8.2335097803181903</v>
      </c>
      <c r="P34">
        <f t="shared" si="5"/>
        <v>0.62943582270174803</v>
      </c>
      <c r="Q34">
        <f t="shared" si="6"/>
        <v>57.821940752900588</v>
      </c>
      <c r="T34">
        <f t="shared" si="7"/>
        <v>2005.3530651905905</v>
      </c>
    </row>
    <row r="35" spans="1:20" ht="15.75" x14ac:dyDescent="0.3">
      <c r="A35" s="20">
        <v>15</v>
      </c>
      <c r="B35" s="17">
        <v>165</v>
      </c>
      <c r="C35" s="3">
        <v>44.5</v>
      </c>
      <c r="D35" s="8">
        <v>0.80648070107880954</v>
      </c>
      <c r="E35" s="9">
        <v>1921.8963562753036</v>
      </c>
      <c r="F35" s="4">
        <v>4115</v>
      </c>
      <c r="G35">
        <f t="shared" si="0"/>
        <v>5.1059454739005803</v>
      </c>
      <c r="H35">
        <f t="shared" si="1"/>
        <v>3.7954891891721947</v>
      </c>
      <c r="I35">
        <f t="shared" si="2"/>
        <v>-0.21507531092970458</v>
      </c>
      <c r="J35">
        <f t="shared" si="3"/>
        <v>7.5610676631414302</v>
      </c>
      <c r="K35" s="30">
        <v>2.032</v>
      </c>
      <c r="M35">
        <f t="shared" si="8"/>
        <v>2.0150667430027425</v>
      </c>
      <c r="O35">
        <f t="shared" si="4"/>
        <v>8.3223941131111694</v>
      </c>
      <c r="P35">
        <f t="shared" si="5"/>
        <v>0.70065231792837335</v>
      </c>
      <c r="Q35">
        <f t="shared" si="6"/>
        <v>58.09094799243627</v>
      </c>
      <c r="T35">
        <f t="shared" si="7"/>
        <v>2041.1159816612585</v>
      </c>
    </row>
    <row r="36" spans="1:20" ht="15.75" x14ac:dyDescent="0.3">
      <c r="A36" s="20">
        <v>16</v>
      </c>
      <c r="B36" s="17">
        <v>142</v>
      </c>
      <c r="C36" s="3">
        <v>38.86</v>
      </c>
      <c r="D36" s="8">
        <v>0.92616719858156027</v>
      </c>
      <c r="E36" s="9">
        <v>564</v>
      </c>
      <c r="F36" s="4">
        <v>2115</v>
      </c>
      <c r="G36">
        <f t="shared" si="0"/>
        <v>4.9558270576012609</v>
      </c>
      <c r="H36">
        <f t="shared" si="1"/>
        <v>3.6599654439492939</v>
      </c>
      <c r="I36">
        <f t="shared" si="2"/>
        <v>-7.6700500611673508E-2</v>
      </c>
      <c r="J36">
        <f t="shared" si="3"/>
        <v>6.3350542514980592</v>
      </c>
      <c r="K36" s="30">
        <v>1.3082</v>
      </c>
      <c r="M36">
        <f t="shared" si="8"/>
        <v>1.3146162698501507</v>
      </c>
      <c r="O36">
        <f t="shared" si="4"/>
        <v>7.6568100914803781</v>
      </c>
      <c r="P36">
        <f t="shared" si="5"/>
        <v>0.27354481304501976</v>
      </c>
      <c r="Q36">
        <f t="shared" si="6"/>
        <v>54.512606171749148</v>
      </c>
      <c r="T36">
        <f t="shared" si="7"/>
        <v>1607.834493004626</v>
      </c>
    </row>
    <row r="37" spans="1:20" ht="15.75" x14ac:dyDescent="0.3">
      <c r="A37" s="20">
        <v>17</v>
      </c>
      <c r="B37" s="17">
        <v>170</v>
      </c>
      <c r="C37" s="3">
        <v>41.82</v>
      </c>
      <c r="D37" s="8">
        <v>0.88517026618550887</v>
      </c>
      <c r="E37" s="9">
        <v>1226</v>
      </c>
      <c r="F37" s="4">
        <v>3365</v>
      </c>
      <c r="G37">
        <f t="shared" si="0"/>
        <v>5.1357984370502621</v>
      </c>
      <c r="H37">
        <f t="shared" si="1"/>
        <v>3.7333746940004877</v>
      </c>
      <c r="I37">
        <f t="shared" si="2"/>
        <v>-0.12197526130894877</v>
      </c>
      <c r="J37">
        <f t="shared" si="3"/>
        <v>7.111512116496157</v>
      </c>
      <c r="K37" s="30">
        <v>1.6618999999999999</v>
      </c>
      <c r="M37">
        <f t="shared" si="8"/>
        <v>1.6799228361851353</v>
      </c>
      <c r="O37">
        <f t="shared" si="4"/>
        <v>8.1211832420788284</v>
      </c>
      <c r="P37">
        <f t="shared" si="5"/>
        <v>0.51874786151813279</v>
      </c>
      <c r="Q37">
        <f t="shared" si="6"/>
        <v>57.79702371560105</v>
      </c>
      <c r="T37">
        <f t="shared" si="7"/>
        <v>2002.0681930852456</v>
      </c>
    </row>
    <row r="38" spans="1:20" ht="15.75" x14ac:dyDescent="0.3">
      <c r="A38" s="20">
        <v>18</v>
      </c>
      <c r="B38" s="17">
        <v>138</v>
      </c>
      <c r="C38" s="3">
        <v>39.520000000000003</v>
      </c>
      <c r="D38" s="8">
        <v>0.8846938679245282</v>
      </c>
      <c r="E38" s="9">
        <v>848</v>
      </c>
      <c r="F38" s="4">
        <v>2865</v>
      </c>
      <c r="G38">
        <f t="shared" si="0"/>
        <v>4.9272536851572051</v>
      </c>
      <c r="H38">
        <f t="shared" si="1"/>
        <v>3.6768068728796672</v>
      </c>
      <c r="I38">
        <f t="shared" si="2"/>
        <v>-0.12251360576523194</v>
      </c>
      <c r="J38">
        <f t="shared" si="3"/>
        <v>6.7428806357919031</v>
      </c>
      <c r="K38" s="30">
        <v>1.4198</v>
      </c>
      <c r="M38">
        <f t="shared" si="8"/>
        <v>1.4434207600686912</v>
      </c>
      <c r="O38">
        <f t="shared" si="4"/>
        <v>7.9603236291488395</v>
      </c>
      <c r="P38">
        <f t="shared" si="5"/>
        <v>0.36701582430769103</v>
      </c>
      <c r="Q38">
        <f t="shared" si="6"/>
        <v>57.658323419061503</v>
      </c>
      <c r="T38">
        <f t="shared" si="7"/>
        <v>1983.8682236381696</v>
      </c>
    </row>
    <row r="39" spans="1:20" ht="15.75" x14ac:dyDescent="0.3">
      <c r="A39" s="20">
        <v>19</v>
      </c>
      <c r="B39" s="17">
        <v>149</v>
      </c>
      <c r="C39" s="3">
        <v>39.229999999999997</v>
      </c>
      <c r="D39" s="8">
        <v>0.89454904761904763</v>
      </c>
      <c r="E39" s="9">
        <v>840</v>
      </c>
      <c r="F39" s="4">
        <v>2835</v>
      </c>
      <c r="G39">
        <f t="shared" si="0"/>
        <v>5.0039463059454592</v>
      </c>
      <c r="H39">
        <f t="shared" si="1"/>
        <v>3.6694417602214613</v>
      </c>
      <c r="I39">
        <f t="shared" si="2"/>
        <v>-0.11143554509496585</v>
      </c>
      <c r="J39">
        <f t="shared" si="3"/>
        <v>6.7334018918373593</v>
      </c>
      <c r="K39" s="30">
        <v>1.4476</v>
      </c>
      <c r="M39">
        <f t="shared" si="8"/>
        <v>1.4558581059413982</v>
      </c>
      <c r="O39">
        <f t="shared" si="4"/>
        <v>7.9497972161618522</v>
      </c>
      <c r="P39">
        <f t="shared" si="5"/>
        <v>0.3755954903148972</v>
      </c>
      <c r="Q39">
        <f t="shared" si="6"/>
        <v>57.368531783822995</v>
      </c>
      <c r="T39">
        <f t="shared" si="7"/>
        <v>1946.3051586760307</v>
      </c>
    </row>
    <row r="40" spans="1:20" ht="15.75" x14ac:dyDescent="0.3">
      <c r="A40" s="20">
        <v>20</v>
      </c>
      <c r="B40" s="17">
        <v>156</v>
      </c>
      <c r="C40" s="3">
        <v>40.68</v>
      </c>
      <c r="D40" s="8">
        <v>0.89798317631224767</v>
      </c>
      <c r="E40" s="9">
        <v>743</v>
      </c>
      <c r="F40" s="4">
        <v>2615</v>
      </c>
      <c r="G40">
        <f t="shared" si="0"/>
        <v>5.0498560072495371</v>
      </c>
      <c r="H40">
        <f t="shared" si="1"/>
        <v>3.7057365711803594</v>
      </c>
      <c r="I40">
        <f t="shared" si="2"/>
        <v>-0.10760394547431049</v>
      </c>
      <c r="J40">
        <f t="shared" si="3"/>
        <v>6.6106960447177592</v>
      </c>
      <c r="K40" s="30">
        <v>1.3936999999999999</v>
      </c>
      <c r="M40">
        <f t="shared" si="8"/>
        <v>1.4084890911022772</v>
      </c>
      <c r="O40">
        <f t="shared" si="4"/>
        <v>7.8690193764990228</v>
      </c>
      <c r="P40">
        <f t="shared" si="5"/>
        <v>0.3425175632579906</v>
      </c>
      <c r="Q40">
        <f t="shared" si="6"/>
        <v>56.64822954472055</v>
      </c>
      <c r="T40">
        <f t="shared" si="7"/>
        <v>1855.5993989726346</v>
      </c>
    </row>
    <row r="41" spans="1:20" ht="15.75" x14ac:dyDescent="0.3">
      <c r="A41" s="20">
        <v>21</v>
      </c>
      <c r="B41" s="17">
        <v>164</v>
      </c>
      <c r="C41" s="3">
        <v>40.47</v>
      </c>
      <c r="D41" s="8">
        <v>0.86339910857758939</v>
      </c>
      <c r="E41" s="9">
        <v>975</v>
      </c>
      <c r="F41" s="4">
        <v>2965</v>
      </c>
      <c r="G41">
        <f t="shared" si="0"/>
        <v>5.0998664278241987</v>
      </c>
      <c r="H41">
        <f t="shared" si="1"/>
        <v>3.7005609588877744</v>
      </c>
      <c r="I41">
        <f t="shared" si="2"/>
        <v>-0.14687822831717731</v>
      </c>
      <c r="J41">
        <f t="shared" si="3"/>
        <v>6.8824374709978473</v>
      </c>
      <c r="K41" s="30">
        <v>1.5153000000000001</v>
      </c>
      <c r="M41">
        <f t="shared" si="8"/>
        <v>1.5429464424983885</v>
      </c>
      <c r="O41">
        <f t="shared" si="4"/>
        <v>7.9946323114318254</v>
      </c>
      <c r="P41">
        <f t="shared" si="5"/>
        <v>0.43369386279701672</v>
      </c>
      <c r="Q41">
        <f t="shared" si="6"/>
        <v>57.167790224044147</v>
      </c>
      <c r="T41">
        <f t="shared" si="7"/>
        <v>1920.6480354295231</v>
      </c>
    </row>
    <row r="42" spans="1:20" ht="15.75" x14ac:dyDescent="0.3">
      <c r="A42" s="20">
        <v>22</v>
      </c>
      <c r="B42" s="17">
        <v>170</v>
      </c>
      <c r="C42" s="3">
        <v>46.5</v>
      </c>
      <c r="D42" s="8">
        <v>0.78740556732153377</v>
      </c>
      <c r="E42" s="9">
        <v>2124</v>
      </c>
      <c r="F42" s="4">
        <v>4280</v>
      </c>
      <c r="G42">
        <f t="shared" si="0"/>
        <v>5.1357984370502621</v>
      </c>
      <c r="H42">
        <f t="shared" si="1"/>
        <v>3.8394523125933104</v>
      </c>
      <c r="I42">
        <f t="shared" si="2"/>
        <v>-0.23901182998500695</v>
      </c>
      <c r="J42">
        <f t="shared" si="3"/>
        <v>7.6610563823618296</v>
      </c>
      <c r="K42" s="30">
        <v>2.1372361680955811</v>
      </c>
      <c r="M42">
        <f t="shared" si="8"/>
        <v>2.1333229895771777</v>
      </c>
      <c r="O42">
        <f t="shared" si="4"/>
        <v>8.3617082885758425</v>
      </c>
      <c r="P42">
        <f t="shared" si="5"/>
        <v>0.75768085305006383</v>
      </c>
      <c r="Q42">
        <f t="shared" si="6"/>
        <v>57.821233240228743</v>
      </c>
      <c r="T42">
        <f t="shared" si="7"/>
        <v>2005.2597276225347</v>
      </c>
    </row>
    <row r="43" spans="1:20" ht="15.75" x14ac:dyDescent="0.3">
      <c r="A43" s="20">
        <v>24</v>
      </c>
      <c r="B43" s="17">
        <v>167</v>
      </c>
      <c r="C43" s="3">
        <v>47.52</v>
      </c>
      <c r="D43" s="8">
        <v>0.80427641371235392</v>
      </c>
      <c r="E43" s="9">
        <v>2645</v>
      </c>
      <c r="F43" s="4">
        <v>4375</v>
      </c>
      <c r="G43">
        <f t="shared" si="0"/>
        <v>5.1179938124167554</v>
      </c>
      <c r="H43">
        <f t="shared" si="1"/>
        <v>3.8611506750543896</v>
      </c>
      <c r="I43">
        <f t="shared" si="2"/>
        <v>-0.21781227073851878</v>
      </c>
      <c r="J43">
        <f t="shared" si="3"/>
        <v>7.8804263442923999</v>
      </c>
      <c r="K43" s="30">
        <v>2.3553999999999999</v>
      </c>
      <c r="M43">
        <f t="shared" si="8"/>
        <v>2.4062742186834103</v>
      </c>
      <c r="O43">
        <f t="shared" si="4"/>
        <v>8.3836617987917155</v>
      </c>
      <c r="P43">
        <f t="shared" si="5"/>
        <v>0.87807958391069774</v>
      </c>
      <c r="Q43">
        <f t="shared" si="6"/>
        <v>56.333764384338238</v>
      </c>
      <c r="T43">
        <f t="shared" si="7"/>
        <v>1817.1635185343819</v>
      </c>
    </row>
    <row r="44" spans="1:20" ht="15.75" x14ac:dyDescent="0.3">
      <c r="A44" s="20">
        <v>26</v>
      </c>
      <c r="B44" s="17">
        <v>148</v>
      </c>
      <c r="C44" s="3">
        <v>47.6</v>
      </c>
      <c r="D44" s="8">
        <v>0.80163309653155035</v>
      </c>
      <c r="E44" s="9">
        <v>2393</v>
      </c>
      <c r="F44" s="4">
        <v>4088</v>
      </c>
      <c r="G44">
        <f t="shared" si="0"/>
        <v>4.9972122737641147</v>
      </c>
      <c r="H44">
        <f t="shared" si="1"/>
        <v>3.8628327612373745</v>
      </c>
      <c r="I44">
        <f t="shared" si="2"/>
        <v>-0.22110426141560494</v>
      </c>
      <c r="J44">
        <f t="shared" si="3"/>
        <v>7.780303087908373</v>
      </c>
      <c r="K44" s="30">
        <v>2.2130739781586799</v>
      </c>
      <c r="M44">
        <f t="shared" si="8"/>
        <v>2.212027719918328</v>
      </c>
      <c r="O44">
        <f t="shared" si="4"/>
        <v>8.3158111318835406</v>
      </c>
      <c r="P44">
        <f t="shared" si="5"/>
        <v>0.79390961519021586</v>
      </c>
      <c r="Q44">
        <f t="shared" si="6"/>
        <v>56.579002426833334</v>
      </c>
      <c r="T44">
        <f t="shared" si="7"/>
        <v>1847.0781064312052</v>
      </c>
    </row>
    <row r="45" spans="1:20" ht="15.75" x14ac:dyDescent="0.3">
      <c r="A45" s="20">
        <v>27</v>
      </c>
      <c r="B45" s="17">
        <v>143</v>
      </c>
      <c r="C45" s="3">
        <v>45.352893388326464</v>
      </c>
      <c r="D45" s="8">
        <v>0.8055714285714286</v>
      </c>
      <c r="E45" s="9">
        <v>2261</v>
      </c>
      <c r="F45" s="4">
        <v>4328.6499999999996</v>
      </c>
      <c r="G45">
        <f t="shared" si="0"/>
        <v>4.962844630259907</v>
      </c>
      <c r="H45">
        <f t="shared" si="1"/>
        <v>3.8144739758120703</v>
      </c>
      <c r="I45">
        <f t="shared" si="2"/>
        <v>-0.21620340423026821</v>
      </c>
      <c r="J45">
        <f t="shared" si="3"/>
        <v>7.7235624722779699</v>
      </c>
      <c r="K45" s="30">
        <v>2.1920000000000002</v>
      </c>
      <c r="M45">
        <f t="shared" si="8"/>
        <v>2.1056353897234366</v>
      </c>
      <c r="O45">
        <f t="shared" si="4"/>
        <v>8.3730109940925868</v>
      </c>
      <c r="P45">
        <f t="shared" si="5"/>
        <v>0.74461726943706141</v>
      </c>
      <c r="Q45">
        <f t="shared" si="6"/>
        <v>58.192390818363805</v>
      </c>
      <c r="T45">
        <f t="shared" si="7"/>
        <v>2054.745273434326</v>
      </c>
    </row>
    <row r="46" spans="1:20" ht="15.75" x14ac:dyDescent="0.3">
      <c r="A46" s="20">
        <v>28</v>
      </c>
      <c r="B46" s="17">
        <v>142</v>
      </c>
      <c r="C46" s="3">
        <v>44.32</v>
      </c>
      <c r="D46" s="8">
        <v>0.83444602876798013</v>
      </c>
      <c r="E46" s="9">
        <v>1598</v>
      </c>
      <c r="F46" s="4">
        <v>3565</v>
      </c>
      <c r="G46">
        <f t="shared" si="0"/>
        <v>4.9558270576012609</v>
      </c>
      <c r="H46">
        <f t="shared" si="1"/>
        <v>3.7914360424390283</v>
      </c>
      <c r="I46">
        <f t="shared" si="2"/>
        <v>-0.18098721290527789</v>
      </c>
      <c r="J46">
        <f t="shared" si="3"/>
        <v>7.37650812632622</v>
      </c>
      <c r="K46" s="30">
        <v>1.8241000000000001</v>
      </c>
      <c r="M46">
        <f t="shared" si="8"/>
        <v>1.8069764566006088</v>
      </c>
      <c r="O46">
        <f t="shared" si="4"/>
        <v>8.1789193328483965</v>
      </c>
      <c r="P46">
        <f t="shared" si="5"/>
        <v>0.59165498252721038</v>
      </c>
      <c r="Q46">
        <f t="shared" si="6"/>
        <v>57.566580321654776</v>
      </c>
      <c r="T46">
        <f t="shared" si="7"/>
        <v>1971.9089369026362</v>
      </c>
    </row>
    <row r="47" spans="1:20" ht="15.75" x14ac:dyDescent="0.3">
      <c r="A47" s="20">
        <v>29</v>
      </c>
      <c r="B47" s="17">
        <v>151</v>
      </c>
      <c r="C47" s="3">
        <v>46.13</v>
      </c>
      <c r="D47" s="8">
        <v>0.86693904456452753</v>
      </c>
      <c r="E47" s="9">
        <v>2689</v>
      </c>
      <c r="F47" s="4">
        <v>4451</v>
      </c>
      <c r="G47">
        <f t="shared" si="0"/>
        <v>5.0172798368149243</v>
      </c>
      <c r="H47">
        <f t="shared" si="1"/>
        <v>3.8314634975697293</v>
      </c>
      <c r="I47">
        <f t="shared" si="2"/>
        <v>-0.14278661082713617</v>
      </c>
      <c r="J47">
        <f t="shared" si="3"/>
        <v>7.8969246562688644</v>
      </c>
      <c r="K47" s="30">
        <v>2.4154</v>
      </c>
      <c r="M47">
        <f t="shared" si="8"/>
        <v>2.3520840131513734</v>
      </c>
      <c r="O47">
        <f t="shared" si="4"/>
        <v>8.4008840690158539</v>
      </c>
      <c r="P47">
        <f t="shared" si="5"/>
        <v>0.85530174927572544</v>
      </c>
      <c r="Q47">
        <f t="shared" si="6"/>
        <v>56.935812543974812</v>
      </c>
      <c r="T47">
        <f t="shared" si="7"/>
        <v>1891.3643777657642</v>
      </c>
    </row>
    <row r="48" spans="1:20" ht="15.75" x14ac:dyDescent="0.3">
      <c r="A48" s="20">
        <v>30</v>
      </c>
      <c r="B48" s="17">
        <v>162</v>
      </c>
      <c r="C48" s="3">
        <v>44.89</v>
      </c>
      <c r="D48" s="8">
        <v>0.84604101208844851</v>
      </c>
      <c r="E48" s="9">
        <v>2072</v>
      </c>
      <c r="F48" s="4">
        <v>3995</v>
      </c>
      <c r="G48">
        <f t="shared" si="0"/>
        <v>5.0875963352323836</v>
      </c>
      <c r="H48">
        <f t="shared" si="1"/>
        <v>3.804215052793841</v>
      </c>
      <c r="I48">
        <f t="shared" si="2"/>
        <v>-0.16718744290499665</v>
      </c>
      <c r="J48">
        <f t="shared" si="3"/>
        <v>7.6362696033793735</v>
      </c>
      <c r="K48" s="30">
        <v>2.1619999999999999</v>
      </c>
      <c r="M48">
        <f t="shared" si="8"/>
        <v>2.0956153133908226</v>
      </c>
      <c r="O48">
        <f t="shared" si="4"/>
        <v>8.2927988582003742</v>
      </c>
      <c r="P48">
        <f t="shared" si="5"/>
        <v>0.73984721592684288</v>
      </c>
      <c r="Q48">
        <f t="shared" si="6"/>
        <v>57.047078510522432</v>
      </c>
      <c r="T48">
        <f t="shared" si="7"/>
        <v>1905.3613319067931</v>
      </c>
    </row>
    <row r="49" spans="1:20" ht="15.75" x14ac:dyDescent="0.3">
      <c r="A49" s="20">
        <v>31</v>
      </c>
      <c r="B49" s="17">
        <v>140</v>
      </c>
      <c r="C49" s="3">
        <v>44.12</v>
      </c>
      <c r="D49" s="8">
        <v>0.83418704954954959</v>
      </c>
      <c r="E49" s="9">
        <v>1776</v>
      </c>
      <c r="F49" s="4">
        <v>3955</v>
      </c>
      <c r="G49">
        <f t="shared" si="0"/>
        <v>4.9416424226093039</v>
      </c>
      <c r="H49">
        <f t="shared" si="1"/>
        <v>3.7869131943853018</v>
      </c>
      <c r="I49">
        <f t="shared" si="2"/>
        <v>-0.18129762173496636</v>
      </c>
      <c r="J49">
        <f t="shared" si="3"/>
        <v>7.4821189235521155</v>
      </c>
      <c r="K49" s="30">
        <v>1.901</v>
      </c>
      <c r="M49">
        <f t="shared" si="8"/>
        <v>1.8755719662101069</v>
      </c>
      <c r="O49">
        <f t="shared" si="4"/>
        <v>8.2827358802017539</v>
      </c>
      <c r="P49">
        <f t="shared" si="5"/>
        <v>0.62891366154988637</v>
      </c>
      <c r="Q49">
        <f t="shared" si="6"/>
        <v>58.580994554728989</v>
      </c>
      <c r="T49">
        <f t="shared" si="7"/>
        <v>2107.6900802807959</v>
      </c>
    </row>
    <row r="50" spans="1:20" ht="15.75" x14ac:dyDescent="0.3">
      <c r="A50" s="20">
        <v>32</v>
      </c>
      <c r="B50" s="17">
        <v>147</v>
      </c>
      <c r="C50" s="3">
        <v>43.8</v>
      </c>
      <c r="D50" s="8">
        <v>0.84211125419932797</v>
      </c>
      <c r="E50" s="9">
        <v>1786</v>
      </c>
      <c r="F50" s="4">
        <v>3865</v>
      </c>
      <c r="G50">
        <f t="shared" si="0"/>
        <v>4.990432586778736</v>
      </c>
      <c r="H50">
        <f t="shared" si="1"/>
        <v>3.7796338173824005</v>
      </c>
      <c r="I50">
        <f t="shared" si="2"/>
        <v>-0.1718431425902642</v>
      </c>
      <c r="J50">
        <f t="shared" si="3"/>
        <v>7.4877337614364441</v>
      </c>
      <c r="K50" s="30">
        <v>1.9545999999999999</v>
      </c>
      <c r="M50">
        <f t="shared" si="8"/>
        <v>1.9057890185641511</v>
      </c>
      <c r="O50">
        <f t="shared" si="4"/>
        <v>8.2597169610215229</v>
      </c>
      <c r="P50">
        <f t="shared" si="5"/>
        <v>0.64489610580188095</v>
      </c>
      <c r="Q50">
        <f t="shared" si="6"/>
        <v>57.985496657087992</v>
      </c>
      <c r="T50">
        <f t="shared" si="7"/>
        <v>2027.0314149946917</v>
      </c>
    </row>
    <row r="51" spans="1:20" ht="15.75" x14ac:dyDescent="0.3">
      <c r="A51" s="20">
        <v>33</v>
      </c>
      <c r="B51" s="17">
        <v>146</v>
      </c>
      <c r="C51" s="3">
        <v>46.89</v>
      </c>
      <c r="D51" s="8">
        <v>0.8427257117437722</v>
      </c>
      <c r="E51" s="9">
        <v>2247</v>
      </c>
      <c r="F51" s="4">
        <v>4217</v>
      </c>
      <c r="G51">
        <f t="shared" si="0"/>
        <v>4.9836066217083363</v>
      </c>
      <c r="H51">
        <f t="shared" si="1"/>
        <v>3.8478044331014951</v>
      </c>
      <c r="I51">
        <f t="shared" si="2"/>
        <v>-0.17111374552205322</v>
      </c>
      <c r="J51">
        <f t="shared" si="3"/>
        <v>7.7173512721853292</v>
      </c>
      <c r="K51" s="30">
        <v>2.1732999999999998</v>
      </c>
      <c r="M51">
        <f t="shared" si="8"/>
        <v>2.123454954297769</v>
      </c>
      <c r="O51">
        <f t="shared" si="4"/>
        <v>8.3468792537465593</v>
      </c>
      <c r="P51">
        <f t="shared" si="5"/>
        <v>0.75304445759482241</v>
      </c>
      <c r="Q51">
        <f t="shared" si="6"/>
        <v>57.666326911244887</v>
      </c>
      <c r="T51">
        <f t="shared" si="7"/>
        <v>1984.914507611757</v>
      </c>
    </row>
    <row r="52" spans="1:20" ht="15.75" x14ac:dyDescent="0.3">
      <c r="A52" s="20">
        <v>34</v>
      </c>
      <c r="B52" s="17">
        <v>158</v>
      </c>
      <c r="C52" s="3">
        <v>47.32</v>
      </c>
      <c r="D52" s="8">
        <v>0.82779175398633253</v>
      </c>
      <c r="E52" s="9">
        <v>2196</v>
      </c>
      <c r="F52" s="4">
        <v>4145</v>
      </c>
      <c r="G52">
        <f t="shared" si="0"/>
        <v>5.0625950330269669</v>
      </c>
      <c r="H52">
        <f t="shared" si="1"/>
        <v>3.8569330391101859</v>
      </c>
      <c r="I52">
        <f t="shared" si="2"/>
        <v>-0.18899366107694993</v>
      </c>
      <c r="J52">
        <f t="shared" si="3"/>
        <v>7.6943928026294213</v>
      </c>
      <c r="K52" s="30">
        <v>2.1798999999999999</v>
      </c>
      <c r="M52">
        <f t="shared" si="8"/>
        <v>2.1459472919211957</v>
      </c>
      <c r="O52">
        <f t="shared" si="4"/>
        <v>8.3296580675693956</v>
      </c>
      <c r="P52">
        <f t="shared" si="5"/>
        <v>0.76358108282635451</v>
      </c>
      <c r="Q52">
        <f t="shared" si="6"/>
        <v>57.245520939058359</v>
      </c>
      <c r="T52">
        <f t="shared" si="7"/>
        <v>1930.5479068869013</v>
      </c>
    </row>
    <row r="53" spans="1:20" ht="15.75" x14ac:dyDescent="0.3">
      <c r="A53" s="20">
        <v>35</v>
      </c>
      <c r="B53" s="17">
        <v>140</v>
      </c>
      <c r="C53" s="3">
        <v>43.88</v>
      </c>
      <c r="D53" s="8">
        <v>0.80935814432989683</v>
      </c>
      <c r="E53" s="9">
        <v>1455</v>
      </c>
      <c r="F53" s="4">
        <v>3465</v>
      </c>
      <c r="G53">
        <f t="shared" si="0"/>
        <v>4.9416424226093039</v>
      </c>
      <c r="H53">
        <f t="shared" si="1"/>
        <v>3.7814586354070294</v>
      </c>
      <c r="I53">
        <f t="shared" si="2"/>
        <v>-0.21151375984944043</v>
      </c>
      <c r="J53">
        <f t="shared" si="3"/>
        <v>7.2827611796055933</v>
      </c>
      <c r="K53" s="30">
        <v>1.7339</v>
      </c>
      <c r="M53">
        <f t="shared" si="8"/>
        <v>1.7314668102599198</v>
      </c>
      <c r="O53">
        <f t="shared" si="4"/>
        <v>8.1504679116240037</v>
      </c>
      <c r="P53">
        <f t="shared" si="5"/>
        <v>0.5489689164755992</v>
      </c>
      <c r="Q53">
        <f t="shared" si="6"/>
        <v>57.78278697324221</v>
      </c>
      <c r="T53">
        <f t="shared" si="7"/>
        <v>2000.1934271381444</v>
      </c>
    </row>
    <row r="54" spans="1:20" ht="15.75" x14ac:dyDescent="0.3">
      <c r="A54" s="20">
        <v>36</v>
      </c>
      <c r="B54" s="17">
        <v>149</v>
      </c>
      <c r="C54" s="3">
        <v>40.659999999999997</v>
      </c>
      <c r="D54" s="8">
        <v>0.88659053876478311</v>
      </c>
      <c r="E54" s="9">
        <v>761</v>
      </c>
      <c r="F54" s="4">
        <v>2515</v>
      </c>
      <c r="G54">
        <f t="shared" si="0"/>
        <v>5.0039463059454592</v>
      </c>
      <c r="H54">
        <f t="shared" si="1"/>
        <v>3.7052448082002005</v>
      </c>
      <c r="I54">
        <f t="shared" si="2"/>
        <v>-0.12037202809651597</v>
      </c>
      <c r="J54">
        <f t="shared" si="3"/>
        <v>6.6346333578616861</v>
      </c>
      <c r="K54" s="30">
        <v>1.4036</v>
      </c>
      <c r="M54">
        <f t="shared" si="8"/>
        <v>1.4139485586998988</v>
      </c>
      <c r="O54">
        <f t="shared" si="4"/>
        <v>7.8300280825338398</v>
      </c>
      <c r="P54">
        <f t="shared" si="5"/>
        <v>0.34638618682668598</v>
      </c>
      <c r="Q54">
        <f t="shared" si="6"/>
        <v>56.004896023183356</v>
      </c>
      <c r="T54">
        <f t="shared" si="7"/>
        <v>1777.7068592597875</v>
      </c>
    </row>
    <row r="55" spans="1:20" ht="15.75" x14ac:dyDescent="0.3">
      <c r="A55" s="20">
        <v>37</v>
      </c>
      <c r="B55" s="17">
        <v>157</v>
      </c>
      <c r="C55" s="3">
        <v>40.619999999999997</v>
      </c>
      <c r="D55" s="8">
        <v>0.91650691642651272</v>
      </c>
      <c r="E55" s="9">
        <v>694</v>
      </c>
      <c r="F55" s="4">
        <v>2215</v>
      </c>
      <c r="G55">
        <f t="shared" ref="G55:G86" si="9">LN(B55)</f>
        <v>5.0562458053483077</v>
      </c>
      <c r="H55">
        <f t="shared" ref="H55:H86" si="10">LN(C55)</f>
        <v>3.7042605561522386</v>
      </c>
      <c r="I55">
        <f t="shared" ref="I55:I86" si="11">LN(D55)</f>
        <v>-8.7185665166190529E-2</v>
      </c>
      <c r="J55">
        <f t="shared" ref="J55:J86" si="12">LN(E55)</f>
        <v>6.5424719605068047</v>
      </c>
      <c r="K55" s="30">
        <v>1.3705000000000001</v>
      </c>
      <c r="M55">
        <f t="shared" si="8"/>
        <v>1.394003043706965</v>
      </c>
      <c r="O55">
        <f t="shared" ref="O55:O86" si="13">LN(F55)</f>
        <v>7.7030076824792362</v>
      </c>
      <c r="P55">
        <f t="shared" ref="P55:P86" si="14">LN(M55)</f>
        <v>0.33217949576992623</v>
      </c>
      <c r="Q55">
        <f t="shared" ref="Q55:Q86" si="15">(O55-P55)^2</f>
        <v>54.329108157988451</v>
      </c>
      <c r="T55">
        <f t="shared" ref="T55:T86" si="16">ABS((F55-M55)/M55)</f>
        <v>1587.9491848667853</v>
      </c>
    </row>
    <row r="56" spans="1:20" ht="15.75" x14ac:dyDescent="0.3">
      <c r="A56" s="20">
        <v>38</v>
      </c>
      <c r="B56" s="17">
        <v>169</v>
      </c>
      <c r="C56" s="3">
        <v>43.95</v>
      </c>
      <c r="D56" s="8">
        <v>0.92319242033006776</v>
      </c>
      <c r="E56" s="9">
        <v>1193</v>
      </c>
      <c r="F56" s="4">
        <v>3165</v>
      </c>
      <c r="G56">
        <f t="shared" si="9"/>
        <v>5.1298987149230735</v>
      </c>
      <c r="H56">
        <f t="shared" si="10"/>
        <v>3.7830526241311859</v>
      </c>
      <c r="I56">
        <f t="shared" si="11"/>
        <v>-7.9917593476403939E-2</v>
      </c>
      <c r="J56">
        <f t="shared" si="12"/>
        <v>7.0842264220979159</v>
      </c>
      <c r="K56" s="30">
        <v>1.6789000000000001</v>
      </c>
      <c r="M56">
        <f t="shared" si="8"/>
        <v>1.6623315797484151</v>
      </c>
      <c r="O56">
        <f t="shared" si="13"/>
        <v>8.0599083345782763</v>
      </c>
      <c r="P56">
        <f t="shared" si="14"/>
        <v>0.50822118300164487</v>
      </c>
      <c r="Q56">
        <f t="shared" si="15"/>
        <v>57.027978835287577</v>
      </c>
      <c r="T56">
        <f t="shared" si="16"/>
        <v>1902.9522791710458</v>
      </c>
    </row>
    <row r="57" spans="1:20" ht="15.75" x14ac:dyDescent="0.3">
      <c r="A57" s="20">
        <v>39</v>
      </c>
      <c r="B57" s="17">
        <v>165</v>
      </c>
      <c r="C57" s="3">
        <v>41.67</v>
      </c>
      <c r="D57" s="8">
        <v>0.77590107505608719</v>
      </c>
      <c r="E57" s="9">
        <v>2539</v>
      </c>
      <c r="F57" s="4">
        <v>5655</v>
      </c>
      <c r="G57">
        <f t="shared" si="9"/>
        <v>5.1059454739005803</v>
      </c>
      <c r="H57">
        <f t="shared" si="10"/>
        <v>3.7297814454343623</v>
      </c>
      <c r="I57">
        <f t="shared" si="11"/>
        <v>-0.25373024752308615</v>
      </c>
      <c r="J57">
        <f t="shared" si="12"/>
        <v>7.8395255817046783</v>
      </c>
      <c r="K57" s="30">
        <v>2.2337833825723759</v>
      </c>
      <c r="M57">
        <f t="shared" si="8"/>
        <v>2.282011145627215</v>
      </c>
      <c r="O57">
        <f t="shared" si="13"/>
        <v>8.6402953885502214</v>
      </c>
      <c r="P57">
        <f t="shared" si="14"/>
        <v>0.82505713557660454</v>
      </c>
      <c r="Q57">
        <f t="shared" si="15"/>
        <v>61.077948950742112</v>
      </c>
      <c r="T57">
        <f t="shared" si="16"/>
        <v>2477.0772919694537</v>
      </c>
    </row>
    <row r="58" spans="1:20" ht="15.75" x14ac:dyDescent="0.3">
      <c r="A58" s="20">
        <v>40</v>
      </c>
      <c r="B58" s="17">
        <v>165</v>
      </c>
      <c r="C58" s="3">
        <v>41.31</v>
      </c>
      <c r="D58" s="8">
        <v>0.80779518026477171</v>
      </c>
      <c r="E58" s="9">
        <v>1311</v>
      </c>
      <c r="F58" s="4">
        <v>3865</v>
      </c>
      <c r="G58">
        <f t="shared" si="9"/>
        <v>5.1059454739005803</v>
      </c>
      <c r="H58">
        <f t="shared" si="10"/>
        <v>3.7211046014086731</v>
      </c>
      <c r="I58">
        <f t="shared" si="11"/>
        <v>-0.21344674236632644</v>
      </c>
      <c r="J58">
        <f t="shared" si="12"/>
        <v>7.1785454837636999</v>
      </c>
      <c r="K58" s="30">
        <v>1.7010000000000001</v>
      </c>
      <c r="M58">
        <f t="shared" si="8"/>
        <v>1.7010525541402444</v>
      </c>
      <c r="O58">
        <f t="shared" si="13"/>
        <v>8.2597169610215229</v>
      </c>
      <c r="P58">
        <f t="shared" si="14"/>
        <v>0.53124720896246314</v>
      </c>
      <c r="Q58">
        <f t="shared" si="15"/>
        <v>59.729244708491827</v>
      </c>
      <c r="T58">
        <f t="shared" si="16"/>
        <v>2271.1226281885629</v>
      </c>
    </row>
    <row r="59" spans="1:20" ht="15.75" x14ac:dyDescent="0.3">
      <c r="A59" s="20">
        <v>41</v>
      </c>
      <c r="B59" s="17">
        <v>176</v>
      </c>
      <c r="C59" s="3">
        <v>52.3</v>
      </c>
      <c r="D59" s="8">
        <v>0.75817891207484189</v>
      </c>
      <c r="E59" s="9">
        <v>7104</v>
      </c>
      <c r="F59" s="4">
        <v>4820</v>
      </c>
      <c r="G59">
        <f t="shared" si="9"/>
        <v>5.1704839950381514</v>
      </c>
      <c r="H59">
        <f t="shared" si="10"/>
        <v>3.9569963710708773</v>
      </c>
      <c r="I59">
        <f t="shared" si="11"/>
        <v>-0.27683588942987397</v>
      </c>
      <c r="J59">
        <f t="shared" si="12"/>
        <v>8.8684132846720054</v>
      </c>
      <c r="K59" s="30">
        <v>5.1120000000000001</v>
      </c>
      <c r="M59">
        <f t="shared" si="8"/>
        <v>5.1179786213197804</v>
      </c>
      <c r="O59">
        <f t="shared" si="13"/>
        <v>8.4805292070446452</v>
      </c>
      <c r="P59">
        <f t="shared" si="14"/>
        <v>1.6327595605736911</v>
      </c>
      <c r="Q59">
        <f t="shared" si="15"/>
        <v>46.891949131128939</v>
      </c>
      <c r="T59">
        <f t="shared" si="16"/>
        <v>940.77806447285627</v>
      </c>
    </row>
    <row r="60" spans="1:20" ht="15.75" x14ac:dyDescent="0.3">
      <c r="A60" s="20">
        <v>42</v>
      </c>
      <c r="B60" s="17">
        <v>149</v>
      </c>
      <c r="C60" s="3">
        <v>44.41</v>
      </c>
      <c r="D60" s="8">
        <v>0.82023585858585857</v>
      </c>
      <c r="E60" s="9">
        <v>1583</v>
      </c>
      <c r="F60" s="4">
        <v>3815</v>
      </c>
      <c r="G60">
        <f t="shared" si="9"/>
        <v>5.0039463059454592</v>
      </c>
      <c r="H60">
        <f t="shared" si="10"/>
        <v>3.7934646693040106</v>
      </c>
      <c r="I60">
        <f t="shared" si="11"/>
        <v>-0.19816334766033408</v>
      </c>
      <c r="J60">
        <f t="shared" si="12"/>
        <v>7.3670770598810122</v>
      </c>
      <c r="K60" s="30">
        <v>1.8231999999999999</v>
      </c>
      <c r="M60">
        <f t="shared" si="8"/>
        <v>1.8060767688554253</v>
      </c>
      <c r="O60">
        <f t="shared" si="13"/>
        <v>8.2466959437185565</v>
      </c>
      <c r="P60">
        <f t="shared" si="14"/>
        <v>0.59115696176325372</v>
      </c>
      <c r="Q60">
        <f t="shared" si="15"/>
        <v>58.607277104237234</v>
      </c>
      <c r="T60">
        <f t="shared" si="16"/>
        <v>2111.3133112540395</v>
      </c>
    </row>
    <row r="61" spans="1:20" ht="15.75" x14ac:dyDescent="0.3">
      <c r="A61" s="20">
        <v>43</v>
      </c>
      <c r="B61" s="17">
        <v>152</v>
      </c>
      <c r="C61" s="3">
        <v>46.69</v>
      </c>
      <c r="D61" s="8">
        <v>0.82400711082639333</v>
      </c>
      <c r="E61" s="9">
        <v>1562</v>
      </c>
      <c r="F61" s="4">
        <v>3565</v>
      </c>
      <c r="G61">
        <f t="shared" si="9"/>
        <v>5.0238805208462765</v>
      </c>
      <c r="H61">
        <f t="shared" si="10"/>
        <v>3.8435300089828455</v>
      </c>
      <c r="I61">
        <f t="shared" si="11"/>
        <v>-0.19357611946621928</v>
      </c>
      <c r="J61">
        <f t="shared" si="12"/>
        <v>7.3537223303996315</v>
      </c>
      <c r="K61" s="30">
        <v>1.8395999999999999</v>
      </c>
      <c r="M61">
        <f t="shared" si="8"/>
        <v>1.8154483677996576</v>
      </c>
      <c r="O61">
        <f t="shared" si="13"/>
        <v>8.1789193328483965</v>
      </c>
      <c r="P61">
        <f t="shared" si="14"/>
        <v>0.59633247180915372</v>
      </c>
      <c r="Q61">
        <f t="shared" si="15"/>
        <v>57.495623505204954</v>
      </c>
      <c r="T61">
        <f t="shared" si="16"/>
        <v>1962.7022254292021</v>
      </c>
    </row>
    <row r="62" spans="1:20" ht="15.75" x14ac:dyDescent="0.3">
      <c r="A62" s="20">
        <v>44</v>
      </c>
      <c r="B62" s="17">
        <v>129</v>
      </c>
      <c r="C62" s="3">
        <v>46.91</v>
      </c>
      <c r="D62" s="8">
        <v>0.84911701807228912</v>
      </c>
      <c r="E62" s="9">
        <v>1992</v>
      </c>
      <c r="F62" s="4">
        <v>4271</v>
      </c>
      <c r="G62">
        <f t="shared" si="9"/>
        <v>4.8598124043616719</v>
      </c>
      <c r="H62">
        <f t="shared" si="10"/>
        <v>3.8482308723403666</v>
      </c>
      <c r="I62">
        <f t="shared" si="11"/>
        <v>-0.163558271694698</v>
      </c>
      <c r="J62">
        <f t="shared" si="12"/>
        <v>7.5968944381445436</v>
      </c>
      <c r="K62" s="30">
        <v>1.9789000000000001</v>
      </c>
      <c r="M62">
        <f t="shared" si="8"/>
        <v>1.9363425107454055</v>
      </c>
      <c r="O62">
        <f t="shared" si="13"/>
        <v>8.3596032708414665</v>
      </c>
      <c r="P62">
        <f t="shared" si="14"/>
        <v>0.6608008899138077</v>
      </c>
      <c r="Q62">
        <f t="shared" si="15"/>
        <v>59.271558100577387</v>
      </c>
      <c r="T62">
        <f t="shared" si="16"/>
        <v>2204.7048152890343</v>
      </c>
    </row>
    <row r="63" spans="1:20" ht="15.75" x14ac:dyDescent="0.3">
      <c r="A63" s="20">
        <v>46</v>
      </c>
      <c r="B63" s="17">
        <v>143</v>
      </c>
      <c r="C63" s="3">
        <v>44.76</v>
      </c>
      <c r="D63" s="8">
        <v>0.83229050097592716</v>
      </c>
      <c r="E63" s="9">
        <v>1537</v>
      </c>
      <c r="F63" s="4">
        <v>3615</v>
      </c>
      <c r="G63">
        <f t="shared" si="9"/>
        <v>4.962844630259907</v>
      </c>
      <c r="H63">
        <f t="shared" si="10"/>
        <v>3.8013148834437245</v>
      </c>
      <c r="I63">
        <f t="shared" si="11"/>
        <v>-0.18357373927619999</v>
      </c>
      <c r="J63">
        <f t="shared" si="12"/>
        <v>7.3375877435385961</v>
      </c>
      <c r="K63" s="30">
        <v>1.7962</v>
      </c>
      <c r="M63">
        <f t="shared" si="8"/>
        <v>1.7757592630868146</v>
      </c>
      <c r="O63">
        <f t="shared" si="13"/>
        <v>8.1928471345928653</v>
      </c>
      <c r="P63">
        <f t="shared" si="14"/>
        <v>0.57422808531850766</v>
      </c>
      <c r="Q63">
        <f t="shared" si="15"/>
        <v>58.043356217966121</v>
      </c>
      <c r="T63">
        <f t="shared" si="16"/>
        <v>2034.7489188686648</v>
      </c>
    </row>
    <row r="64" spans="1:20" ht="15.75" x14ac:dyDescent="0.3">
      <c r="A64" s="20">
        <v>47</v>
      </c>
      <c r="B64" s="17">
        <v>169</v>
      </c>
      <c r="C64" s="3">
        <v>46.98</v>
      </c>
      <c r="D64" s="8">
        <v>0.83751465827147997</v>
      </c>
      <c r="E64" s="9">
        <v>1902.8279498619736</v>
      </c>
      <c r="F64" s="4">
        <v>3992</v>
      </c>
      <c r="G64">
        <f t="shared" si="9"/>
        <v>5.1298987149230735</v>
      </c>
      <c r="H64">
        <f t="shared" si="10"/>
        <v>3.8497219792307669</v>
      </c>
      <c r="I64">
        <f t="shared" si="11"/>
        <v>-0.17731651302237358</v>
      </c>
      <c r="J64">
        <f t="shared" si="12"/>
        <v>7.5510964532572542</v>
      </c>
      <c r="K64" s="30">
        <v>2.0244</v>
      </c>
      <c r="M64">
        <f t="shared" si="8"/>
        <v>2.0293407881867696</v>
      </c>
      <c r="O64">
        <f t="shared" si="13"/>
        <v>8.2920476374313541</v>
      </c>
      <c r="P64">
        <f t="shared" si="14"/>
        <v>0.70771100543254151</v>
      </c>
      <c r="Q64">
        <f t="shared" si="15"/>
        <v>57.522162147479094</v>
      </c>
      <c r="T64">
        <f t="shared" si="16"/>
        <v>1966.1412624426084</v>
      </c>
    </row>
    <row r="65" spans="1:20" ht="15.75" x14ac:dyDescent="0.3">
      <c r="A65" s="20">
        <v>48</v>
      </c>
      <c r="B65" s="17">
        <v>154</v>
      </c>
      <c r="C65" s="3">
        <v>44.43</v>
      </c>
      <c r="D65" s="8">
        <v>0.8241312228429547</v>
      </c>
      <c r="E65" s="9">
        <v>1611</v>
      </c>
      <c r="F65" s="4">
        <v>3865</v>
      </c>
      <c r="G65">
        <f t="shared" si="9"/>
        <v>5.0369526024136295</v>
      </c>
      <c r="H65">
        <f t="shared" si="10"/>
        <v>3.7939149169478172</v>
      </c>
      <c r="I65">
        <f t="shared" si="11"/>
        <v>-0.19342551072876016</v>
      </c>
      <c r="J65">
        <f t="shared" si="12"/>
        <v>7.384610383176974</v>
      </c>
      <c r="K65" s="30">
        <v>1.8481000000000001</v>
      </c>
      <c r="M65">
        <f t="shared" si="8"/>
        <v>1.8314315064980438</v>
      </c>
      <c r="O65">
        <f t="shared" si="13"/>
        <v>8.2597169610215229</v>
      </c>
      <c r="P65">
        <f t="shared" si="14"/>
        <v>0.6050979050479629</v>
      </c>
      <c r="Q65">
        <f t="shared" si="15"/>
        <v>58.59319289207356</v>
      </c>
      <c r="T65">
        <f t="shared" si="16"/>
        <v>2109.3710328705806</v>
      </c>
    </row>
    <row r="66" spans="1:20" ht="15.75" x14ac:dyDescent="0.3">
      <c r="A66" s="20">
        <v>50</v>
      </c>
      <c r="B66" s="17">
        <v>129</v>
      </c>
      <c r="C66" s="3">
        <v>38.78</v>
      </c>
      <c r="D66" s="8">
        <v>0.83125307414104888</v>
      </c>
      <c r="E66" s="9">
        <v>1106</v>
      </c>
      <c r="F66" s="4">
        <v>3365</v>
      </c>
      <c r="G66">
        <f t="shared" si="9"/>
        <v>4.8598124043616719</v>
      </c>
      <c r="H66">
        <f t="shared" si="10"/>
        <v>3.6579046498145056</v>
      </c>
      <c r="I66">
        <f t="shared" si="11"/>
        <v>-0.1848209888041159</v>
      </c>
      <c r="J66">
        <f t="shared" si="12"/>
        <v>7.0085051820822803</v>
      </c>
      <c r="K66" s="30">
        <v>1.5330965401161434</v>
      </c>
      <c r="M66">
        <f t="shared" si="8"/>
        <v>1.5558163411818711</v>
      </c>
      <c r="O66">
        <f t="shared" si="13"/>
        <v>8.1211832420788284</v>
      </c>
      <c r="P66">
        <f t="shared" si="14"/>
        <v>0.44200038613033144</v>
      </c>
      <c r="Q66">
        <f t="shared" si="15"/>
        <v>58.969849335093315</v>
      </c>
      <c r="T66">
        <f t="shared" si="16"/>
        <v>2161.8516881650621</v>
      </c>
    </row>
    <row r="67" spans="1:20" ht="15.75" x14ac:dyDescent="0.3">
      <c r="A67" s="20">
        <v>51</v>
      </c>
      <c r="B67" s="17">
        <v>137</v>
      </c>
      <c r="C67" s="3">
        <v>37.92</v>
      </c>
      <c r="D67" s="8">
        <v>0.8440983240223463</v>
      </c>
      <c r="E67" s="9">
        <v>716</v>
      </c>
      <c r="F67" s="4">
        <v>2415</v>
      </c>
      <c r="G67">
        <f t="shared" si="9"/>
        <v>4.9199809258281251</v>
      </c>
      <c r="H67">
        <f t="shared" si="10"/>
        <v>3.6354786773868213</v>
      </c>
      <c r="I67">
        <f t="shared" si="11"/>
        <v>-0.16948629351469657</v>
      </c>
      <c r="J67">
        <f t="shared" si="12"/>
        <v>6.5736801669606457</v>
      </c>
      <c r="K67" s="30">
        <v>1.3903466158085649</v>
      </c>
      <c r="M67">
        <f t="shared" si="8"/>
        <v>1.3892973574967957</v>
      </c>
      <c r="O67">
        <f t="shared" si="13"/>
        <v>7.7894545660866727</v>
      </c>
      <c r="P67">
        <f t="shared" si="14"/>
        <v>0.32879812113156659</v>
      </c>
      <c r="Q67">
        <f t="shared" si="15"/>
        <v>55.661394589650158</v>
      </c>
      <c r="T67">
        <f t="shared" si="16"/>
        <v>1737.288773795188</v>
      </c>
    </row>
    <row r="68" spans="1:20" ht="15.75" x14ac:dyDescent="0.3">
      <c r="A68" s="20">
        <v>53</v>
      </c>
      <c r="B68" s="17">
        <v>177</v>
      </c>
      <c r="C68" s="3">
        <v>47.68</v>
      </c>
      <c r="D68" s="8">
        <v>0.78466681175390973</v>
      </c>
      <c r="E68" s="9">
        <v>2583</v>
      </c>
      <c r="F68" s="4">
        <v>4535</v>
      </c>
      <c r="G68">
        <f t="shared" si="9"/>
        <v>5.1761497325738288</v>
      </c>
      <c r="H68">
        <f t="shared" si="10"/>
        <v>3.8645120227570944</v>
      </c>
      <c r="I68">
        <f t="shared" si="11"/>
        <v>-0.24249609492701327</v>
      </c>
      <c r="J68">
        <f t="shared" si="12"/>
        <v>7.8567067930958405</v>
      </c>
      <c r="K68" s="30">
        <v>2.4142999999999999</v>
      </c>
      <c r="M68">
        <f t="shared" si="8"/>
        <v>2.403070036974273</v>
      </c>
      <c r="O68">
        <f t="shared" si="13"/>
        <v>8.4195803625492367</v>
      </c>
      <c r="P68">
        <f t="shared" si="14"/>
        <v>0.87674710197016903</v>
      </c>
      <c r="Q68">
        <f t="shared" si="15"/>
        <v>56.894333596897845</v>
      </c>
      <c r="T68">
        <f t="shared" si="16"/>
        <v>1886.169300196535</v>
      </c>
    </row>
    <row r="69" spans="1:20" ht="15.75" x14ac:dyDescent="0.3">
      <c r="A69" s="20">
        <v>54</v>
      </c>
      <c r="B69" s="17">
        <v>176</v>
      </c>
      <c r="C69" s="3">
        <v>48.11</v>
      </c>
      <c r="D69" s="8">
        <v>0.79100877299711558</v>
      </c>
      <c r="E69" s="9">
        <v>2592.8721580424876</v>
      </c>
      <c r="F69" s="4">
        <v>4575</v>
      </c>
      <c r="G69">
        <f t="shared" si="9"/>
        <v>5.1704839950381514</v>
      </c>
      <c r="H69">
        <f t="shared" si="10"/>
        <v>3.8734900557113625</v>
      </c>
      <c r="I69">
        <f t="shared" si="11"/>
        <v>-0.2344462202556144</v>
      </c>
      <c r="J69">
        <f t="shared" si="12"/>
        <v>7.8605214816014897</v>
      </c>
      <c r="K69" s="30">
        <v>2.4289999999999998</v>
      </c>
      <c r="M69">
        <f t="shared" si="8"/>
        <v>2.406791745843901</v>
      </c>
      <c r="O69">
        <f t="shared" si="13"/>
        <v>8.4283619777096224</v>
      </c>
      <c r="P69">
        <f t="shared" si="14"/>
        <v>0.8782946348434294</v>
      </c>
      <c r="Q69">
        <f t="shared" si="15"/>
        <v>57.003516881814569</v>
      </c>
      <c r="T69">
        <f t="shared" si="16"/>
        <v>1899.8707371130911</v>
      </c>
    </row>
    <row r="70" spans="1:20" ht="15.75" x14ac:dyDescent="0.3">
      <c r="A70" s="20">
        <v>64</v>
      </c>
      <c r="B70" s="17">
        <v>143</v>
      </c>
      <c r="C70" s="3">
        <v>44.34</v>
      </c>
      <c r="D70" s="8">
        <v>0.69889205702647672</v>
      </c>
      <c r="E70" s="9">
        <v>1964</v>
      </c>
      <c r="F70" s="4">
        <v>5249.65</v>
      </c>
      <c r="G70">
        <f t="shared" si="9"/>
        <v>4.962844630259907</v>
      </c>
      <c r="H70">
        <f t="shared" si="10"/>
        <v>3.7918872041881655</v>
      </c>
      <c r="I70">
        <f t="shared" si="11"/>
        <v>-0.35825897352789821</v>
      </c>
      <c r="J70">
        <f t="shared" si="12"/>
        <v>7.5827384889144112</v>
      </c>
      <c r="K70" s="30">
        <v>1.9510000000000001</v>
      </c>
      <c r="M70">
        <f t="shared" si="8"/>
        <v>1.919442961427928</v>
      </c>
      <c r="O70">
        <f t="shared" si="13"/>
        <v>8.5659166866966814</v>
      </c>
      <c r="P70">
        <f t="shared" si="14"/>
        <v>0.65203501968921873</v>
      </c>
      <c r="Q70">
        <f t="shared" si="15"/>
        <v>62.629523039396815</v>
      </c>
      <c r="T70">
        <f t="shared" si="16"/>
        <v>2733.9861941688728</v>
      </c>
    </row>
    <row r="71" spans="1:20" ht="15.75" x14ac:dyDescent="0.3">
      <c r="A71" s="20">
        <v>65</v>
      </c>
      <c r="B71" s="17">
        <v>165</v>
      </c>
      <c r="C71" s="3">
        <v>45.91</v>
      </c>
      <c r="D71" s="8">
        <v>0.76893049792531121</v>
      </c>
      <c r="E71" s="9">
        <v>1928</v>
      </c>
      <c r="F71" s="4">
        <v>4315.0249999999996</v>
      </c>
      <c r="G71">
        <f t="shared" si="9"/>
        <v>5.1059454739005803</v>
      </c>
      <c r="H71">
        <f t="shared" si="10"/>
        <v>3.8266829582611308</v>
      </c>
      <c r="I71">
        <f t="shared" si="11"/>
        <v>-0.26275469337203305</v>
      </c>
      <c r="J71">
        <f t="shared" si="12"/>
        <v>7.564238475170491</v>
      </c>
      <c r="K71" s="30">
        <v>1.99082731299834</v>
      </c>
      <c r="M71">
        <f t="shared" ref="M71:M123" si="17">EXP(
($B$2+$B$3*LN(B71)+$B$4*(LN(B71)^2))*
($B$5+$B$6*LN(C71)+$B$7*(LN(C71)^2))*
($B$8+$B$9*LN(E71)+$B$10*(LN(E71)^2))*
($B$11+$B$12*LN(D71)+$B$13*(LN(D71)^2))*
($B$14+$B$15*LN(F71)+$B$16*(LN(F71)^2))
)</f>
        <v>2.0073989535908674</v>
      </c>
      <c r="O71">
        <f t="shared" si="13"/>
        <v>8.3698583972435028</v>
      </c>
      <c r="P71">
        <f t="shared" si="14"/>
        <v>0.69683983112158132</v>
      </c>
      <c r="Q71">
        <f t="shared" si="15"/>
        <v>58.875213916051713</v>
      </c>
      <c r="T71">
        <f t="shared" si="16"/>
        <v>2148.5602517283442</v>
      </c>
    </row>
    <row r="72" spans="1:20" ht="15.75" x14ac:dyDescent="0.3">
      <c r="A72" s="20">
        <v>66</v>
      </c>
      <c r="B72" s="17">
        <v>147</v>
      </c>
      <c r="C72" s="3">
        <v>41.15</v>
      </c>
      <c r="D72" s="8">
        <v>0.85086647116324532</v>
      </c>
      <c r="E72" s="9">
        <v>1022</v>
      </c>
      <c r="F72" s="4">
        <v>2965</v>
      </c>
      <c r="G72">
        <f t="shared" si="9"/>
        <v>4.990432586778736</v>
      </c>
      <c r="H72">
        <f t="shared" si="10"/>
        <v>3.7172239271230789</v>
      </c>
      <c r="I72">
        <f t="shared" si="11"/>
        <v>-0.16150007087143284</v>
      </c>
      <c r="J72">
        <f t="shared" si="12"/>
        <v>6.9295167707636498</v>
      </c>
      <c r="K72" s="30">
        <v>1.5425604341844183</v>
      </c>
      <c r="M72">
        <f t="shared" si="17"/>
        <v>1.5412950146951629</v>
      </c>
      <c r="O72">
        <f t="shared" si="13"/>
        <v>7.9946323114318254</v>
      </c>
      <c r="P72">
        <f t="shared" si="14"/>
        <v>0.43262298168477858</v>
      </c>
      <c r="Q72">
        <f t="shared" si="15"/>
        <v>57.183985103181385</v>
      </c>
      <c r="T72">
        <f t="shared" si="16"/>
        <v>1922.7069942683343</v>
      </c>
    </row>
    <row r="73" spans="1:20" ht="15.75" x14ac:dyDescent="0.3">
      <c r="A73" s="20">
        <v>67</v>
      </c>
      <c r="B73" s="17">
        <v>157.9</v>
      </c>
      <c r="C73" s="3">
        <v>42.3</v>
      </c>
      <c r="D73" s="8">
        <v>0.8476117647058824</v>
      </c>
      <c r="E73" s="9">
        <v>1190</v>
      </c>
      <c r="F73" s="4">
        <v>3169.6959999999999</v>
      </c>
      <c r="G73">
        <f t="shared" si="9"/>
        <v>5.0619619212615961</v>
      </c>
      <c r="H73">
        <f t="shared" si="10"/>
        <v>3.7447870860522321</v>
      </c>
      <c r="I73">
        <f t="shared" si="11"/>
        <v>-0.16533257266322196</v>
      </c>
      <c r="J73">
        <f t="shared" si="12"/>
        <v>7.0817085861055746</v>
      </c>
      <c r="K73" s="30">
        <v>1.639</v>
      </c>
      <c r="M73">
        <f t="shared" si="17"/>
        <v>1.6420684348319339</v>
      </c>
      <c r="O73">
        <f t="shared" si="13"/>
        <v>8.0613909632190897</v>
      </c>
      <c r="P73">
        <f t="shared" si="14"/>
        <v>0.49595668789130182</v>
      </c>
      <c r="Q73">
        <f t="shared" si="15"/>
        <v>57.235795774304492</v>
      </c>
      <c r="T73">
        <f t="shared" si="16"/>
        <v>1929.3068817131359</v>
      </c>
    </row>
    <row r="74" spans="1:20" ht="15.75" x14ac:dyDescent="0.3">
      <c r="A74" s="20">
        <v>68</v>
      </c>
      <c r="B74" s="17">
        <v>147</v>
      </c>
      <c r="C74" s="3">
        <v>45.53</v>
      </c>
      <c r="D74" s="8">
        <v>0.82734391819160391</v>
      </c>
      <c r="E74" s="9">
        <v>1858</v>
      </c>
      <c r="F74" s="4">
        <v>4115.0249999999996</v>
      </c>
      <c r="G74">
        <f t="shared" si="9"/>
        <v>4.990432586778736</v>
      </c>
      <c r="H74">
        <f t="shared" si="10"/>
        <v>3.8183714493466909</v>
      </c>
      <c r="I74">
        <f t="shared" si="11"/>
        <v>-0.18953480802119774</v>
      </c>
      <c r="J74">
        <f t="shared" si="12"/>
        <v>7.5272559193737836</v>
      </c>
      <c r="K74" s="30">
        <v>2.0020581987014658</v>
      </c>
      <c r="M74">
        <f t="shared" si="17"/>
        <v>1.9306071133632743</v>
      </c>
      <c r="O74">
        <f t="shared" si="13"/>
        <v>8.3224001884268581</v>
      </c>
      <c r="P74">
        <f t="shared" si="14"/>
        <v>0.6578345199605915</v>
      </c>
      <c r="Q74">
        <f t="shared" si="15"/>
        <v>58.745566886231749</v>
      </c>
      <c r="T74">
        <f t="shared" si="16"/>
        <v>2130.4668176226141</v>
      </c>
    </row>
    <row r="75" spans="1:20" ht="15.75" x14ac:dyDescent="0.3">
      <c r="A75" s="20">
        <v>69</v>
      </c>
      <c r="B75" s="17">
        <v>156</v>
      </c>
      <c r="C75" s="3">
        <v>42.3</v>
      </c>
      <c r="D75" s="8">
        <v>0.86626456310679611</v>
      </c>
      <c r="E75" s="9">
        <v>1235</v>
      </c>
      <c r="F75" s="4">
        <v>3005.6959999999999</v>
      </c>
      <c r="G75">
        <f t="shared" si="9"/>
        <v>5.0498560072495371</v>
      </c>
      <c r="H75">
        <f t="shared" si="10"/>
        <v>3.7447870860522321</v>
      </c>
      <c r="I75">
        <f t="shared" si="11"/>
        <v>-0.14356491695204146</v>
      </c>
      <c r="J75">
        <f t="shared" si="12"/>
        <v>7.1188262490620779</v>
      </c>
      <c r="K75" s="30">
        <v>1.657</v>
      </c>
      <c r="M75">
        <f t="shared" si="17"/>
        <v>1.6715057752040008</v>
      </c>
      <c r="O75">
        <f t="shared" si="13"/>
        <v>8.0082644341276374</v>
      </c>
      <c r="P75">
        <f t="shared" si="14"/>
        <v>0.51372488197465027</v>
      </c>
      <c r="Q75">
        <f t="shared" si="15"/>
        <v>56.168123098785493</v>
      </c>
      <c r="T75">
        <f t="shared" si="16"/>
        <v>1797.1965988918982</v>
      </c>
    </row>
    <row r="76" spans="1:20" ht="15.75" x14ac:dyDescent="0.3">
      <c r="A76" s="20">
        <v>70</v>
      </c>
      <c r="B76" s="17">
        <v>157</v>
      </c>
      <c r="C76" s="3">
        <v>43.65</v>
      </c>
      <c r="D76" s="8">
        <v>0.82463204747774488</v>
      </c>
      <c r="E76" s="9">
        <v>338</v>
      </c>
      <c r="F76" s="4">
        <v>1265.0250000000001</v>
      </c>
      <c r="G76">
        <f t="shared" si="9"/>
        <v>5.0562458053483077</v>
      </c>
      <c r="H76">
        <f t="shared" si="10"/>
        <v>3.7762032822856111</v>
      </c>
      <c r="I76">
        <f t="shared" si="11"/>
        <v>-0.19281799519368123</v>
      </c>
      <c r="J76">
        <f t="shared" si="12"/>
        <v>5.8230458954830189</v>
      </c>
      <c r="K76" s="30">
        <v>1.2838000000000001</v>
      </c>
      <c r="M76">
        <f t="shared" si="17"/>
        <v>1.2263481070499616</v>
      </c>
      <c r="O76">
        <f t="shared" si="13"/>
        <v>7.1428471638121884</v>
      </c>
      <c r="P76">
        <f t="shared" si="14"/>
        <v>0.20404073444635065</v>
      </c>
      <c r="Q76">
        <f t="shared" si="15"/>
        <v>48.147034664208682</v>
      </c>
      <c r="T76">
        <f t="shared" si="16"/>
        <v>1030.5382661152205</v>
      </c>
    </row>
    <row r="77" spans="1:20" ht="15.75" x14ac:dyDescent="0.3">
      <c r="A77" s="20">
        <v>74</v>
      </c>
      <c r="B77" s="17">
        <v>174</v>
      </c>
      <c r="C77" s="3">
        <v>48.3</v>
      </c>
      <c r="D77" s="8">
        <v>0.83123413677130042</v>
      </c>
      <c r="E77" s="9">
        <v>1784</v>
      </c>
      <c r="F77" s="4">
        <v>3815</v>
      </c>
      <c r="G77">
        <f t="shared" si="9"/>
        <v>5.1590552992145291</v>
      </c>
      <c r="H77">
        <f t="shared" si="10"/>
        <v>3.8774315606585268</v>
      </c>
      <c r="I77">
        <f t="shared" si="11"/>
        <v>-0.18484377077756503</v>
      </c>
      <c r="J77">
        <f t="shared" si="12"/>
        <v>7.486613313139955</v>
      </c>
      <c r="K77" s="30">
        <v>1.9897</v>
      </c>
      <c r="M77">
        <f t="shared" si="17"/>
        <v>1.9914480571849476</v>
      </c>
      <c r="O77">
        <f t="shared" si="13"/>
        <v>8.2466959437185565</v>
      </c>
      <c r="P77">
        <f t="shared" si="14"/>
        <v>0.68886204104229487</v>
      </c>
      <c r="Q77">
        <f t="shared" si="15"/>
        <v>57.12085330044269</v>
      </c>
      <c r="T77">
        <f t="shared" si="16"/>
        <v>1914.6914418309116</v>
      </c>
    </row>
    <row r="78" spans="1:20" ht="15.75" x14ac:dyDescent="0.3">
      <c r="A78" s="20">
        <v>75</v>
      </c>
      <c r="B78" s="17">
        <v>174</v>
      </c>
      <c r="C78" s="3">
        <v>47.5</v>
      </c>
      <c r="D78" s="8">
        <v>0.79573762906309753</v>
      </c>
      <c r="E78" s="9">
        <v>2615</v>
      </c>
      <c r="F78" s="4">
        <v>4374</v>
      </c>
      <c r="G78">
        <f t="shared" si="9"/>
        <v>5.1590552992145291</v>
      </c>
      <c r="H78">
        <f t="shared" si="10"/>
        <v>3.8607297110405954</v>
      </c>
      <c r="I78">
        <f t="shared" si="11"/>
        <v>-0.22848575920141692</v>
      </c>
      <c r="J78">
        <f t="shared" si="12"/>
        <v>7.8690193764990228</v>
      </c>
      <c r="K78" s="30">
        <v>2.4460000000000002</v>
      </c>
      <c r="M78">
        <f t="shared" si="17"/>
        <v>2.418341743562801</v>
      </c>
      <c r="O78">
        <f t="shared" si="13"/>
        <v>8.3834332012367128</v>
      </c>
      <c r="P78">
        <f t="shared" si="14"/>
        <v>0.883082075358535</v>
      </c>
      <c r="Q78">
        <f t="shared" si="15"/>
        <v>56.255267011462045</v>
      </c>
      <c r="T78">
        <f t="shared" si="16"/>
        <v>1807.6773764058851</v>
      </c>
    </row>
    <row r="79" spans="1:20" ht="15.75" x14ac:dyDescent="0.3">
      <c r="A79" s="20">
        <v>76</v>
      </c>
      <c r="B79" s="17">
        <v>169</v>
      </c>
      <c r="C79" s="3">
        <v>46.200069761207317</v>
      </c>
      <c r="D79" s="8">
        <v>0.81640797824116051</v>
      </c>
      <c r="E79" s="9">
        <v>2206</v>
      </c>
      <c r="F79" s="4">
        <v>4161</v>
      </c>
      <c r="G79">
        <f t="shared" si="9"/>
        <v>5.1298987149230735</v>
      </c>
      <c r="H79">
        <f t="shared" si="10"/>
        <v>3.8329813080693955</v>
      </c>
      <c r="I79">
        <f t="shared" si="11"/>
        <v>-0.20284107562829787</v>
      </c>
      <c r="J79">
        <f t="shared" si="12"/>
        <v>7.6989361998134473</v>
      </c>
      <c r="K79" s="30">
        <v>2.14764883740115</v>
      </c>
      <c r="M79">
        <f t="shared" si="17"/>
        <v>2.1826316984879859</v>
      </c>
      <c r="O79">
        <f t="shared" si="13"/>
        <v>8.3335107089829421</v>
      </c>
      <c r="P79">
        <f t="shared" si="14"/>
        <v>0.78053134986087935</v>
      </c>
      <c r="Q79">
        <f t="shared" si="15"/>
        <v>57.047497199323921</v>
      </c>
      <c r="T79">
        <f t="shared" si="16"/>
        <v>1905.4141709673352</v>
      </c>
    </row>
    <row r="80" spans="1:20" ht="15.75" x14ac:dyDescent="0.3">
      <c r="A80" s="20">
        <v>78</v>
      </c>
      <c r="B80" s="17">
        <v>175</v>
      </c>
      <c r="C80" s="3">
        <v>50.2</v>
      </c>
      <c r="D80" s="8">
        <v>0.77762717770034839</v>
      </c>
      <c r="E80" s="9">
        <v>2870</v>
      </c>
      <c r="F80" s="4">
        <v>4633</v>
      </c>
      <c r="G80">
        <f t="shared" si="9"/>
        <v>5.1647859739235145</v>
      </c>
      <c r="H80">
        <f t="shared" si="10"/>
        <v>3.9160150266976834</v>
      </c>
      <c r="I80">
        <f t="shared" si="11"/>
        <v>-0.25150807570033801</v>
      </c>
      <c r="J80">
        <f t="shared" si="12"/>
        <v>7.9620673087536664</v>
      </c>
      <c r="K80" s="30">
        <v>2.4930187474406478</v>
      </c>
      <c r="M80">
        <f t="shared" si="17"/>
        <v>2.57757632183867</v>
      </c>
      <c r="O80">
        <f t="shared" si="13"/>
        <v>8.4409598854166479</v>
      </c>
      <c r="P80">
        <f t="shared" si="14"/>
        <v>0.94684954727123471</v>
      </c>
      <c r="Q80">
        <f t="shared" si="15"/>
        <v>56.161689760297961</v>
      </c>
      <c r="T80">
        <f t="shared" si="16"/>
        <v>1796.4249533356701</v>
      </c>
    </row>
    <row r="81" spans="1:20" ht="15.75" x14ac:dyDescent="0.3">
      <c r="A81" s="20">
        <v>79</v>
      </c>
      <c r="B81" s="17">
        <v>205</v>
      </c>
      <c r="C81" s="3">
        <v>47.6</v>
      </c>
      <c r="D81" s="8">
        <v>0.7799001584786055</v>
      </c>
      <c r="E81" s="9">
        <v>3786</v>
      </c>
      <c r="F81" s="4">
        <v>4618</v>
      </c>
      <c r="G81">
        <f t="shared" si="9"/>
        <v>5.3230099791384085</v>
      </c>
      <c r="H81">
        <f t="shared" si="10"/>
        <v>3.8628327612373745</v>
      </c>
      <c r="I81">
        <f t="shared" si="11"/>
        <v>-0.24858936944195423</v>
      </c>
      <c r="J81">
        <f t="shared" si="12"/>
        <v>8.2390653317692681</v>
      </c>
      <c r="K81" s="30">
        <v>3.1960000000000002</v>
      </c>
      <c r="M81">
        <f t="shared" si="17"/>
        <v>3.2380348665286514</v>
      </c>
      <c r="O81">
        <f t="shared" si="13"/>
        <v>8.4377169899144402</v>
      </c>
      <c r="P81">
        <f t="shared" si="14"/>
        <v>1.1749666231186098</v>
      </c>
      <c r="Q81">
        <f t="shared" si="15"/>
        <v>52.747542890392971</v>
      </c>
      <c r="T81">
        <f t="shared" si="16"/>
        <v>1425.1736486336067</v>
      </c>
    </row>
    <row r="82" spans="1:20" ht="15.75" x14ac:dyDescent="0.3">
      <c r="A82" s="20">
        <v>80</v>
      </c>
      <c r="B82" s="17">
        <v>165</v>
      </c>
      <c r="C82" s="3">
        <v>49.45</v>
      </c>
      <c r="D82" s="8">
        <v>0.81859073191566978</v>
      </c>
      <c r="E82" s="9">
        <v>3878</v>
      </c>
      <c r="F82" s="4">
        <v>4856</v>
      </c>
      <c r="G82">
        <f t="shared" si="9"/>
        <v>5.1059454739005803</v>
      </c>
      <c r="H82">
        <f t="shared" si="10"/>
        <v>3.9009620580687212</v>
      </c>
      <c r="I82">
        <f t="shared" si="11"/>
        <v>-0.2001710368598186</v>
      </c>
      <c r="J82">
        <f t="shared" si="12"/>
        <v>8.2630748358025965</v>
      </c>
      <c r="K82" s="30">
        <v>3.048</v>
      </c>
      <c r="M82">
        <f t="shared" si="17"/>
        <v>3.0471281287172096</v>
      </c>
      <c r="O82">
        <f t="shared" si="13"/>
        <v>8.4879703327393337</v>
      </c>
      <c r="P82">
        <f t="shared" si="14"/>
        <v>1.1141995498963613</v>
      </c>
      <c r="Q82">
        <f t="shared" si="15"/>
        <v>54.372495557908657</v>
      </c>
      <c r="T82">
        <f t="shared" si="16"/>
        <v>1592.6317066011579</v>
      </c>
    </row>
    <row r="83" spans="1:20" ht="15.75" x14ac:dyDescent="0.3">
      <c r="A83" s="20">
        <v>83</v>
      </c>
      <c r="B83" s="17">
        <v>165</v>
      </c>
      <c r="C83" s="3">
        <v>46.8</v>
      </c>
      <c r="D83" s="8">
        <v>0.81186086770028443</v>
      </c>
      <c r="E83" s="9">
        <v>1925</v>
      </c>
      <c r="F83" s="4">
        <v>3658</v>
      </c>
      <c r="G83">
        <f t="shared" si="9"/>
        <v>5.1059454739005803</v>
      </c>
      <c r="H83">
        <f t="shared" si="10"/>
        <v>3.8458832029236012</v>
      </c>
      <c r="I83">
        <f t="shared" si="11"/>
        <v>-0.20842629869841844</v>
      </c>
      <c r="J83">
        <f t="shared" si="12"/>
        <v>7.5626812467218842</v>
      </c>
      <c r="K83" s="30">
        <v>2.0635741274033896</v>
      </c>
      <c r="M83">
        <f t="shared" si="17"/>
        <v>2.0443769874135516</v>
      </c>
      <c r="O83">
        <f t="shared" si="13"/>
        <v>8.2046718289508114</v>
      </c>
      <c r="P83">
        <f t="shared" si="14"/>
        <v>0.71509309144751432</v>
      </c>
      <c r="Q83">
        <f t="shared" si="15"/>
        <v>56.09378966526149</v>
      </c>
      <c r="T83">
        <f t="shared" si="16"/>
        <v>1788.2981688411232</v>
      </c>
    </row>
    <row r="84" spans="1:20" ht="15.75" x14ac:dyDescent="0.3">
      <c r="A84" s="20">
        <v>84</v>
      </c>
      <c r="B84" s="17">
        <v>185</v>
      </c>
      <c r="C84" s="3">
        <v>45.82</v>
      </c>
      <c r="D84" s="8">
        <v>0.84594531668754847</v>
      </c>
      <c r="E84" s="9">
        <v>1573</v>
      </c>
      <c r="F84" s="4">
        <v>3515</v>
      </c>
      <c r="G84">
        <f t="shared" si="9"/>
        <v>5.2203558250783244</v>
      </c>
      <c r="H84">
        <f t="shared" si="10"/>
        <v>3.8247206770253497</v>
      </c>
      <c r="I84">
        <f t="shared" si="11"/>
        <v>-0.16730055895017334</v>
      </c>
      <c r="J84">
        <f t="shared" si="12"/>
        <v>7.3607399030582776</v>
      </c>
      <c r="K84" s="30">
        <v>1.8840719058200459</v>
      </c>
      <c r="M84">
        <f t="shared" si="17"/>
        <v>1.9000889857049381</v>
      </c>
      <c r="O84">
        <f t="shared" si="13"/>
        <v>8.1647948042447656</v>
      </c>
      <c r="P84">
        <f t="shared" si="14"/>
        <v>0.64190071965723638</v>
      </c>
      <c r="Q84">
        <f t="shared" si="15"/>
        <v>56.593935407922032</v>
      </c>
      <c r="T84">
        <f t="shared" si="16"/>
        <v>1848.9133600818836</v>
      </c>
    </row>
    <row r="85" spans="1:20" ht="15.75" x14ac:dyDescent="0.3">
      <c r="A85" s="20">
        <v>85</v>
      </c>
      <c r="B85" s="17">
        <v>190</v>
      </c>
      <c r="C85" s="3">
        <v>45.31</v>
      </c>
      <c r="D85" s="8">
        <v>0.8405067484662575</v>
      </c>
      <c r="E85" s="9">
        <v>1303</v>
      </c>
      <c r="F85" s="4">
        <v>3515</v>
      </c>
      <c r="G85">
        <f t="shared" si="9"/>
        <v>5.2470240721604862</v>
      </c>
      <c r="H85">
        <f t="shared" si="10"/>
        <v>3.8135277586790468</v>
      </c>
      <c r="I85">
        <f t="shared" si="11"/>
        <v>-0.17375029705652975</v>
      </c>
      <c r="J85">
        <f t="shared" si="12"/>
        <v>7.1724245771248452</v>
      </c>
      <c r="K85" s="30">
        <v>1.7521</v>
      </c>
      <c r="M85">
        <f t="shared" si="17"/>
        <v>1.7463340667475593</v>
      </c>
      <c r="O85">
        <f t="shared" si="13"/>
        <v>8.1647948042447656</v>
      </c>
      <c r="P85">
        <f t="shared" si="14"/>
        <v>0.5575187717316733</v>
      </c>
      <c r="Q85">
        <f t="shared" si="15"/>
        <v>57.870648634848138</v>
      </c>
      <c r="T85">
        <f t="shared" si="16"/>
        <v>2011.7878548154724</v>
      </c>
    </row>
    <row r="86" spans="1:20" ht="15.75" x14ac:dyDescent="0.3">
      <c r="A86" s="20">
        <v>86</v>
      </c>
      <c r="B86" s="17">
        <v>171</v>
      </c>
      <c r="C86" s="3">
        <v>47.73</v>
      </c>
      <c r="D86" s="8">
        <v>0.82248795518505935</v>
      </c>
      <c r="E86" s="9">
        <v>3198</v>
      </c>
      <c r="F86" s="4">
        <v>4815</v>
      </c>
      <c r="G86">
        <f t="shared" si="9"/>
        <v>5.1416635565026603</v>
      </c>
      <c r="H86">
        <f t="shared" si="10"/>
        <v>3.8655601310178049</v>
      </c>
      <c r="I86">
        <f t="shared" si="11"/>
        <v>-0.19542144060174027</v>
      </c>
      <c r="J86">
        <f t="shared" si="12"/>
        <v>8.0702808933938996</v>
      </c>
      <c r="K86" s="30">
        <v>2.7440000000000002</v>
      </c>
      <c r="M86">
        <f t="shared" si="17"/>
        <v>2.6981135143335058</v>
      </c>
      <c r="O86">
        <f t="shared" si="13"/>
        <v>8.4794913242322263</v>
      </c>
      <c r="P86">
        <f t="shared" si="14"/>
        <v>0.99255283041180564</v>
      </c>
      <c r="Q86">
        <f t="shared" si="15"/>
        <v>56.054248010249985</v>
      </c>
      <c r="T86">
        <f t="shared" si="16"/>
        <v>1783.5802166664632</v>
      </c>
    </row>
    <row r="87" spans="1:20" ht="15.75" x14ac:dyDescent="0.3">
      <c r="A87" s="20">
        <v>88</v>
      </c>
      <c r="B87" s="17">
        <v>169</v>
      </c>
      <c r="C87" s="3">
        <v>47.84</v>
      </c>
      <c r="D87" s="8">
        <v>0.80864126002039083</v>
      </c>
      <c r="E87" s="9">
        <v>3019.0898226608274</v>
      </c>
      <c r="F87" s="4">
        <v>4735</v>
      </c>
      <c r="G87">
        <f t="shared" ref="G87:G118" si="18">LN(B87)</f>
        <v>5.1298987149230735</v>
      </c>
      <c r="H87">
        <f t="shared" ref="H87:H118" si="19">LN(C87)</f>
        <v>3.8678621096423762</v>
      </c>
      <c r="I87">
        <f t="shared" ref="I87:I118" si="20">LN(D87)</f>
        <v>-0.21239989658656028</v>
      </c>
      <c r="J87">
        <f t="shared" ref="J87:J118" si="21">LN(E87)</f>
        <v>8.012710681718973</v>
      </c>
      <c r="K87" s="30">
        <v>2.6800771815122393</v>
      </c>
      <c r="M87">
        <f t="shared" si="17"/>
        <v>2.5965205318696927</v>
      </c>
      <c r="O87">
        <f t="shared" ref="O87:O118" si="22">LN(F87)</f>
        <v>8.4627370056201787</v>
      </c>
      <c r="P87">
        <f t="shared" ref="P87:P118" si="23">LN(M87)</f>
        <v>0.95417229178866636</v>
      </c>
      <c r="Q87">
        <f t="shared" ref="Q87:Q118" si="24">(O87-P87)^2</f>
        <v>56.378544061795708</v>
      </c>
      <c r="T87">
        <f t="shared" ref="T87:T118" si="25">ABS((F87-M87)/M87)</f>
        <v>1822.5942839205816</v>
      </c>
    </row>
    <row r="88" spans="1:20" ht="15.75" x14ac:dyDescent="0.3">
      <c r="A88" s="20">
        <v>91</v>
      </c>
      <c r="B88" s="17">
        <v>148</v>
      </c>
      <c r="C88" s="3">
        <v>44.8</v>
      </c>
      <c r="D88" s="8">
        <v>0.88665790947270184</v>
      </c>
      <c r="E88" s="9">
        <v>2143</v>
      </c>
      <c r="F88" s="4">
        <v>4498</v>
      </c>
      <c r="G88">
        <f t="shared" si="18"/>
        <v>4.9972122737641147</v>
      </c>
      <c r="H88">
        <f t="shared" si="19"/>
        <v>3.8022081394209395</v>
      </c>
      <c r="I88">
        <f t="shared" si="20"/>
        <v>-0.12029604245782206</v>
      </c>
      <c r="J88">
        <f t="shared" si="21"/>
        <v>7.6699619954735772</v>
      </c>
      <c r="K88" s="30">
        <v>2.0310990912762636</v>
      </c>
      <c r="M88">
        <f t="shared" si="17"/>
        <v>2.0641907670311261</v>
      </c>
      <c r="O88">
        <f t="shared" si="22"/>
        <v>8.4113881325192619</v>
      </c>
      <c r="P88">
        <f t="shared" si="23"/>
        <v>0.72473826923548068</v>
      </c>
      <c r="Q88">
        <f t="shared" si="24"/>
        <v>59.084586120720573</v>
      </c>
      <c r="T88">
        <f t="shared" si="25"/>
        <v>2178.0621641377461</v>
      </c>
    </row>
    <row r="89" spans="1:20" ht="15.75" x14ac:dyDescent="0.3">
      <c r="A89" s="20">
        <v>92</v>
      </c>
      <c r="B89" s="17">
        <v>154</v>
      </c>
      <c r="C89" s="3">
        <v>44.91</v>
      </c>
      <c r="D89" s="8">
        <v>0.83274397003745326</v>
      </c>
      <c r="E89" s="9">
        <v>1335</v>
      </c>
      <c r="F89" s="4">
        <v>3365</v>
      </c>
      <c r="G89">
        <f t="shared" si="18"/>
        <v>5.0369526024136295</v>
      </c>
      <c r="H89">
        <f t="shared" si="19"/>
        <v>3.8046604870996465</v>
      </c>
      <c r="I89">
        <f t="shared" si="20"/>
        <v>-0.18302904295833708</v>
      </c>
      <c r="J89">
        <f t="shared" si="21"/>
        <v>7.1966865708343501</v>
      </c>
      <c r="K89" s="30">
        <v>1.6715649852853085</v>
      </c>
      <c r="M89">
        <f t="shared" si="17"/>
        <v>1.7030178522344792</v>
      </c>
      <c r="O89">
        <f t="shared" si="22"/>
        <v>8.1211832420788284</v>
      </c>
      <c r="P89">
        <f t="shared" si="23"/>
        <v>0.53240188444092063</v>
      </c>
      <c r="Q89">
        <f t="shared" si="24"/>
        <v>57.589602494032647</v>
      </c>
      <c r="T89">
        <f t="shared" si="25"/>
        <v>1974.9041254822334</v>
      </c>
    </row>
    <row r="90" spans="1:20" ht="15.75" x14ac:dyDescent="0.3">
      <c r="A90" s="20">
        <v>93</v>
      </c>
      <c r="B90" s="17">
        <v>159</v>
      </c>
      <c r="C90" s="3">
        <v>46.47</v>
      </c>
      <c r="D90" s="8">
        <v>0.83111498405951112</v>
      </c>
      <c r="E90" s="9">
        <v>1882</v>
      </c>
      <c r="F90" s="4">
        <v>3955</v>
      </c>
      <c r="G90">
        <f t="shared" si="18"/>
        <v>5.0689042022202315</v>
      </c>
      <c r="H90">
        <f t="shared" si="19"/>
        <v>3.8388069430968867</v>
      </c>
      <c r="I90">
        <f t="shared" si="20"/>
        <v>-0.1849871253960387</v>
      </c>
      <c r="J90">
        <f t="shared" si="21"/>
        <v>7.5400903201453247</v>
      </c>
      <c r="K90" s="30">
        <v>1.9730000000000001</v>
      </c>
      <c r="M90">
        <f t="shared" si="17"/>
        <v>1.9881542371453997</v>
      </c>
      <c r="O90">
        <f t="shared" si="22"/>
        <v>8.2827358802017539</v>
      </c>
      <c r="P90">
        <f t="shared" si="23"/>
        <v>0.68720668930205631</v>
      </c>
      <c r="Q90">
        <f t="shared" si="24"/>
        <v>57.692063689809416</v>
      </c>
      <c r="T90">
        <f t="shared" si="25"/>
        <v>1988.2822830881601</v>
      </c>
    </row>
    <row r="91" spans="1:20" ht="15.75" x14ac:dyDescent="0.3">
      <c r="A91" s="20">
        <v>94</v>
      </c>
      <c r="B91" s="17">
        <v>148</v>
      </c>
      <c r="C91" s="3">
        <v>44.56</v>
      </c>
      <c r="D91" s="8">
        <v>0.88824140253969686</v>
      </c>
      <c r="E91" s="9">
        <v>2038</v>
      </c>
      <c r="F91" s="4">
        <v>4349</v>
      </c>
      <c r="G91">
        <f t="shared" si="18"/>
        <v>4.9972122737641147</v>
      </c>
      <c r="H91">
        <f t="shared" si="19"/>
        <v>3.7968365956190286</v>
      </c>
      <c r="I91">
        <f t="shared" si="20"/>
        <v>-0.11851172322753732</v>
      </c>
      <c r="J91">
        <f t="shared" si="21"/>
        <v>7.6197242137826704</v>
      </c>
      <c r="K91" s="30">
        <v>2.0019999999999998</v>
      </c>
      <c r="M91">
        <f t="shared" si="17"/>
        <v>2.0181707327370502</v>
      </c>
      <c r="O91">
        <f t="shared" si="22"/>
        <v>8.3777012125976391</v>
      </c>
      <c r="P91">
        <f t="shared" si="23"/>
        <v>0.70219152327682965</v>
      </c>
      <c r="Q91">
        <f t="shared" si="24"/>
        <v>58.913448990857624</v>
      </c>
      <c r="T91">
        <f t="shared" si="25"/>
        <v>2153.9217464381077</v>
      </c>
    </row>
    <row r="92" spans="1:20" ht="15.75" x14ac:dyDescent="0.3">
      <c r="A92" s="20">
        <v>95</v>
      </c>
      <c r="B92" s="17">
        <v>154</v>
      </c>
      <c r="C92" s="3">
        <v>45.09</v>
      </c>
      <c r="D92" s="8">
        <v>0.84009799161896836</v>
      </c>
      <c r="E92" s="9">
        <v>1759</v>
      </c>
      <c r="F92" s="4">
        <v>3915</v>
      </c>
      <c r="G92">
        <f t="shared" si="18"/>
        <v>5.0369526024136295</v>
      </c>
      <c r="H92">
        <f t="shared" si="19"/>
        <v>3.8086604924329928</v>
      </c>
      <c r="I92">
        <f t="shared" si="20"/>
        <v>-0.17423673725939212</v>
      </c>
      <c r="J92">
        <f t="shared" si="21"/>
        <v>7.472500744737558</v>
      </c>
      <c r="K92" s="30">
        <v>1.8997852987184269</v>
      </c>
      <c r="M92">
        <f t="shared" si="17"/>
        <v>1.9084215617881046</v>
      </c>
      <c r="O92">
        <f t="shared" si="22"/>
        <v>8.2725706084249033</v>
      </c>
      <c r="P92">
        <f t="shared" si="23"/>
        <v>0.64627649295487832</v>
      </c>
      <c r="Q92">
        <f t="shared" si="24"/>
        <v>58.160361935652737</v>
      </c>
      <c r="T92">
        <f t="shared" si="25"/>
        <v>2050.4335398368808</v>
      </c>
    </row>
    <row r="93" spans="1:20" ht="15.75" x14ac:dyDescent="0.3">
      <c r="A93" s="20">
        <v>96</v>
      </c>
      <c r="B93" s="17">
        <v>162</v>
      </c>
      <c r="C93" s="3">
        <v>47.21</v>
      </c>
      <c r="D93" s="8">
        <v>0.84338973647711524</v>
      </c>
      <c r="E93" s="9">
        <v>2163</v>
      </c>
      <c r="F93" s="4">
        <v>4133</v>
      </c>
      <c r="G93">
        <f t="shared" si="18"/>
        <v>5.0875963352323836</v>
      </c>
      <c r="H93">
        <f t="shared" si="19"/>
        <v>3.8546057345581954</v>
      </c>
      <c r="I93">
        <f t="shared" si="20"/>
        <v>-0.17032610696696809</v>
      </c>
      <c r="J93">
        <f t="shared" si="21"/>
        <v>7.6792514259530584</v>
      </c>
      <c r="K93" s="30">
        <v>2.1421000000000001</v>
      </c>
      <c r="M93">
        <f t="shared" si="17"/>
        <v>2.1437482013281239</v>
      </c>
      <c r="O93">
        <f t="shared" si="22"/>
        <v>8.3267588145117326</v>
      </c>
      <c r="P93">
        <f t="shared" si="23"/>
        <v>0.76255579290114828</v>
      </c>
      <c r="Q93">
        <f t="shared" si="24"/>
        <v>57.217167352142695</v>
      </c>
      <c r="T93">
        <f t="shared" si="25"/>
        <v>1926.9316467481899</v>
      </c>
    </row>
    <row r="94" spans="1:20" ht="15.75" x14ac:dyDescent="0.3">
      <c r="A94" s="20">
        <v>97</v>
      </c>
      <c r="B94" s="17">
        <v>162</v>
      </c>
      <c r="C94" s="3">
        <v>47.8</v>
      </c>
      <c r="D94" s="8">
        <v>0.80202568367570037</v>
      </c>
      <c r="E94" s="9">
        <v>2369</v>
      </c>
      <c r="F94" s="4">
        <v>4397</v>
      </c>
      <c r="G94">
        <f t="shared" si="18"/>
        <v>5.0875963352323836</v>
      </c>
      <c r="H94">
        <f t="shared" si="19"/>
        <v>3.8670256394974101</v>
      </c>
      <c r="I94">
        <f t="shared" si="20"/>
        <v>-0.22061464709510473</v>
      </c>
      <c r="J94">
        <f t="shared" si="21"/>
        <v>7.7702232041587855</v>
      </c>
      <c r="K94" s="30">
        <v>2.2797000000000001</v>
      </c>
      <c r="M94">
        <f t="shared" si="17"/>
        <v>2.239393031830379</v>
      </c>
      <c r="O94">
        <f t="shared" si="22"/>
        <v>8.388677769180811</v>
      </c>
      <c r="P94">
        <f t="shared" si="23"/>
        <v>0.8062048612156385</v>
      </c>
      <c r="Q94">
        <f t="shared" si="24"/>
        <v>57.493895400025821</v>
      </c>
      <c r="T94">
        <f t="shared" si="25"/>
        <v>1962.4784682732045</v>
      </c>
    </row>
    <row r="95" spans="1:20" ht="15.75" x14ac:dyDescent="0.3">
      <c r="A95" s="20">
        <v>100</v>
      </c>
      <c r="B95" s="1">
        <v>165</v>
      </c>
      <c r="C95" s="6">
        <v>47.27</v>
      </c>
      <c r="D95" s="8">
        <v>0.83708334249218064</v>
      </c>
      <c r="E95" s="10">
        <v>2453</v>
      </c>
      <c r="F95" s="1">
        <v>4257</v>
      </c>
      <c r="G95">
        <f t="shared" si="18"/>
        <v>5.1059454739005803</v>
      </c>
      <c r="H95">
        <f t="shared" si="19"/>
        <v>3.8558758448051451</v>
      </c>
      <c r="I95">
        <f t="shared" si="20"/>
        <v>-0.17783164057972209</v>
      </c>
      <c r="J95">
        <f t="shared" si="21"/>
        <v>7.8050670442584895</v>
      </c>
      <c r="K95" s="30">
        <v>2.3198206028112054</v>
      </c>
      <c r="M95">
        <f t="shared" si="17"/>
        <v>2.3037214445047702</v>
      </c>
      <c r="O95">
        <f t="shared" si="22"/>
        <v>8.3563199658281526</v>
      </c>
      <c r="P95">
        <f t="shared" si="23"/>
        <v>0.83452583470196884</v>
      </c>
      <c r="Q95">
        <f t="shared" si="24"/>
        <v>56.577386951044296</v>
      </c>
      <c r="T95">
        <f t="shared" si="25"/>
        <v>1846.8796601709478</v>
      </c>
    </row>
    <row r="96" spans="1:20" ht="15.75" x14ac:dyDescent="0.3">
      <c r="A96" s="20">
        <v>101</v>
      </c>
      <c r="B96" s="1">
        <v>158</v>
      </c>
      <c r="C96" s="6">
        <v>47.86</v>
      </c>
      <c r="D96" s="8">
        <v>0.82586756361566482</v>
      </c>
      <c r="E96" s="9">
        <v>2179.0347581216583</v>
      </c>
      <c r="F96" s="1">
        <v>4127</v>
      </c>
      <c r="G96">
        <f t="shared" si="18"/>
        <v>5.0625950330269669</v>
      </c>
      <c r="H96">
        <f t="shared" si="19"/>
        <v>3.868280082480227</v>
      </c>
      <c r="I96">
        <f t="shared" si="20"/>
        <v>-0.19132085292185863</v>
      </c>
      <c r="J96">
        <f t="shared" si="21"/>
        <v>7.6866372862270618</v>
      </c>
      <c r="K96" s="30">
        <v>2.14110065649654</v>
      </c>
      <c r="M96">
        <f t="shared" si="17"/>
        <v>2.1411020314146452</v>
      </c>
      <c r="O96">
        <f t="shared" si="22"/>
        <v>8.325306029752582</v>
      </c>
      <c r="P96">
        <f t="shared" si="23"/>
        <v>0.7613206644340379</v>
      </c>
      <c r="Q96">
        <f t="shared" si="24"/>
        <v>57.213874606753109</v>
      </c>
      <c r="T96">
        <f t="shared" si="25"/>
        <v>1926.5120659585077</v>
      </c>
    </row>
    <row r="97" spans="1:20" ht="15.75" x14ac:dyDescent="0.3">
      <c r="A97" s="20">
        <v>102</v>
      </c>
      <c r="B97" s="1">
        <v>143</v>
      </c>
      <c r="C97" s="6">
        <v>47.09</v>
      </c>
      <c r="D97" s="8">
        <v>0.80344012511170682</v>
      </c>
      <c r="E97" s="10">
        <v>2238</v>
      </c>
      <c r="F97" s="1">
        <v>4503</v>
      </c>
      <c r="G97">
        <f t="shared" si="18"/>
        <v>4.962844630259907</v>
      </c>
      <c r="H97">
        <f t="shared" si="19"/>
        <v>3.8520606642554633</v>
      </c>
      <c r="I97">
        <f t="shared" si="20"/>
        <v>-0.21885261417702825</v>
      </c>
      <c r="J97">
        <f t="shared" si="21"/>
        <v>7.7133378888718704</v>
      </c>
      <c r="K97" s="31">
        <v>2.1539999999999999</v>
      </c>
      <c r="M97">
        <f t="shared" si="17"/>
        <v>2.0918667373626447</v>
      </c>
      <c r="O97">
        <f t="shared" si="22"/>
        <v>8.4124991203015718</v>
      </c>
      <c r="P97">
        <f t="shared" si="23"/>
        <v>0.73805684310419573</v>
      </c>
      <c r="Q97">
        <f t="shared" si="24"/>
        <v>58.897064266034448</v>
      </c>
      <c r="T97">
        <f t="shared" si="25"/>
        <v>2151.6227840293645</v>
      </c>
    </row>
    <row r="98" spans="1:20" ht="15.75" x14ac:dyDescent="0.3">
      <c r="A98" s="20">
        <v>103</v>
      </c>
      <c r="B98" s="1">
        <v>135</v>
      </c>
      <c r="C98" s="6">
        <v>44.46</v>
      </c>
      <c r="D98" s="8">
        <v>0.84994320263829215</v>
      </c>
      <c r="E98" s="10">
        <v>1973</v>
      </c>
      <c r="F98" s="1">
        <v>4335</v>
      </c>
      <c r="G98">
        <f t="shared" si="18"/>
        <v>4.9052747784384296</v>
      </c>
      <c r="H98">
        <f t="shared" si="19"/>
        <v>3.7945899085360506</v>
      </c>
      <c r="I98">
        <f t="shared" si="20"/>
        <v>-0.16258575215589766</v>
      </c>
      <c r="J98">
        <f t="shared" si="21"/>
        <v>7.5873105060226154</v>
      </c>
      <c r="K98" s="30">
        <v>2.0062134571101491</v>
      </c>
      <c r="M98">
        <f t="shared" si="17"/>
        <v>1.9413983452439689</v>
      </c>
      <c r="O98">
        <f t="shared" si="22"/>
        <v>8.3744768892146428</v>
      </c>
      <c r="P98">
        <f t="shared" si="23"/>
        <v>0.6634085099436986</v>
      </c>
      <c r="Q98">
        <f t="shared" si="24"/>
        <v>59.460575549792232</v>
      </c>
      <c r="T98">
        <f t="shared" si="25"/>
        <v>2231.9265967594274</v>
      </c>
    </row>
    <row r="99" spans="1:20" ht="15.75" x14ac:dyDescent="0.3">
      <c r="A99" s="20">
        <v>104</v>
      </c>
      <c r="B99" s="1">
        <v>159</v>
      </c>
      <c r="C99" s="15">
        <v>43.6</v>
      </c>
      <c r="D99" s="13">
        <v>0.89081440935686729</v>
      </c>
      <c r="E99" s="11">
        <v>1315</v>
      </c>
      <c r="F99" s="11">
        <v>2900</v>
      </c>
      <c r="G99">
        <f t="shared" si="18"/>
        <v>5.0689042022202315</v>
      </c>
      <c r="H99">
        <f t="shared" si="19"/>
        <v>3.7750571503549888</v>
      </c>
      <c r="I99">
        <f t="shared" si="20"/>
        <v>-0.11561916798113434</v>
      </c>
      <c r="J99">
        <f t="shared" si="21"/>
        <v>7.1815919446118652</v>
      </c>
      <c r="K99" s="13">
        <v>1.6970000000000001</v>
      </c>
      <c r="M99">
        <f t="shared" si="17"/>
        <v>1.7257636451966465</v>
      </c>
      <c r="O99">
        <f t="shared" si="22"/>
        <v>7.9724660159745655</v>
      </c>
      <c r="P99">
        <f t="shared" si="23"/>
        <v>0.54566964539136631</v>
      </c>
      <c r="Q99">
        <f t="shared" si="24"/>
        <v>55.157304330107777</v>
      </c>
      <c r="T99">
        <f t="shared" si="25"/>
        <v>1679.4155123279074</v>
      </c>
    </row>
    <row r="100" spans="1:20" ht="15.75" x14ac:dyDescent="0.3">
      <c r="A100" s="20">
        <v>105</v>
      </c>
      <c r="B100" s="1">
        <v>163</v>
      </c>
      <c r="C100" s="16">
        <v>47.771298521831739</v>
      </c>
      <c r="D100" s="13">
        <v>0.78564357945546592</v>
      </c>
      <c r="E100" s="11">
        <v>1883.8370124237647</v>
      </c>
      <c r="F100" s="11">
        <v>3584.9960000000001</v>
      </c>
      <c r="G100">
        <f t="shared" si="18"/>
        <v>5.0937502008067623</v>
      </c>
      <c r="H100">
        <f t="shared" si="19"/>
        <v>3.8664250098214503</v>
      </c>
      <c r="I100">
        <f t="shared" si="20"/>
        <v>-0.24125205065016408</v>
      </c>
      <c r="J100">
        <f t="shared" si="21"/>
        <v>7.5410659399416229</v>
      </c>
      <c r="K100" s="13">
        <v>1.99739661192361</v>
      </c>
      <c r="M100">
        <f t="shared" si="17"/>
        <v>2.0220024307915851</v>
      </c>
      <c r="O100">
        <f t="shared" si="22"/>
        <v>8.1845126372729862</v>
      </c>
      <c r="P100">
        <f t="shared" si="23"/>
        <v>0.70408832276945876</v>
      </c>
      <c r="Q100">
        <f t="shared" si="24"/>
        <v>55.95674792501557</v>
      </c>
      <c r="T100">
        <f t="shared" si="25"/>
        <v>1771.992922959309</v>
      </c>
    </row>
    <row r="101" spans="1:20" ht="15.75" x14ac:dyDescent="0.3">
      <c r="A101" s="20">
        <v>106</v>
      </c>
      <c r="B101" s="1">
        <v>157</v>
      </c>
      <c r="C101" s="15">
        <v>40.200000000000003</v>
      </c>
      <c r="D101" s="13">
        <v>0.85875487465181055</v>
      </c>
      <c r="E101" s="11">
        <v>1077</v>
      </c>
      <c r="F101" s="11">
        <v>3313</v>
      </c>
      <c r="G101">
        <f t="shared" si="18"/>
        <v>5.0562458053483077</v>
      </c>
      <c r="H101">
        <f t="shared" si="19"/>
        <v>3.6938669956249757</v>
      </c>
      <c r="I101">
        <f t="shared" si="20"/>
        <v>-0.15227175901125453</v>
      </c>
      <c r="J101">
        <f t="shared" si="21"/>
        <v>6.9819346771563886</v>
      </c>
      <c r="K101" s="13">
        <v>1.5429999999999999</v>
      </c>
      <c r="M101">
        <f t="shared" si="17"/>
        <v>1.5814881165389758</v>
      </c>
      <c r="O101">
        <f t="shared" si="22"/>
        <v>8.1056094022998959</v>
      </c>
      <c r="P101">
        <f t="shared" si="23"/>
        <v>0.45836624969105882</v>
      </c>
      <c r="Q101">
        <f t="shared" si="24"/>
        <v>58.480327835122743</v>
      </c>
      <c r="T101">
        <f t="shared" si="25"/>
        <v>2093.8624054478319</v>
      </c>
    </row>
    <row r="102" spans="1:20" ht="15.75" x14ac:dyDescent="0.3">
      <c r="A102" s="20">
        <v>107</v>
      </c>
      <c r="B102" s="1">
        <v>151</v>
      </c>
      <c r="C102" s="15">
        <v>40.700000000000003</v>
      </c>
      <c r="D102" s="13">
        <v>0.89849999999999997</v>
      </c>
      <c r="E102" s="11">
        <v>828</v>
      </c>
      <c r="F102" s="11">
        <v>2551</v>
      </c>
      <c r="G102">
        <f t="shared" si="18"/>
        <v>5.0172798368149243</v>
      </c>
      <c r="H102">
        <f t="shared" si="19"/>
        <v>3.7062280924485496</v>
      </c>
      <c r="I102">
        <f t="shared" si="20"/>
        <v>-0.10702857275852336</v>
      </c>
      <c r="J102">
        <f t="shared" si="21"/>
        <v>6.7190131543852596</v>
      </c>
      <c r="K102" s="13">
        <v>1.427</v>
      </c>
      <c r="M102">
        <f t="shared" si="17"/>
        <v>1.4537870916223017</v>
      </c>
      <c r="O102">
        <f t="shared" si="22"/>
        <v>7.844240718141811</v>
      </c>
      <c r="P102">
        <f t="shared" si="23"/>
        <v>0.37417193896879297</v>
      </c>
      <c r="Q102">
        <f t="shared" si="24"/>
        <v>55.801927565575461</v>
      </c>
      <c r="T102">
        <f t="shared" si="25"/>
        <v>1753.7273701221977</v>
      </c>
    </row>
    <row r="103" spans="1:20" ht="15.75" x14ac:dyDescent="0.3">
      <c r="A103" s="20">
        <v>108</v>
      </c>
      <c r="B103" s="1">
        <v>153</v>
      </c>
      <c r="C103" s="15">
        <v>39.299999999999997</v>
      </c>
      <c r="D103" s="14">
        <v>0.87901334951456311</v>
      </c>
      <c r="E103" s="11">
        <v>824</v>
      </c>
      <c r="F103" s="11">
        <v>2528</v>
      </c>
      <c r="G103">
        <f t="shared" si="18"/>
        <v>5.0304379213924353</v>
      </c>
      <c r="H103">
        <f t="shared" si="19"/>
        <v>3.6712245188752153</v>
      </c>
      <c r="I103">
        <f t="shared" si="20"/>
        <v>-0.12895519425123364</v>
      </c>
      <c r="J103">
        <f t="shared" si="21"/>
        <v>6.7141705299094721</v>
      </c>
      <c r="K103" s="13">
        <v>1.45</v>
      </c>
      <c r="M103">
        <f t="shared" si="17"/>
        <v>1.4606475090869873</v>
      </c>
      <c r="O103">
        <f t="shared" si="22"/>
        <v>7.8351837552667485</v>
      </c>
      <c r="P103">
        <f t="shared" si="23"/>
        <v>0.3788798367781141</v>
      </c>
      <c r="Q103">
        <f t="shared" si="24"/>
        <v>55.59646812486897</v>
      </c>
      <c r="T103">
        <f t="shared" si="25"/>
        <v>1729.7392675322378</v>
      </c>
    </row>
    <row r="104" spans="1:20" ht="15.75" x14ac:dyDescent="0.3">
      <c r="A104" s="20">
        <v>109</v>
      </c>
      <c r="B104" s="1">
        <v>153</v>
      </c>
      <c r="C104" s="15">
        <v>42.6</v>
      </c>
      <c r="D104" s="14">
        <v>0.86815831435079716</v>
      </c>
      <c r="E104" s="11">
        <v>878</v>
      </c>
      <c r="F104" s="11">
        <v>2562</v>
      </c>
      <c r="G104">
        <f t="shared" si="18"/>
        <v>5.0304379213924353</v>
      </c>
      <c r="H104">
        <f t="shared" si="19"/>
        <v>3.751854253275325</v>
      </c>
      <c r="I104">
        <f t="shared" si="20"/>
        <v>-0.14138119114771935</v>
      </c>
      <c r="J104">
        <f t="shared" si="21"/>
        <v>6.7776465936351169</v>
      </c>
      <c r="K104" s="13">
        <v>1.4550000000000001</v>
      </c>
      <c r="M104">
        <f t="shared" si="17"/>
        <v>1.4785516753598136</v>
      </c>
      <c r="O104">
        <f t="shared" si="22"/>
        <v>7.8485434824566793</v>
      </c>
      <c r="P104">
        <f t="shared" si="23"/>
        <v>0.39106301090679424</v>
      </c>
      <c r="Q104">
        <f t="shared" si="24"/>
        <v>55.614014983547889</v>
      </c>
      <c r="T104">
        <f t="shared" si="25"/>
        <v>1731.7767724969931</v>
      </c>
    </row>
    <row r="105" spans="1:20" ht="15.75" x14ac:dyDescent="0.3">
      <c r="A105" s="20">
        <v>110</v>
      </c>
      <c r="B105" s="1">
        <v>170</v>
      </c>
      <c r="C105" s="16">
        <v>38.33</v>
      </c>
      <c r="D105" s="14">
        <v>0.98686008676789583</v>
      </c>
      <c r="E105" s="12">
        <v>461</v>
      </c>
      <c r="F105" s="11">
        <v>1714.9959999999999</v>
      </c>
      <c r="G105">
        <f t="shared" si="18"/>
        <v>5.1357984370502621</v>
      </c>
      <c r="H105">
        <f t="shared" si="19"/>
        <v>3.6462328793924637</v>
      </c>
      <c r="I105">
        <f t="shared" si="20"/>
        <v>-1.3227005657891307E-2</v>
      </c>
      <c r="J105">
        <f t="shared" si="21"/>
        <v>6.1333980429966486</v>
      </c>
      <c r="K105" s="13">
        <v>1.2956000000000001</v>
      </c>
      <c r="M105">
        <f t="shared" si="17"/>
        <v>1.2925190762780285</v>
      </c>
      <c r="O105">
        <f t="shared" si="22"/>
        <v>7.447166027235804</v>
      </c>
      <c r="P105">
        <f t="shared" si="23"/>
        <v>0.25659308650083751</v>
      </c>
      <c r="Q105">
        <f t="shared" si="24"/>
        <v>51.704339216029908</v>
      </c>
      <c r="T105">
        <f t="shared" si="25"/>
        <v>1325.8632018480894</v>
      </c>
    </row>
    <row r="106" spans="1:20" ht="15.75" x14ac:dyDescent="0.3">
      <c r="A106" s="20">
        <v>111</v>
      </c>
      <c r="B106" s="1">
        <v>165</v>
      </c>
      <c r="C106" s="16">
        <v>37.9</v>
      </c>
      <c r="D106" s="14">
        <v>0.9594061224489796</v>
      </c>
      <c r="E106" s="12">
        <v>441</v>
      </c>
      <c r="F106" s="11">
        <v>1614.9959999999999</v>
      </c>
      <c r="G106">
        <f t="shared" si="18"/>
        <v>5.1059454739005803</v>
      </c>
      <c r="H106">
        <f t="shared" si="19"/>
        <v>3.6349511120883808</v>
      </c>
      <c r="I106">
        <f t="shared" si="20"/>
        <v>-4.144080839505284E-2</v>
      </c>
      <c r="J106">
        <f t="shared" si="21"/>
        <v>6.089044875446846</v>
      </c>
      <c r="K106" s="13">
        <v>1.2822</v>
      </c>
      <c r="M106">
        <f t="shared" si="17"/>
        <v>1.2826993873259771</v>
      </c>
      <c r="O106">
        <f t="shared" si="22"/>
        <v>7.3870877588735038</v>
      </c>
      <c r="P106">
        <f t="shared" si="23"/>
        <v>0.24896675367950394</v>
      </c>
      <c r="Q106">
        <f t="shared" si="24"/>
        <v>50.952771484791796</v>
      </c>
      <c r="T106">
        <f t="shared" si="25"/>
        <v>1258.0603971260609</v>
      </c>
    </row>
    <row r="107" spans="1:20" ht="15.75" x14ac:dyDescent="0.3">
      <c r="A107" s="20">
        <v>112</v>
      </c>
      <c r="B107" s="1">
        <v>151</v>
      </c>
      <c r="C107" s="15">
        <v>44.7</v>
      </c>
      <c r="D107" s="14">
        <v>0.83362575680739615</v>
      </c>
      <c r="E107" s="11">
        <v>1428</v>
      </c>
      <c r="F107" s="11">
        <v>3575</v>
      </c>
      <c r="G107">
        <f t="shared" si="18"/>
        <v>5.0172798368149243</v>
      </c>
      <c r="H107">
        <f t="shared" si="19"/>
        <v>3.7999735016195233</v>
      </c>
      <c r="I107">
        <f t="shared" si="20"/>
        <v>-0.18197071017895133</v>
      </c>
      <c r="J107">
        <f t="shared" si="21"/>
        <v>7.2640301428995295</v>
      </c>
      <c r="K107" s="13">
        <v>1.712</v>
      </c>
      <c r="M107">
        <f t="shared" si="17"/>
        <v>1.7388878321479426</v>
      </c>
      <c r="O107">
        <f t="shared" si="22"/>
        <v>8.181720455128108</v>
      </c>
      <c r="P107">
        <f t="shared" si="23"/>
        <v>0.55324573193930981</v>
      </c>
      <c r="Q107">
        <f t="shared" si="24"/>
        <v>58.193626602330411</v>
      </c>
      <c r="T107">
        <f t="shared" si="25"/>
        <v>2054.9117925300675</v>
      </c>
    </row>
    <row r="108" spans="1:20" ht="15.75" x14ac:dyDescent="0.3">
      <c r="A108" s="20">
        <v>113</v>
      </c>
      <c r="B108" s="1">
        <v>161</v>
      </c>
      <c r="C108" s="15">
        <v>43.6</v>
      </c>
      <c r="D108" s="14">
        <v>0.85542971530249112</v>
      </c>
      <c r="E108" s="11">
        <v>1124</v>
      </c>
      <c r="F108" s="11">
        <v>3131</v>
      </c>
      <c r="G108">
        <f t="shared" si="18"/>
        <v>5.0814043649844631</v>
      </c>
      <c r="H108">
        <f t="shared" si="19"/>
        <v>3.7750571503549888</v>
      </c>
      <c r="I108">
        <f t="shared" si="20"/>
        <v>-0.15615134530486452</v>
      </c>
      <c r="J108">
        <f t="shared" si="21"/>
        <v>7.0246490304536362</v>
      </c>
      <c r="K108" s="13">
        <v>1.5860000000000001</v>
      </c>
      <c r="M108">
        <f t="shared" si="17"/>
        <v>1.6086181897560343</v>
      </c>
      <c r="O108">
        <f t="shared" si="22"/>
        <v>8.049107721326406</v>
      </c>
      <c r="P108">
        <f t="shared" si="23"/>
        <v>0.47537554324189835</v>
      </c>
      <c r="Q108">
        <f t="shared" si="24"/>
        <v>57.361419105352702</v>
      </c>
      <c r="T108">
        <f t="shared" si="25"/>
        <v>1945.3910205285276</v>
      </c>
    </row>
    <row r="109" spans="1:20" ht="15.75" x14ac:dyDescent="0.3">
      <c r="A109" s="20">
        <v>114</v>
      </c>
      <c r="B109" s="1">
        <v>160</v>
      </c>
      <c r="C109" s="15">
        <v>44.4</v>
      </c>
      <c r="D109" s="14">
        <v>0.87219552541973877</v>
      </c>
      <c r="E109" s="11">
        <v>1178</v>
      </c>
      <c r="F109" s="11">
        <v>2992</v>
      </c>
      <c r="G109">
        <f t="shared" si="18"/>
        <v>5.0751738152338266</v>
      </c>
      <c r="H109">
        <f t="shared" si="19"/>
        <v>3.7932394694381792</v>
      </c>
      <c r="I109">
        <f t="shared" si="20"/>
        <v>-0.13674165380935618</v>
      </c>
      <c r="J109">
        <f t="shared" si="21"/>
        <v>7.0715733642115319</v>
      </c>
      <c r="K109" s="13">
        <v>1.6619999999999999</v>
      </c>
      <c r="M109">
        <f t="shared" si="17"/>
        <v>1.6430162626403433</v>
      </c>
      <c r="O109">
        <f t="shared" si="22"/>
        <v>8.0036973390943675</v>
      </c>
      <c r="P109">
        <f t="shared" si="23"/>
        <v>0.49653373714390697</v>
      </c>
      <c r="Q109">
        <f t="shared" si="24"/>
        <v>56.357505346449813</v>
      </c>
      <c r="T109">
        <f t="shared" si="25"/>
        <v>1820.0410134296703</v>
      </c>
    </row>
    <row r="110" spans="1:20" ht="15.75" x14ac:dyDescent="0.3">
      <c r="A110" s="20">
        <v>115</v>
      </c>
      <c r="B110" s="1">
        <v>175</v>
      </c>
      <c r="C110" s="16">
        <v>37.82</v>
      </c>
      <c r="D110" s="14">
        <v>0.97651249999999989</v>
      </c>
      <c r="E110" s="12">
        <v>440</v>
      </c>
      <c r="F110" s="11">
        <v>1614.9959999999999</v>
      </c>
      <c r="G110">
        <f t="shared" si="18"/>
        <v>5.1647859739235145</v>
      </c>
      <c r="H110">
        <f t="shared" si="19"/>
        <v>3.6328380632303117</v>
      </c>
      <c r="I110">
        <f t="shared" si="20"/>
        <v>-2.3767727928080892E-2</v>
      </c>
      <c r="J110">
        <f t="shared" si="21"/>
        <v>6.0867747269123065</v>
      </c>
      <c r="K110" s="13">
        <v>1.2887999999999999</v>
      </c>
      <c r="M110">
        <f t="shared" si="17"/>
        <v>1.2890840896730209</v>
      </c>
      <c r="O110">
        <f t="shared" si="22"/>
        <v>7.3870877588735038</v>
      </c>
      <c r="P110">
        <f t="shared" si="23"/>
        <v>0.25393195819311543</v>
      </c>
      <c r="Q110">
        <f t="shared" si="24"/>
        <v>50.88191167678027</v>
      </c>
      <c r="T110">
        <f t="shared" si="25"/>
        <v>1251.8243990736455</v>
      </c>
    </row>
    <row r="111" spans="1:20" ht="15.75" x14ac:dyDescent="0.3">
      <c r="A111" s="20">
        <v>116</v>
      </c>
      <c r="B111" s="1">
        <v>156</v>
      </c>
      <c r="C111" s="15">
        <v>44</v>
      </c>
      <c r="D111" s="14">
        <v>0.82269146712161434</v>
      </c>
      <c r="E111" s="11">
        <v>1477</v>
      </c>
      <c r="F111" s="18">
        <v>3629</v>
      </c>
      <c r="G111">
        <f t="shared" si="18"/>
        <v>5.0498560072495371</v>
      </c>
      <c r="H111">
        <f t="shared" si="19"/>
        <v>3.784189633918261</v>
      </c>
      <c r="I111">
        <f t="shared" si="20"/>
        <v>-0.19517403665924782</v>
      </c>
      <c r="J111">
        <f t="shared" si="21"/>
        <v>7.2977682825313801</v>
      </c>
      <c r="K111" s="13">
        <v>1.7509999999999999</v>
      </c>
      <c r="M111">
        <f t="shared" si="17"/>
        <v>1.7740787916334944</v>
      </c>
      <c r="O111">
        <f t="shared" si="22"/>
        <v>8.1967124072130702</v>
      </c>
      <c r="P111">
        <f t="shared" si="23"/>
        <v>0.57328129757611024</v>
      </c>
      <c r="Q111">
        <f t="shared" si="24"/>
        <v>58.116701883380614</v>
      </c>
      <c r="T111">
        <f t="shared" si="25"/>
        <v>2044.5686732259367</v>
      </c>
    </row>
    <row r="112" spans="1:20" ht="15.75" x14ac:dyDescent="0.3">
      <c r="A112" s="20">
        <v>117</v>
      </c>
      <c r="B112" s="1">
        <v>159</v>
      </c>
      <c r="C112" s="15">
        <v>41.1</v>
      </c>
      <c r="D112" s="14">
        <v>0.84155519828510184</v>
      </c>
      <c r="E112" s="11">
        <v>933</v>
      </c>
      <c r="F112" s="11">
        <v>2788</v>
      </c>
      <c r="G112">
        <f t="shared" si="18"/>
        <v>5.0689042022202315</v>
      </c>
      <c r="H112">
        <f t="shared" si="19"/>
        <v>3.7160081215021892</v>
      </c>
      <c r="I112">
        <f t="shared" si="20"/>
        <v>-0.17250367239249773</v>
      </c>
      <c r="J112">
        <f t="shared" si="21"/>
        <v>6.8384052008473439</v>
      </c>
      <c r="K112" s="13">
        <v>1.488</v>
      </c>
      <c r="M112">
        <f t="shared" si="17"/>
        <v>1.514036604310915</v>
      </c>
      <c r="O112">
        <f t="shared" si="22"/>
        <v>7.9330797718804149</v>
      </c>
      <c r="P112">
        <f t="shared" si="23"/>
        <v>0.4147793319428838</v>
      </c>
      <c r="Q112">
        <f t="shared" si="24"/>
        <v>56.524841505164872</v>
      </c>
      <c r="T112">
        <f t="shared" si="25"/>
        <v>1840.4350036595747</v>
      </c>
    </row>
    <row r="113" spans="1:20" ht="15.75" x14ac:dyDescent="0.3">
      <c r="A113" s="20">
        <v>118</v>
      </c>
      <c r="B113" s="1">
        <v>165</v>
      </c>
      <c r="C113" s="15">
        <v>44.3</v>
      </c>
      <c r="D113" s="14">
        <v>0.84429487179487173</v>
      </c>
      <c r="E113" s="11">
        <v>1482</v>
      </c>
      <c r="F113" s="11">
        <v>3482</v>
      </c>
      <c r="G113">
        <f t="shared" si="18"/>
        <v>5.1059454739005803</v>
      </c>
      <c r="H113">
        <f t="shared" si="19"/>
        <v>3.7909846770510898</v>
      </c>
      <c r="I113">
        <f t="shared" si="20"/>
        <v>-0.16925347123858198</v>
      </c>
      <c r="J113">
        <f t="shared" si="21"/>
        <v>7.301147805856032</v>
      </c>
      <c r="K113" s="13">
        <v>1.7769999999999999</v>
      </c>
      <c r="M113">
        <f t="shared" si="17"/>
        <v>1.8037868451941033</v>
      </c>
      <c r="O113">
        <f t="shared" si="22"/>
        <v>8.1553621203281352</v>
      </c>
      <c r="P113">
        <f t="shared" si="23"/>
        <v>0.5898882578933532</v>
      </c>
      <c r="Q113">
        <f t="shared" si="24"/>
        <v>57.23639476318386</v>
      </c>
      <c r="T113">
        <f t="shared" si="25"/>
        <v>1929.3832984907406</v>
      </c>
    </row>
    <row r="114" spans="1:20" ht="15.75" x14ac:dyDescent="0.3">
      <c r="A114" s="20">
        <v>119</v>
      </c>
      <c r="B114" s="1">
        <v>157</v>
      </c>
      <c r="C114" s="15">
        <v>42.2</v>
      </c>
      <c r="D114" s="14">
        <v>0.84965544554455452</v>
      </c>
      <c r="E114" s="11">
        <v>1010</v>
      </c>
      <c r="F114" s="11">
        <v>2976</v>
      </c>
      <c r="G114">
        <f t="shared" si="18"/>
        <v>5.0562458053483077</v>
      </c>
      <c r="H114">
        <f t="shared" si="19"/>
        <v>3.7424202210419661</v>
      </c>
      <c r="I114">
        <f t="shared" si="20"/>
        <v>-0.16292436986048908</v>
      </c>
      <c r="J114">
        <f t="shared" si="21"/>
        <v>6.9177056098353047</v>
      </c>
      <c r="K114" s="13">
        <v>1.5229999999999999</v>
      </c>
      <c r="M114">
        <f t="shared" si="17"/>
        <v>1.5457200560602182</v>
      </c>
      <c r="O114">
        <f t="shared" si="22"/>
        <v>7.9983353959529824</v>
      </c>
      <c r="P114">
        <f t="shared" si="23"/>
        <v>0.4354898574818884</v>
      </c>
      <c r="Q114">
        <f t="shared" si="24"/>
        <v>57.19663263877213</v>
      </c>
      <c r="T114">
        <f t="shared" si="25"/>
        <v>1924.316287598238</v>
      </c>
    </row>
    <row r="115" spans="1:20" ht="15.75" x14ac:dyDescent="0.3">
      <c r="A115" s="20">
        <v>120</v>
      </c>
      <c r="B115" s="1">
        <v>159</v>
      </c>
      <c r="C115" s="16">
        <v>42.44</v>
      </c>
      <c r="D115" s="14">
        <f>(811*0.799+61*1.333)/(872)</f>
        <v>0.83635550458715602</v>
      </c>
      <c r="E115" s="12">
        <v>872</v>
      </c>
      <c r="F115" s="11">
        <v>2814.6959999999999</v>
      </c>
      <c r="G115">
        <f t="shared" si="18"/>
        <v>5.0689042022202315</v>
      </c>
      <c r="H115">
        <f t="shared" si="19"/>
        <v>3.7480913137457823</v>
      </c>
      <c r="I115">
        <f t="shared" si="20"/>
        <v>-0.17870151156686892</v>
      </c>
      <c r="J115">
        <f t="shared" si="21"/>
        <v>6.7707894239089796</v>
      </c>
      <c r="K115" s="13">
        <v>1.4717</v>
      </c>
      <c r="M115">
        <f t="shared" si="17"/>
        <v>1.4737255252274037</v>
      </c>
      <c r="O115">
        <f t="shared" si="22"/>
        <v>7.9426095418469336</v>
      </c>
      <c r="P115">
        <f t="shared" si="23"/>
        <v>0.38779356559152911</v>
      </c>
      <c r="Q115">
        <f t="shared" si="24"/>
        <v>57.075244435083896</v>
      </c>
      <c r="T115">
        <f t="shared" si="25"/>
        <v>1908.9187411887142</v>
      </c>
    </row>
    <row r="116" spans="1:20" ht="15.75" x14ac:dyDescent="0.3">
      <c r="A116" s="20">
        <v>121</v>
      </c>
      <c r="B116" s="1">
        <v>156</v>
      </c>
      <c r="C116" s="16">
        <v>41.48</v>
      </c>
      <c r="D116" s="14">
        <v>0.83803829145728648</v>
      </c>
      <c r="E116" s="12">
        <v>779</v>
      </c>
      <c r="F116" s="11">
        <v>2364.6959999999999</v>
      </c>
      <c r="G116">
        <f t="shared" si="18"/>
        <v>5.0498560072495371</v>
      </c>
      <c r="H116">
        <f t="shared" si="19"/>
        <v>3.7252113833613265</v>
      </c>
      <c r="I116">
        <f t="shared" si="20"/>
        <v>-0.17669148568087642</v>
      </c>
      <c r="J116">
        <f t="shared" si="21"/>
        <v>6.6580110458707482</v>
      </c>
      <c r="K116" s="13">
        <v>1.4186000000000001</v>
      </c>
      <c r="M116">
        <f t="shared" si="17"/>
        <v>1.4335507868228139</v>
      </c>
      <c r="O116">
        <f t="shared" si="22"/>
        <v>7.7684047514376866</v>
      </c>
      <c r="P116">
        <f t="shared" si="23"/>
        <v>0.3601544342611922</v>
      </c>
      <c r="Q116">
        <f t="shared" si="24"/>
        <v>54.882172761945633</v>
      </c>
      <c r="T116">
        <f t="shared" si="25"/>
        <v>1648.5376527544504</v>
      </c>
    </row>
    <row r="117" spans="1:20" ht="15.75" x14ac:dyDescent="0.3">
      <c r="A117" s="20">
        <v>122</v>
      </c>
      <c r="B117" s="1">
        <v>165</v>
      </c>
      <c r="C117" s="15">
        <v>44</v>
      </c>
      <c r="D117" s="14">
        <v>0.87540818768020245</v>
      </c>
      <c r="E117" s="11">
        <v>1147</v>
      </c>
      <c r="F117" s="11">
        <v>2988</v>
      </c>
      <c r="G117">
        <f t="shared" si="18"/>
        <v>5.1059454739005803</v>
      </c>
      <c r="H117">
        <f t="shared" si="19"/>
        <v>3.784189633918261</v>
      </c>
      <c r="I117">
        <f t="shared" si="20"/>
        <v>-0.13306500119596956</v>
      </c>
      <c r="J117">
        <f t="shared" si="21"/>
        <v>7.0449051171293711</v>
      </c>
      <c r="K117" s="13">
        <v>1.649</v>
      </c>
      <c r="M117">
        <f t="shared" si="17"/>
        <v>1.6341585409262247</v>
      </c>
      <c r="O117">
        <f t="shared" si="22"/>
        <v>8.0023595462527073</v>
      </c>
      <c r="P117">
        <f t="shared" si="23"/>
        <v>0.49112801800170636</v>
      </c>
      <c r="Q117">
        <f t="shared" si="24"/>
        <v>56.418599070991867</v>
      </c>
      <c r="T117">
        <f t="shared" si="25"/>
        <v>1827.4639618298181</v>
      </c>
    </row>
    <row r="118" spans="1:20" ht="15.75" x14ac:dyDescent="0.3">
      <c r="A118" s="20">
        <v>123</v>
      </c>
      <c r="B118" s="1">
        <v>158</v>
      </c>
      <c r="C118" s="15">
        <v>41.7</v>
      </c>
      <c r="D118" s="14">
        <v>0.8943024523160763</v>
      </c>
      <c r="E118" s="11">
        <v>734</v>
      </c>
      <c r="F118" s="11">
        <v>2327</v>
      </c>
      <c r="G118">
        <f t="shared" si="18"/>
        <v>5.0625950330269669</v>
      </c>
      <c r="H118">
        <f t="shared" si="19"/>
        <v>3.730501128804756</v>
      </c>
      <c r="I118">
        <f t="shared" si="20"/>
        <v>-0.11171124747109074</v>
      </c>
      <c r="J118">
        <f t="shared" si="21"/>
        <v>6.5985090286145152</v>
      </c>
      <c r="K118" s="13">
        <v>1.4</v>
      </c>
      <c r="M118">
        <f t="shared" si="17"/>
        <v>1.4113291155631384</v>
      </c>
      <c r="O118">
        <f t="shared" si="22"/>
        <v>7.7523351633022921</v>
      </c>
      <c r="P118">
        <f t="shared" si="23"/>
        <v>0.34453189553972385</v>
      </c>
      <c r="Q118">
        <f t="shared" si="24"/>
        <v>54.875549253873778</v>
      </c>
      <c r="T118">
        <f t="shared" si="25"/>
        <v>1647.8003927216489</v>
      </c>
    </row>
    <row r="119" spans="1:20" ht="15.75" x14ac:dyDescent="0.3">
      <c r="A119" s="20">
        <v>124</v>
      </c>
      <c r="B119" s="1">
        <v>161</v>
      </c>
      <c r="C119" s="15">
        <v>45.2</v>
      </c>
      <c r="D119" s="14">
        <v>0.83407938415369509</v>
      </c>
      <c r="E119" s="11">
        <v>1908</v>
      </c>
      <c r="F119" s="11">
        <v>3841.6959999999999</v>
      </c>
      <c r="G119">
        <f t="shared" ref="G119:G149" si="26">LN(B119)</f>
        <v>5.0814043649844631</v>
      </c>
      <c r="H119">
        <f t="shared" ref="H119:H149" si="27">LN(C119)</f>
        <v>3.8110970868381857</v>
      </c>
      <c r="I119">
        <f t="shared" ref="I119:I149" si="28">LN(D119)</f>
        <v>-0.18142669631661454</v>
      </c>
      <c r="J119">
        <f t="shared" ref="J119:J149" si="29">LN(E119)</f>
        <v>7.5538108520082314</v>
      </c>
      <c r="K119" s="13">
        <v>1.98</v>
      </c>
      <c r="M119">
        <f t="shared" si="17"/>
        <v>2.0111037506679792</v>
      </c>
      <c r="O119">
        <f t="shared" ref="O119:O149" si="30">LN(F119)</f>
        <v>8.2536692147424269</v>
      </c>
      <c r="P119">
        <f t="shared" ref="P119:P149" si="31">LN(M119)</f>
        <v>0.69868370104001309</v>
      </c>
      <c r="Q119">
        <f t="shared" ref="Q119:Q149" si="32">(O119-P119)^2</f>
        <v>57.077806112253334</v>
      </c>
      <c r="T119">
        <f t="shared" ref="T119:T149" si="33">ABS((F119-M119)/M119)</f>
        <v>1909.2425713859852</v>
      </c>
    </row>
    <row r="120" spans="1:20" ht="15.75" x14ac:dyDescent="0.3">
      <c r="A120" s="20">
        <v>125</v>
      </c>
      <c r="B120" s="1">
        <v>175</v>
      </c>
      <c r="C120" s="15">
        <v>45.4</v>
      </c>
      <c r="D120" s="14">
        <v>0.84904356846473017</v>
      </c>
      <c r="E120" s="11">
        <v>1446</v>
      </c>
      <c r="F120" s="12">
        <v>3452</v>
      </c>
      <c r="G120">
        <f t="shared" si="26"/>
        <v>5.1647859739235145</v>
      </c>
      <c r="H120">
        <f t="shared" si="27"/>
        <v>3.8155121050473024</v>
      </c>
      <c r="I120">
        <f t="shared" si="28"/>
        <v>-0.16364477659675153</v>
      </c>
      <c r="J120">
        <f t="shared" si="29"/>
        <v>7.2765564027187102</v>
      </c>
      <c r="K120" s="13">
        <v>1.7769999999999999</v>
      </c>
      <c r="M120">
        <f t="shared" si="17"/>
        <v>1.8061588023566382</v>
      </c>
      <c r="O120">
        <f t="shared" si="30"/>
        <v>8.1467090522033185</v>
      </c>
      <c r="P120">
        <f t="shared" si="31"/>
        <v>0.59120238155917226</v>
      </c>
      <c r="Q120">
        <f t="shared" si="32"/>
        <v>57.085681050148182</v>
      </c>
      <c r="T120">
        <f t="shared" si="33"/>
        <v>1910.2383670228237</v>
      </c>
    </row>
    <row r="121" spans="1:20" ht="15.75" x14ac:dyDescent="0.3">
      <c r="A121" s="20">
        <v>126</v>
      </c>
      <c r="B121" s="1">
        <v>183</v>
      </c>
      <c r="C121" s="16">
        <v>43.58</v>
      </c>
      <c r="D121" s="13">
        <v>0.88906403013182678</v>
      </c>
      <c r="E121" s="11">
        <v>1062</v>
      </c>
      <c r="F121" s="11">
        <v>2774.6959999999999</v>
      </c>
      <c r="G121">
        <f t="shared" si="26"/>
        <v>5.2094861528414214</v>
      </c>
      <c r="H121">
        <f t="shared" si="27"/>
        <v>3.7745983295164738</v>
      </c>
      <c r="I121">
        <f t="shared" si="28"/>
        <v>-0.11758602116670748</v>
      </c>
      <c r="J121">
        <f t="shared" si="29"/>
        <v>6.9679092018018842</v>
      </c>
      <c r="K121" s="13">
        <v>1.6372</v>
      </c>
      <c r="M121">
        <f t="shared" si="17"/>
        <v>1.6205954786291168</v>
      </c>
      <c r="O121">
        <f t="shared" si="30"/>
        <v>7.928296470629995</v>
      </c>
      <c r="P121">
        <f t="shared" si="31"/>
        <v>0.48279366110422473</v>
      </c>
      <c r="Q121">
        <f t="shared" si="32"/>
        <v>55.435512086656139</v>
      </c>
      <c r="T121">
        <f t="shared" si="33"/>
        <v>1711.1459590564525</v>
      </c>
    </row>
    <row r="122" spans="1:20" ht="15.75" x14ac:dyDescent="0.3">
      <c r="A122" s="20">
        <v>127</v>
      </c>
      <c r="B122" s="1">
        <v>180</v>
      </c>
      <c r="C122" s="16">
        <v>44.1</v>
      </c>
      <c r="D122" s="14">
        <f>(923*0.844+105*1.292)/1028</f>
        <v>0.88975875486381317</v>
      </c>
      <c r="E122" s="11">
        <v>1028</v>
      </c>
      <c r="F122" s="11">
        <v>2737</v>
      </c>
      <c r="G122">
        <f t="shared" si="26"/>
        <v>5.1929568508902104</v>
      </c>
      <c r="H122">
        <f t="shared" si="27"/>
        <v>3.7864597824528001</v>
      </c>
      <c r="I122">
        <f t="shared" si="28"/>
        <v>-0.1168049149506539</v>
      </c>
      <c r="J122">
        <f t="shared" si="29"/>
        <v>6.93537044601511</v>
      </c>
      <c r="K122" s="13">
        <v>1.5669999999999999</v>
      </c>
      <c r="M122">
        <f t="shared" si="17"/>
        <v>1.5962754050273105</v>
      </c>
      <c r="O122">
        <f t="shared" si="30"/>
        <v>7.9146177090406793</v>
      </c>
      <c r="P122">
        <f t="shared" si="31"/>
        <v>0.46767304368185331</v>
      </c>
      <c r="Q122">
        <f t="shared" si="32"/>
        <v>55.456984848916278</v>
      </c>
      <c r="T122">
        <f t="shared" si="33"/>
        <v>1713.6164072816575</v>
      </c>
    </row>
    <row r="123" spans="1:20" ht="15.75" x14ac:dyDescent="0.3">
      <c r="A123" s="20">
        <v>128</v>
      </c>
      <c r="B123" s="1">
        <v>190</v>
      </c>
      <c r="C123" s="16">
        <v>42.1</v>
      </c>
      <c r="D123" s="13">
        <v>0.89860640942942094</v>
      </c>
      <c r="E123" s="11">
        <v>875.9778633928637</v>
      </c>
      <c r="F123" s="11">
        <v>2665</v>
      </c>
      <c r="G123">
        <f t="shared" si="26"/>
        <v>5.2470240721604862</v>
      </c>
      <c r="H123">
        <f t="shared" si="27"/>
        <v>3.7400477406883357</v>
      </c>
      <c r="I123">
        <f t="shared" si="28"/>
        <v>-0.10691014968798396</v>
      </c>
      <c r="J123">
        <f t="shared" si="29"/>
        <v>6.7753408205176262</v>
      </c>
      <c r="K123" s="13">
        <v>1.5273526321529347</v>
      </c>
      <c r="M123">
        <f t="shared" si="17"/>
        <v>1.5202085286040028</v>
      </c>
      <c r="O123">
        <f t="shared" si="30"/>
        <v>7.8879593365999447</v>
      </c>
      <c r="P123">
        <f t="shared" si="31"/>
        <v>0.41884751531956971</v>
      </c>
      <c r="Q123">
        <f t="shared" si="32"/>
        <v>55.787631398790239</v>
      </c>
      <c r="T123">
        <f t="shared" si="33"/>
        <v>1752.0489731216358</v>
      </c>
    </row>
    <row r="124" spans="1:20" ht="15.75" x14ac:dyDescent="0.3">
      <c r="A124" s="20">
        <v>129</v>
      </c>
      <c r="B124" s="1">
        <v>180</v>
      </c>
      <c r="C124" s="16">
        <v>40.200000000000003</v>
      </c>
      <c r="D124" s="13">
        <v>0.91390951743438698</v>
      </c>
      <c r="E124" s="11">
        <v>878.71586985293175</v>
      </c>
      <c r="F124" s="11">
        <v>2665</v>
      </c>
      <c r="G124">
        <f t="shared" si="26"/>
        <v>5.1929568508902104</v>
      </c>
      <c r="H124">
        <f t="shared" si="27"/>
        <v>3.6938669956249757</v>
      </c>
      <c r="I124">
        <f t="shared" si="28"/>
        <v>-9.0023708670903493E-2</v>
      </c>
      <c r="J124">
        <f t="shared" si="29"/>
        <v>6.7784616029429312</v>
      </c>
      <c r="K124" s="13">
        <v>1.5162559439861154</v>
      </c>
      <c r="M124">
        <f t="shared" ref="M124:M149" si="34">EXP(
($B$2+$B$3*LN(B124)+$B$4*(LN(B124)^2))*
($B$5+$B$6*LN(C124)+$B$7*(LN(C124)^2))*
($B$8+$B$9*LN(E124)+$B$10*(LN(E124)^2))*
($B$11+$B$12*LN(D124)+$B$13*(LN(D124)^2))*
($B$14+$B$15*LN(F124)+$B$16*(LN(F124)^2))
)</f>
        <v>1.5181464710107093</v>
      </c>
      <c r="O124">
        <f t="shared" si="30"/>
        <v>7.8879593365999447</v>
      </c>
      <c r="P124">
        <f t="shared" si="31"/>
        <v>0.41749016378549941</v>
      </c>
      <c r="Q124">
        <f t="shared" si="32"/>
        <v>55.807909661970939</v>
      </c>
      <c r="T124">
        <f t="shared" si="33"/>
        <v>1754.4300924770259</v>
      </c>
    </row>
    <row r="125" spans="1:20" ht="15.75" x14ac:dyDescent="0.3">
      <c r="A125" s="20">
        <v>130</v>
      </c>
      <c r="B125" s="1">
        <v>175</v>
      </c>
      <c r="C125" s="16">
        <v>39.619999999999997</v>
      </c>
      <c r="D125" s="13">
        <v>0.91801860641097199</v>
      </c>
      <c r="E125" s="11">
        <v>893.50580230451294</v>
      </c>
      <c r="F125" s="11">
        <v>2765</v>
      </c>
      <c r="G125">
        <f t="shared" si="26"/>
        <v>5.1647859739235145</v>
      </c>
      <c r="H125">
        <f t="shared" si="27"/>
        <v>3.6793340412704048</v>
      </c>
      <c r="I125">
        <f t="shared" si="28"/>
        <v>-8.5537620145510154E-2</v>
      </c>
      <c r="J125">
        <f t="shared" si="29"/>
        <v>6.7951528284838396</v>
      </c>
      <c r="K125" s="13">
        <v>1.5156247720052562</v>
      </c>
      <c r="M125">
        <f t="shared" si="34"/>
        <v>1.5209564307319041</v>
      </c>
      <c r="O125">
        <f t="shared" si="30"/>
        <v>7.9247959139564355</v>
      </c>
      <c r="P125">
        <f t="shared" si="31"/>
        <v>0.41933936772019864</v>
      </c>
      <c r="Q125">
        <f t="shared" si="32"/>
        <v>56.331877967440384</v>
      </c>
      <c r="T125">
        <f t="shared" si="33"/>
        <v>1816.9350467451891</v>
      </c>
    </row>
    <row r="126" spans="1:20" ht="15.75" x14ac:dyDescent="0.3">
      <c r="A126" s="20">
        <v>131</v>
      </c>
      <c r="B126" s="1">
        <v>125</v>
      </c>
      <c r="C126" s="16">
        <v>37.68</v>
      </c>
      <c r="D126" s="13">
        <v>1.0250941951674821</v>
      </c>
      <c r="E126" s="11">
        <v>819.2574068129552</v>
      </c>
      <c r="F126" s="11">
        <v>2665</v>
      </c>
      <c r="G126">
        <f t="shared" si="26"/>
        <v>4.8283137373023015</v>
      </c>
      <c r="H126">
        <f t="shared" si="27"/>
        <v>3.6291294497081621</v>
      </c>
      <c r="I126">
        <f t="shared" si="28"/>
        <v>2.4784506092407114E-2</v>
      </c>
      <c r="J126">
        <f t="shared" si="29"/>
        <v>6.7083983285059583</v>
      </c>
      <c r="K126" s="13">
        <v>1.4500573550223188</v>
      </c>
      <c r="M126">
        <f t="shared" si="34"/>
        <v>1.4283603168569525</v>
      </c>
      <c r="O126">
        <f t="shared" si="30"/>
        <v>7.8879593365999447</v>
      </c>
      <c r="P126">
        <f t="shared" si="31"/>
        <v>0.35652715481832509</v>
      </c>
      <c r="Q126">
        <f t="shared" si="32"/>
        <v>56.722470708775845</v>
      </c>
      <c r="T126">
        <f t="shared" si="33"/>
        <v>1864.7757209778983</v>
      </c>
    </row>
    <row r="127" spans="1:20" ht="15.75" x14ac:dyDescent="0.3">
      <c r="A127" s="20">
        <v>132</v>
      </c>
      <c r="B127" s="1">
        <v>152</v>
      </c>
      <c r="C127" s="16">
        <v>41.82</v>
      </c>
      <c r="D127" s="13">
        <v>0.88702597887453039</v>
      </c>
      <c r="E127" s="11">
        <v>1014.8050338327058</v>
      </c>
      <c r="F127" s="11">
        <v>2865</v>
      </c>
      <c r="G127">
        <f t="shared" si="26"/>
        <v>5.0238805208462765</v>
      </c>
      <c r="H127">
        <f t="shared" si="27"/>
        <v>3.7333746940004877</v>
      </c>
      <c r="I127">
        <f t="shared" si="28"/>
        <v>-0.11988100862960711</v>
      </c>
      <c r="J127">
        <f t="shared" si="29"/>
        <v>6.9224517881313359</v>
      </c>
      <c r="K127" s="13">
        <v>1.5479636439197559</v>
      </c>
      <c r="M127">
        <f t="shared" si="34"/>
        <v>1.5471485141716812</v>
      </c>
      <c r="O127">
        <f t="shared" si="30"/>
        <v>7.9603236291488395</v>
      </c>
      <c r="P127">
        <f t="shared" si="31"/>
        <v>0.43641356838689088</v>
      </c>
      <c r="Q127">
        <f t="shared" si="32"/>
        <v>56.609222602434862</v>
      </c>
      <c r="T127">
        <f t="shared" si="33"/>
        <v>1850.7937830511867</v>
      </c>
    </row>
    <row r="128" spans="1:20" ht="15.75" x14ac:dyDescent="0.3">
      <c r="A128" s="20">
        <v>133</v>
      </c>
      <c r="B128" s="1">
        <v>155</v>
      </c>
      <c r="C128" s="16">
        <v>41.4</v>
      </c>
      <c r="D128" s="13">
        <v>0.91363998027137561</v>
      </c>
      <c r="E128" s="11">
        <v>1316.8520531613119</v>
      </c>
      <c r="F128" s="11">
        <v>3265</v>
      </c>
      <c r="G128">
        <f t="shared" si="26"/>
        <v>5.0434251169192468</v>
      </c>
      <c r="H128">
        <f t="shared" si="27"/>
        <v>3.7232808808312687</v>
      </c>
      <c r="I128">
        <f t="shared" si="28"/>
        <v>-9.0318679795137399E-2</v>
      </c>
      <c r="J128">
        <f t="shared" si="29"/>
        <v>7.1829993591850378</v>
      </c>
      <c r="K128" s="13">
        <v>1.7046470189183824</v>
      </c>
      <c r="M128">
        <f t="shared" si="34"/>
        <v>1.7106700494679883</v>
      </c>
      <c r="O128">
        <f t="shared" si="30"/>
        <v>8.0910150417105307</v>
      </c>
      <c r="P128">
        <f t="shared" si="31"/>
        <v>0.53688513555876638</v>
      </c>
      <c r="Q128">
        <f t="shared" si="32"/>
        <v>57.064878639016456</v>
      </c>
      <c r="T128">
        <f t="shared" si="33"/>
        <v>1907.6088524291417</v>
      </c>
    </row>
    <row r="129" spans="1:20" ht="15.75" x14ac:dyDescent="0.3">
      <c r="A129" s="20">
        <v>134</v>
      </c>
      <c r="B129" s="1">
        <v>159</v>
      </c>
      <c r="C129" s="16">
        <v>44.21</v>
      </c>
      <c r="D129" s="13">
        <v>0.86290875140960577</v>
      </c>
      <c r="E129" s="11">
        <v>1309.5712971320097</v>
      </c>
      <c r="F129" s="11">
        <v>3165</v>
      </c>
      <c r="G129">
        <f t="shared" si="26"/>
        <v>5.0689042022202315</v>
      </c>
      <c r="H129">
        <f t="shared" si="27"/>
        <v>3.7889510078381519</v>
      </c>
      <c r="I129">
        <f t="shared" si="28"/>
        <v>-0.14744632766091231</v>
      </c>
      <c r="J129">
        <f t="shared" si="29"/>
        <v>7.1774551085381875</v>
      </c>
      <c r="K129" s="13">
        <v>1.69395136437296</v>
      </c>
      <c r="M129">
        <f t="shared" si="34"/>
        <v>1.7086062184096167</v>
      </c>
      <c r="O129">
        <f t="shared" si="30"/>
        <v>8.0599083345782763</v>
      </c>
      <c r="P129">
        <f t="shared" si="31"/>
        <v>0.53567796120529865</v>
      </c>
      <c r="Q129">
        <f t="shared" si="32"/>
        <v>56.614042711588468</v>
      </c>
      <c r="T129">
        <f t="shared" si="33"/>
        <v>1851.3870309602439</v>
      </c>
    </row>
    <row r="130" spans="1:20" ht="15.75" x14ac:dyDescent="0.3">
      <c r="A130" s="20">
        <v>135</v>
      </c>
      <c r="B130" s="1">
        <v>155</v>
      </c>
      <c r="C130" s="16">
        <v>40.6</v>
      </c>
      <c r="D130" s="13">
        <v>0.90748600249209299</v>
      </c>
      <c r="E130" s="11">
        <v>1255.9824334889472</v>
      </c>
      <c r="F130" s="11">
        <v>3215</v>
      </c>
      <c r="G130">
        <f t="shared" si="26"/>
        <v>5.0434251169192468</v>
      </c>
      <c r="H130">
        <f t="shared" si="27"/>
        <v>3.7037680666076871</v>
      </c>
      <c r="I130">
        <f t="shared" si="28"/>
        <v>-9.7077137213223391E-2</v>
      </c>
      <c r="J130">
        <f t="shared" si="29"/>
        <v>7.1356733608546588</v>
      </c>
      <c r="K130" s="13">
        <v>1.6861166770295233</v>
      </c>
      <c r="M130">
        <f t="shared" si="34"/>
        <v>1.6825832468181432</v>
      </c>
      <c r="O130">
        <f t="shared" si="30"/>
        <v>8.0755826366717205</v>
      </c>
      <c r="P130">
        <f t="shared" si="31"/>
        <v>0.52033025936216393</v>
      </c>
      <c r="Q130">
        <f t="shared" si="32"/>
        <v>57.081838484841704</v>
      </c>
      <c r="T130">
        <f t="shared" si="33"/>
        <v>1909.7524136352486</v>
      </c>
    </row>
    <row r="131" spans="1:20" ht="15.75" x14ac:dyDescent="0.3">
      <c r="A131" s="20">
        <v>136</v>
      </c>
      <c r="B131" s="1">
        <v>188</v>
      </c>
      <c r="C131" s="15">
        <v>45.1</v>
      </c>
      <c r="D131" s="14">
        <v>0.9249433431781553</v>
      </c>
      <c r="E131" s="11">
        <v>1662.9066039752083</v>
      </c>
      <c r="F131" s="11">
        <v>3259</v>
      </c>
      <c r="G131">
        <f t="shared" si="26"/>
        <v>5.2364419628299492</v>
      </c>
      <c r="H131">
        <f t="shared" si="27"/>
        <v>3.8088822465086327</v>
      </c>
      <c r="I131">
        <f t="shared" si="28"/>
        <v>-7.802279396381806E-2</v>
      </c>
      <c r="J131">
        <f t="shared" si="29"/>
        <v>7.4163223164463821</v>
      </c>
      <c r="K131" s="13">
        <v>1.9659859874729206</v>
      </c>
      <c r="M131">
        <f t="shared" si="34"/>
        <v>1.9791820291297058</v>
      </c>
      <c r="O131">
        <f t="shared" si="30"/>
        <v>8.0891756788375613</v>
      </c>
      <c r="P131">
        <f t="shared" si="31"/>
        <v>0.6826836427491132</v>
      </c>
      <c r="Q131">
        <f t="shared" si="32"/>
        <v>54.856124280641602</v>
      </c>
      <c r="T131">
        <f t="shared" si="33"/>
        <v>1645.6398502178504</v>
      </c>
    </row>
    <row r="132" spans="1:20" ht="15.75" x14ac:dyDescent="0.3">
      <c r="A132" s="20">
        <v>137</v>
      </c>
      <c r="B132" s="1">
        <v>147</v>
      </c>
      <c r="C132" s="15">
        <v>41.9</v>
      </c>
      <c r="D132" s="14">
        <v>0.92190427125757779</v>
      </c>
      <c r="E132" s="11">
        <v>926.67416705051619</v>
      </c>
      <c r="F132" s="11">
        <v>2290</v>
      </c>
      <c r="G132">
        <f t="shared" si="26"/>
        <v>4.990432586778736</v>
      </c>
      <c r="H132">
        <f t="shared" si="27"/>
        <v>3.735285826928092</v>
      </c>
      <c r="I132">
        <f t="shared" si="28"/>
        <v>-8.1313888085405683E-2</v>
      </c>
      <c r="J132">
        <f t="shared" si="29"/>
        <v>6.8316020119232235</v>
      </c>
      <c r="K132" s="13">
        <v>1.5015039137706185</v>
      </c>
      <c r="M132">
        <f t="shared" si="34"/>
        <v>1.5123854762518678</v>
      </c>
      <c r="O132">
        <f t="shared" si="30"/>
        <v>7.736307096548285</v>
      </c>
      <c r="P132">
        <f t="shared" si="31"/>
        <v>0.41368818987551004</v>
      </c>
      <c r="Q132">
        <f t="shared" si="32"/>
        <v>53.62074765236158</v>
      </c>
      <c r="T132">
        <f t="shared" si="33"/>
        <v>1513.1642365379544</v>
      </c>
    </row>
    <row r="133" spans="1:20" ht="15.75" x14ac:dyDescent="0.3">
      <c r="A133" s="20">
        <v>138</v>
      </c>
      <c r="B133" s="1">
        <v>189</v>
      </c>
      <c r="C133" s="15">
        <v>45.1</v>
      </c>
      <c r="D133" s="14">
        <v>0.90878470942589007</v>
      </c>
      <c r="E133" s="11">
        <v>1669.824655779699</v>
      </c>
      <c r="F133" s="11">
        <v>3478</v>
      </c>
      <c r="G133">
        <f t="shared" si="26"/>
        <v>5.2417470150596426</v>
      </c>
      <c r="H133">
        <f t="shared" si="27"/>
        <v>3.8088822465086327</v>
      </c>
      <c r="I133">
        <f t="shared" si="28"/>
        <v>-9.5647056172318196E-2</v>
      </c>
      <c r="J133">
        <f t="shared" si="29"/>
        <v>7.4204739033591762</v>
      </c>
      <c r="K133" s="13">
        <v>1.9542207314204327</v>
      </c>
      <c r="M133">
        <f t="shared" si="34"/>
        <v>1.972412112171928</v>
      </c>
      <c r="O133">
        <f t="shared" si="30"/>
        <v>8.1542126949142286</v>
      </c>
      <c r="P133">
        <f t="shared" si="31"/>
        <v>0.67925721617838908</v>
      </c>
      <c r="Q133">
        <f t="shared" si="32"/>
        <v>55.874959409082948</v>
      </c>
      <c r="T133">
        <f t="shared" si="33"/>
        <v>1762.323181061887</v>
      </c>
    </row>
    <row r="134" spans="1:20" ht="15.75" x14ac:dyDescent="0.3">
      <c r="B134" s="1">
        <v>161</v>
      </c>
      <c r="C134" s="15">
        <v>42.825489712948126</v>
      </c>
      <c r="D134" s="13">
        <v>0.92547543459989179</v>
      </c>
      <c r="E134" s="11">
        <v>1078.8275574104816</v>
      </c>
      <c r="F134" s="11">
        <v>2656.22</v>
      </c>
      <c r="G134">
        <f t="shared" si="26"/>
        <v>5.0814043649844631</v>
      </c>
      <c r="H134">
        <f t="shared" si="27"/>
        <v>3.7571334793566673</v>
      </c>
      <c r="I134">
        <f t="shared" si="28"/>
        <v>-7.7447690162676427E-2</v>
      </c>
      <c r="J134">
        <f t="shared" si="29"/>
        <v>6.983630135442918</v>
      </c>
      <c r="K134" s="13">
        <v>1.60545129758015</v>
      </c>
      <c r="M134">
        <f t="shared" si="34"/>
        <v>1.6050867693016806</v>
      </c>
      <c r="O134">
        <f t="shared" si="30"/>
        <v>7.8846593384913009</v>
      </c>
      <c r="P134">
        <f t="shared" si="31"/>
        <v>0.47317781699089495</v>
      </c>
      <c r="Q134">
        <f t="shared" si="32"/>
        <v>54.930058343541972</v>
      </c>
      <c r="T134">
        <f t="shared" si="33"/>
        <v>1653.8762663813072</v>
      </c>
    </row>
    <row r="135" spans="1:20" ht="15.75" x14ac:dyDescent="0.3">
      <c r="B135" s="1">
        <v>165</v>
      </c>
      <c r="C135" s="16">
        <v>37.130000000000003</v>
      </c>
      <c r="D135" s="14">
        <v>0.92645137195121963</v>
      </c>
      <c r="E135" s="11">
        <v>656</v>
      </c>
      <c r="F135" s="11">
        <v>2265</v>
      </c>
      <c r="G135">
        <f t="shared" si="26"/>
        <v>5.1059454739005803</v>
      </c>
      <c r="H135">
        <f t="shared" si="27"/>
        <v>3.6144252681889886</v>
      </c>
      <c r="I135">
        <f t="shared" si="28"/>
        <v>-7.6393720385664693E-2</v>
      </c>
      <c r="J135">
        <f t="shared" si="29"/>
        <v>6.4861607889440887</v>
      </c>
      <c r="K135" s="13">
        <v>1.3793</v>
      </c>
      <c r="M135">
        <f t="shared" si="34"/>
        <v>1.394363800746717</v>
      </c>
      <c r="O135">
        <f t="shared" si="30"/>
        <v>7.7253300379171348</v>
      </c>
      <c r="P135">
        <f t="shared" si="31"/>
        <v>0.3324382544354027</v>
      </c>
      <c r="Q135">
        <f t="shared" si="32"/>
        <v>54.654848922271711</v>
      </c>
      <c r="T135">
        <f t="shared" si="33"/>
        <v>1623.3967311737692</v>
      </c>
    </row>
    <row r="136" spans="1:20" ht="15.75" x14ac:dyDescent="0.3">
      <c r="B136" s="1">
        <v>280</v>
      </c>
      <c r="C136" s="6">
        <v>43.3</v>
      </c>
      <c r="D136" s="7">
        <v>0.87214580467675373</v>
      </c>
      <c r="E136" s="17">
        <v>1454</v>
      </c>
      <c r="F136" s="1">
        <v>3280</v>
      </c>
      <c r="G136">
        <f t="shared" si="26"/>
        <v>5.6347896031692493</v>
      </c>
      <c r="H136">
        <f t="shared" si="27"/>
        <v>3.7681526350084442</v>
      </c>
      <c r="I136">
        <f t="shared" si="28"/>
        <v>-0.1367986618526108</v>
      </c>
      <c r="J136">
        <f t="shared" si="29"/>
        <v>7.2820736580934646</v>
      </c>
      <c r="K136" s="30">
        <v>2.008</v>
      </c>
      <c r="M136">
        <f t="shared" si="34"/>
        <v>2.0131136988705682</v>
      </c>
      <c r="O136">
        <f t="shared" si="30"/>
        <v>8.09559870137819</v>
      </c>
      <c r="P136">
        <f t="shared" si="31"/>
        <v>0.69968262736292131</v>
      </c>
      <c r="Q136">
        <f t="shared" si="32"/>
        <v>54.69957457387742</v>
      </c>
      <c r="T136">
        <f t="shared" si="33"/>
        <v>1628.316814961918</v>
      </c>
    </row>
    <row r="137" spans="1:20" ht="15.75" x14ac:dyDescent="0.3">
      <c r="B137" s="1">
        <v>270</v>
      </c>
      <c r="C137" s="6">
        <v>44.4</v>
      </c>
      <c r="D137" s="7">
        <v>0.9681445936820593</v>
      </c>
      <c r="E137" s="17">
        <v>2205.9741313164527</v>
      </c>
      <c r="F137" s="1">
        <v>3722</v>
      </c>
      <c r="G137">
        <f t="shared" si="26"/>
        <v>5.598421958998375</v>
      </c>
      <c r="H137">
        <f t="shared" si="27"/>
        <v>3.7932394694381792</v>
      </c>
      <c r="I137">
        <f t="shared" si="28"/>
        <v>-3.2373829222200126E-2</v>
      </c>
      <c r="J137">
        <f t="shared" si="29"/>
        <v>7.6989244732335642</v>
      </c>
      <c r="K137" s="30">
        <v>2.4543779368789083</v>
      </c>
      <c r="M137">
        <f t="shared" si="34"/>
        <v>2.5330821648820989</v>
      </c>
      <c r="O137">
        <f t="shared" si="30"/>
        <v>8.2220164372021962</v>
      </c>
      <c r="P137">
        <f t="shared" si="31"/>
        <v>0.92943680826766484</v>
      </c>
      <c r="Q137">
        <f t="shared" si="32"/>
        <v>53.181717644350904</v>
      </c>
      <c r="T137">
        <f t="shared" si="33"/>
        <v>1468.3562062852543</v>
      </c>
    </row>
    <row r="138" spans="1:20" ht="15.75" x14ac:dyDescent="0.3">
      <c r="B138" s="1">
        <v>270</v>
      </c>
      <c r="C138" s="6">
        <v>44.2</v>
      </c>
      <c r="D138" s="7">
        <v>0.98172449597075817</v>
      </c>
      <c r="E138" s="17">
        <v>2185.1652241112824</v>
      </c>
      <c r="F138" s="1">
        <v>3697</v>
      </c>
      <c r="G138">
        <f t="shared" si="26"/>
        <v>5.598421958998375</v>
      </c>
      <c r="H138">
        <f t="shared" si="27"/>
        <v>3.7887247890836524</v>
      </c>
      <c r="I138">
        <f t="shared" si="28"/>
        <v>-1.8444563991571971E-2</v>
      </c>
      <c r="J138">
        <f t="shared" si="29"/>
        <v>7.68944672211307</v>
      </c>
      <c r="K138" s="30">
        <v>2.6244769978515015</v>
      </c>
      <c r="M138">
        <f t="shared" si="34"/>
        <v>2.5207913749651816</v>
      </c>
      <c r="O138">
        <f t="shared" si="30"/>
        <v>8.2152769589366326</v>
      </c>
      <c r="P138">
        <f t="shared" si="31"/>
        <v>0.92457288990841513</v>
      </c>
      <c r="Q138">
        <f t="shared" si="32"/>
        <v>53.154365822144612</v>
      </c>
      <c r="T138">
        <f t="shared" si="33"/>
        <v>1465.6029234771818</v>
      </c>
    </row>
    <row r="139" spans="1:20" ht="15.75" x14ac:dyDescent="0.3">
      <c r="B139" s="1">
        <v>270</v>
      </c>
      <c r="C139" s="6">
        <v>41.8</v>
      </c>
      <c r="D139" s="7">
        <v>0.97099999999999997</v>
      </c>
      <c r="E139" s="17">
        <v>1317.9111629386198</v>
      </c>
      <c r="F139" s="1">
        <v>3066</v>
      </c>
      <c r="G139">
        <f t="shared" si="26"/>
        <v>5.598421958998375</v>
      </c>
      <c r="H139">
        <f t="shared" si="27"/>
        <v>3.7328963395307104</v>
      </c>
      <c r="I139">
        <f t="shared" si="28"/>
        <v>-2.9428810690812168E-2</v>
      </c>
      <c r="J139">
        <f t="shared" si="29"/>
        <v>7.1838033098610463</v>
      </c>
      <c r="K139" s="30">
        <v>1.9114061086963996</v>
      </c>
      <c r="M139">
        <f t="shared" si="34"/>
        <v>1.9187564470173299</v>
      </c>
      <c r="O139">
        <f t="shared" si="30"/>
        <v>8.0281290594317589</v>
      </c>
      <c r="P139">
        <f t="shared" si="31"/>
        <v>0.65167729235675731</v>
      </c>
      <c r="Q139">
        <f t="shared" si="32"/>
        <v>54.412040671983924</v>
      </c>
      <c r="T139">
        <f t="shared" si="33"/>
        <v>1596.909940454422</v>
      </c>
    </row>
    <row r="140" spans="1:20" ht="15.75" x14ac:dyDescent="0.3">
      <c r="B140" s="1">
        <v>270</v>
      </c>
      <c r="C140" s="6">
        <v>42.5</v>
      </c>
      <c r="D140" s="7">
        <v>0.99283819657972716</v>
      </c>
      <c r="E140" s="17">
        <v>1300.3197900526727</v>
      </c>
      <c r="F140" s="1">
        <v>2944</v>
      </c>
      <c r="G140">
        <f t="shared" si="26"/>
        <v>5.598421958998375</v>
      </c>
      <c r="H140">
        <f t="shared" si="27"/>
        <v>3.7495040759303713</v>
      </c>
      <c r="I140">
        <f t="shared" si="28"/>
        <v>-7.187572242257083E-3</v>
      </c>
      <c r="J140">
        <f t="shared" si="29"/>
        <v>7.1703655055466813</v>
      </c>
      <c r="K140" s="30">
        <v>1.9198054319023261</v>
      </c>
      <c r="M140">
        <f t="shared" si="34"/>
        <v>1.9098339153672772</v>
      </c>
      <c r="O140">
        <f t="shared" si="30"/>
        <v>7.9875244798487666</v>
      </c>
      <c r="P140">
        <f t="shared" si="31"/>
        <v>0.64701628297261626</v>
      </c>
      <c r="Q140">
        <f t="shared" si="32"/>
        <v>53.883060588405961</v>
      </c>
      <c r="T140">
        <f t="shared" si="33"/>
        <v>1540.4952977384128</v>
      </c>
    </row>
    <row r="141" spans="1:20" ht="15.75" x14ac:dyDescent="0.3">
      <c r="B141" s="1">
        <v>270</v>
      </c>
      <c r="C141" s="6">
        <v>42.6</v>
      </c>
      <c r="D141" s="7">
        <v>0.95694427106172286</v>
      </c>
      <c r="E141" s="17">
        <v>1220.3824306769673</v>
      </c>
      <c r="F141" s="1">
        <v>2923</v>
      </c>
      <c r="G141">
        <f t="shared" si="26"/>
        <v>5.598421958998375</v>
      </c>
      <c r="H141">
        <f t="shared" si="27"/>
        <v>3.751854253275325</v>
      </c>
      <c r="I141">
        <f t="shared" si="28"/>
        <v>-4.4010122180144676E-2</v>
      </c>
      <c r="J141">
        <f t="shared" si="29"/>
        <v>7.1069195563745522</v>
      </c>
      <c r="K141" s="30">
        <v>1.8679349568299397</v>
      </c>
      <c r="M141">
        <f t="shared" si="34"/>
        <v>1.8481629950235523</v>
      </c>
      <c r="O141">
        <f t="shared" si="30"/>
        <v>7.9803657651112463</v>
      </c>
      <c r="P141">
        <f t="shared" si="31"/>
        <v>0.61419217010035365</v>
      </c>
      <c r="Q141">
        <f t="shared" si="32"/>
        <v>54.260513431835705</v>
      </c>
      <c r="T141">
        <f t="shared" si="33"/>
        <v>1580.5704609769825</v>
      </c>
    </row>
    <row r="142" spans="1:20" ht="15.75" x14ac:dyDescent="0.3">
      <c r="B142" s="1">
        <v>270</v>
      </c>
      <c r="C142" s="6">
        <v>46.088188442211049</v>
      </c>
      <c r="D142" s="7">
        <v>0.91100000000000003</v>
      </c>
      <c r="E142" s="17">
        <v>2716.0284119008852</v>
      </c>
      <c r="F142" s="1">
        <v>3789</v>
      </c>
      <c r="G142">
        <f t="shared" si="26"/>
        <v>5.598421958998375</v>
      </c>
      <c r="H142">
        <f t="shared" si="27"/>
        <v>3.8305567011695763</v>
      </c>
      <c r="I142">
        <f t="shared" si="28"/>
        <v>-9.3212381722178703E-2</v>
      </c>
      <c r="J142">
        <f t="shared" si="29"/>
        <v>7.9069259495593966</v>
      </c>
      <c r="K142" s="30">
        <v>2.8817680081356842</v>
      </c>
      <c r="M142">
        <f t="shared" si="34"/>
        <v>2.9122125070465015</v>
      </c>
      <c r="O142">
        <f t="shared" si="30"/>
        <v>8.2398574110186011</v>
      </c>
      <c r="P142">
        <f t="shared" si="31"/>
        <v>1.0689131039927113</v>
      </c>
      <c r="Q142">
        <f t="shared" si="32"/>
        <v>51.422442254467015</v>
      </c>
      <c r="T142">
        <f t="shared" si="33"/>
        <v>1300.0726349234437</v>
      </c>
    </row>
    <row r="143" spans="1:20" ht="15.75" x14ac:dyDescent="0.3">
      <c r="B143" s="1">
        <v>234</v>
      </c>
      <c r="C143" s="6">
        <v>42.5</v>
      </c>
      <c r="D143" s="7">
        <v>1.05</v>
      </c>
      <c r="E143" s="17">
        <v>997</v>
      </c>
      <c r="F143" s="1">
        <v>2356</v>
      </c>
      <c r="G143">
        <f t="shared" si="26"/>
        <v>5.4553211153577017</v>
      </c>
      <c r="H143">
        <f t="shared" si="27"/>
        <v>3.7495040759303713</v>
      </c>
      <c r="I143">
        <f t="shared" si="28"/>
        <v>4.8790164169432049E-2</v>
      </c>
      <c r="J143">
        <f t="shared" si="29"/>
        <v>6.9047507699618382</v>
      </c>
      <c r="K143" s="30">
        <v>1.6846951018052452</v>
      </c>
      <c r="M143">
        <f t="shared" si="34"/>
        <v>1.6706421511955971</v>
      </c>
      <c r="O143">
        <f t="shared" si="30"/>
        <v>7.7647205447714773</v>
      </c>
      <c r="P143">
        <f t="shared" si="31"/>
        <v>0.51320807419316106</v>
      </c>
      <c r="Q143">
        <f t="shared" si="32"/>
        <v>52.58443311095283</v>
      </c>
      <c r="T143">
        <f t="shared" si="33"/>
        <v>1409.2361767383431</v>
      </c>
    </row>
    <row r="144" spans="1:20" ht="15.75" x14ac:dyDescent="0.3">
      <c r="B144" s="1">
        <v>234</v>
      </c>
      <c r="C144" s="6">
        <v>41.8</v>
      </c>
      <c r="D144" s="7">
        <v>1.042</v>
      </c>
      <c r="E144" s="17">
        <v>847.10507033279407</v>
      </c>
      <c r="F144" s="1">
        <v>2212</v>
      </c>
      <c r="G144">
        <f t="shared" si="26"/>
        <v>5.4553211153577017</v>
      </c>
      <c r="H144">
        <f t="shared" si="27"/>
        <v>3.7328963395307104</v>
      </c>
      <c r="I144">
        <f t="shared" si="28"/>
        <v>4.1141943331175213E-2</v>
      </c>
      <c r="J144">
        <f t="shared" si="29"/>
        <v>6.7418247369381783</v>
      </c>
      <c r="K144" s="30">
        <v>1.5865404013686017</v>
      </c>
      <c r="M144">
        <f t="shared" si="34"/>
        <v>1.5704871616470009</v>
      </c>
      <c r="O144">
        <f t="shared" si="30"/>
        <v>7.7016523626422257</v>
      </c>
      <c r="P144">
        <f t="shared" si="31"/>
        <v>0.45138586527165225</v>
      </c>
      <c r="Q144">
        <f t="shared" si="32"/>
        <v>52.566364282894156</v>
      </c>
      <c r="T144">
        <f t="shared" si="33"/>
        <v>1407.480154451076</v>
      </c>
    </row>
    <row r="145" spans="2:21" ht="15.75" x14ac:dyDescent="0.3">
      <c r="B145" s="1">
        <v>240</v>
      </c>
      <c r="C145" s="6">
        <v>44.7</v>
      </c>
      <c r="D145" s="7">
        <v>0.84899999999999998</v>
      </c>
      <c r="E145" s="17">
        <v>1471.8214907124384</v>
      </c>
      <c r="F145" s="1">
        <v>3310</v>
      </c>
      <c r="G145">
        <f t="shared" si="26"/>
        <v>5.4806389233419912</v>
      </c>
      <c r="H145">
        <f t="shared" si="27"/>
        <v>3.7999735016195233</v>
      </c>
      <c r="I145">
        <f t="shared" si="28"/>
        <v>-0.16369609267078977</v>
      </c>
      <c r="J145">
        <f t="shared" si="29"/>
        <v>7.2942560220385921</v>
      </c>
      <c r="K145" s="30">
        <v>1.93272514077489</v>
      </c>
      <c r="M145">
        <f t="shared" si="34"/>
        <v>1.9533011510426268</v>
      </c>
      <c r="O145">
        <f t="shared" si="30"/>
        <v>8.1047034683711079</v>
      </c>
      <c r="P145">
        <f t="shared" si="31"/>
        <v>0.66952083920964078</v>
      </c>
      <c r="Q145">
        <f t="shared" si="32"/>
        <v>55.281940728984424</v>
      </c>
      <c r="T145">
        <f t="shared" si="33"/>
        <v>1693.5671681159861</v>
      </c>
    </row>
    <row r="146" spans="2:21" ht="15.75" x14ac:dyDescent="0.3">
      <c r="B146" s="1">
        <v>242</v>
      </c>
      <c r="C146" s="6">
        <v>40.9</v>
      </c>
      <c r="D146" s="7">
        <v>0.91600000000000004</v>
      </c>
      <c r="E146" s="17">
        <v>1195.9951434878585</v>
      </c>
      <c r="F146" s="1">
        <v>3067</v>
      </c>
      <c r="G146">
        <f t="shared" si="26"/>
        <v>5.4889377261566867</v>
      </c>
      <c r="H146">
        <f t="shared" si="27"/>
        <v>3.7111300630487558</v>
      </c>
      <c r="I146">
        <f t="shared" si="28"/>
        <v>-8.7738914308006746E-2</v>
      </c>
      <c r="J146">
        <f t="shared" si="29"/>
        <v>7.0867338738734516</v>
      </c>
      <c r="K146" s="30">
        <v>1.7486462426644702</v>
      </c>
      <c r="M146">
        <f t="shared" si="34"/>
        <v>1.7915302807592945</v>
      </c>
      <c r="O146">
        <f t="shared" si="30"/>
        <v>8.0284551641142521</v>
      </c>
      <c r="P146">
        <f t="shared" si="31"/>
        <v>0.58307016008125701</v>
      </c>
      <c r="Q146">
        <f t="shared" si="32"/>
        <v>55.433757858279407</v>
      </c>
      <c r="T146">
        <f t="shared" si="33"/>
        <v>1710.9442707382709</v>
      </c>
    </row>
    <row r="147" spans="2:21" ht="15.75" x14ac:dyDescent="0.3">
      <c r="B147" s="1">
        <v>241</v>
      </c>
      <c r="C147" s="6">
        <v>42.8</v>
      </c>
      <c r="D147" s="7">
        <v>0.88902905853998426</v>
      </c>
      <c r="E147" s="17">
        <v>1302.9698972755696</v>
      </c>
      <c r="F147" s="1">
        <v>3149</v>
      </c>
      <c r="G147">
        <f t="shared" si="26"/>
        <v>5.4847969334906548</v>
      </c>
      <c r="H147">
        <f t="shared" si="27"/>
        <v>3.7565381025877511</v>
      </c>
      <c r="I147">
        <f t="shared" si="28"/>
        <v>-0.11762535723079751</v>
      </c>
      <c r="J147">
        <f t="shared" si="29"/>
        <v>7.1724014742298632</v>
      </c>
      <c r="K147" s="30">
        <v>1.8582176927835234</v>
      </c>
      <c r="M147">
        <f t="shared" si="34"/>
        <v>1.8510809471721519</v>
      </c>
      <c r="O147">
        <f t="shared" si="30"/>
        <v>8.0548402211010242</v>
      </c>
      <c r="P147">
        <f t="shared" si="31"/>
        <v>0.61576976422465557</v>
      </c>
      <c r="Q147">
        <f t="shared" si="32"/>
        <v>55.339769262370787</v>
      </c>
      <c r="T147">
        <f t="shared" si="33"/>
        <v>1700.1681767945618</v>
      </c>
    </row>
    <row r="148" spans="2:21" ht="15.75" x14ac:dyDescent="0.3">
      <c r="B148" s="1">
        <v>242</v>
      </c>
      <c r="C148" s="6">
        <v>44.9</v>
      </c>
      <c r="D148" s="7">
        <v>0.90783856762258497</v>
      </c>
      <c r="E148" s="17">
        <v>1290.7743124026983</v>
      </c>
      <c r="F148" s="1">
        <v>3005</v>
      </c>
      <c r="G148">
        <f t="shared" si="26"/>
        <v>5.4889377261566867</v>
      </c>
      <c r="H148">
        <f t="shared" si="27"/>
        <v>3.8044377947482086</v>
      </c>
      <c r="I148">
        <f t="shared" si="28"/>
        <v>-9.6688705149085563E-2</v>
      </c>
      <c r="J148">
        <f t="shared" si="29"/>
        <v>7.1629975594550741</v>
      </c>
      <c r="K148" s="30">
        <v>1.8594969644768309</v>
      </c>
      <c r="M148">
        <f t="shared" si="34"/>
        <v>1.8492670820783459</v>
      </c>
      <c r="O148">
        <f t="shared" si="30"/>
        <v>8.0080328469693072</v>
      </c>
      <c r="P148">
        <f t="shared" si="31"/>
        <v>0.61478938874389066</v>
      </c>
      <c r="Q148">
        <f t="shared" si="32"/>
        <v>54.660048832592921</v>
      </c>
      <c r="T148">
        <f t="shared" si="33"/>
        <v>1623.9680909383594</v>
      </c>
    </row>
    <row r="149" spans="2:21" ht="15.75" x14ac:dyDescent="0.3">
      <c r="B149" s="1">
        <v>240</v>
      </c>
      <c r="C149" s="6">
        <v>41.4</v>
      </c>
      <c r="D149" s="7">
        <v>0.99679574727810316</v>
      </c>
      <c r="E149" s="17">
        <v>1830</v>
      </c>
      <c r="F149" s="1">
        <v>3609</v>
      </c>
      <c r="G149">
        <f t="shared" si="26"/>
        <v>5.4806389233419912</v>
      </c>
      <c r="H149">
        <f t="shared" si="27"/>
        <v>3.7232808808312687</v>
      </c>
      <c r="I149">
        <f t="shared" si="28"/>
        <v>-3.2093973323439368E-3</v>
      </c>
      <c r="J149">
        <f t="shared" si="29"/>
        <v>7.5120712458354664</v>
      </c>
      <c r="K149" s="30">
        <v>2.2355892603576124</v>
      </c>
      <c r="M149">
        <f t="shared" si="34"/>
        <v>2.2091311463074228</v>
      </c>
      <c r="O149">
        <f t="shared" si="30"/>
        <v>8.1911860046427893</v>
      </c>
      <c r="P149">
        <f t="shared" si="31"/>
        <v>0.79259929176009813</v>
      </c>
      <c r="Q149">
        <f t="shared" si="32"/>
        <v>54.739085348044306</v>
      </c>
      <c r="T149">
        <f t="shared" si="33"/>
        <v>1632.67394734915</v>
      </c>
    </row>
    <row r="150" spans="2:21" s="20" customFormat="1" ht="15.75" x14ac:dyDescent="0.3">
      <c r="B150" s="1">
        <v>240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</sheetData>
  <autoFilter ref="A22:U150" xr:uid="{A1CCF5D2-4E44-487C-9262-2513BA8431E7}"/>
  <mergeCells count="3">
    <mergeCell ref="A1:B1"/>
    <mergeCell ref="O21:R21"/>
    <mergeCell ref="T21:U21"/>
  </mergeCells>
  <phoneticPr fontId="10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eq24</vt:lpstr>
      <vt:lpstr>eq25</vt:lpstr>
      <vt:lpstr>eq25 (2)</vt:lpstr>
      <vt:lpstr>Bob</vt:lpstr>
      <vt:lpstr>'eq25 (2)'!_C1_exp16</vt:lpstr>
      <vt:lpstr>_C1_exp16</vt:lpstr>
      <vt:lpstr>_C1_exp8</vt:lpstr>
      <vt:lpstr>'eq25 (2)'!_C2_exp16</vt:lpstr>
      <vt:lpstr>_C2_exp16</vt:lpstr>
      <vt:lpstr>_C2_exp8</vt:lpstr>
      <vt:lpstr>'eq25 (2)'!_C3_exp16</vt:lpstr>
      <vt:lpstr>_C3_exp16</vt:lpstr>
      <vt:lpstr>_C3_exp8</vt:lpstr>
      <vt:lpstr>'eq25 (2)'!_C4_exp16</vt:lpstr>
      <vt:lpstr>_C4_exp16</vt:lpstr>
      <vt:lpstr>_C4_exp8</vt:lpstr>
      <vt:lpstr>'eq25 (2)'!_C5_exp16</vt:lpstr>
      <vt:lpstr>_C5_exp16</vt:lpstr>
      <vt:lpstr>_C5_exp8</vt:lpstr>
      <vt:lpstr>'eq25 (2)'!_C6_exp16</vt:lpstr>
      <vt:lpstr>_C6_exp16</vt:lpstr>
      <vt:lpstr>_C6_exp8</vt:lpstr>
      <vt:lpstr>'eq25 (2)'!_C7_exp16</vt:lpstr>
      <vt:lpstr>_C7_exp16</vt:lpstr>
      <vt:lpstr>_C7_exp8</vt:lpstr>
      <vt:lpstr>'eq25 (2)'!_C8_exp16</vt:lpstr>
      <vt:lpstr>_C8_exp16</vt:lpstr>
      <vt:lpstr>_C8_exp8</vt:lpstr>
      <vt:lpstr>'eq25 (2)'!d1_exp16</vt:lpstr>
      <vt:lpstr>d1_exp16</vt:lpstr>
      <vt:lpstr>'eq25 (2)'!d2_exp16</vt:lpstr>
      <vt:lpstr>d2_exp16</vt:lpstr>
      <vt:lpstr>'eq25 (2)'!d3_exp16</vt:lpstr>
      <vt:lpstr>d3_exp16</vt:lpstr>
      <vt:lpstr>'eq25 (2)'!d4_exp16</vt:lpstr>
      <vt:lpstr>d4_exp16</vt:lpstr>
      <vt:lpstr>'eq25 (2)'!d5_exp16</vt:lpstr>
      <vt:lpstr>d5_exp16</vt:lpstr>
      <vt:lpstr>'eq25 (2)'!d6_exp16</vt:lpstr>
      <vt:lpstr>d6_exp16</vt:lpstr>
      <vt:lpstr>'eq25 (2)'!d7_exp16</vt:lpstr>
      <vt:lpstr>d7_exp16</vt:lpstr>
      <vt:lpstr>'eq25 (2)'!d8_exp16</vt:lpstr>
      <vt:lpstr>d8_exp16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2023-05-19T15:54:56Z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