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044AA981-18AC-4AF9-A79E-D3EBB848A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Data!$I$2:$Q$105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8" i="1" l="1"/>
  <c r="E141" i="1"/>
  <c r="N27" i="1"/>
  <c r="D9" i="1" l="1"/>
  <c r="E9" i="1"/>
  <c r="D65" i="1" l="1"/>
  <c r="E65" i="1"/>
  <c r="D4" i="1"/>
  <c r="E4" i="1"/>
  <c r="D25" i="1"/>
  <c r="E25" i="1"/>
  <c r="D74" i="1" l="1"/>
  <c r="D62" i="1"/>
  <c r="D61" i="1"/>
  <c r="D58" i="1"/>
  <c r="D27" i="1"/>
  <c r="E27" i="1"/>
  <c r="D83" i="1"/>
  <c r="E83" i="1"/>
  <c r="D84" i="1"/>
  <c r="E84" i="1"/>
  <c r="D79" i="1"/>
  <c r="E79" i="1"/>
  <c r="D75" i="1"/>
  <c r="E75" i="1"/>
  <c r="D73" i="1"/>
  <c r="E73" i="1"/>
  <c r="D64" i="1"/>
  <c r="E64" i="1"/>
  <c r="D59" i="1"/>
  <c r="E59" i="1"/>
  <c r="D6" i="1"/>
  <c r="E6" i="1"/>
  <c r="D54" i="1"/>
  <c r="E54" i="1"/>
  <c r="D89" i="1"/>
  <c r="E89" i="1"/>
  <c r="D51" i="1"/>
  <c r="E51" i="1"/>
  <c r="D47" i="1"/>
  <c r="E47" i="1"/>
  <c r="D63" i="1"/>
  <c r="E63" i="1"/>
  <c r="D60" i="1"/>
  <c r="E60" i="1"/>
  <c r="D57" i="1"/>
  <c r="E57" i="1"/>
  <c r="E101" i="1"/>
  <c r="D101" i="1"/>
  <c r="D100" i="1" l="1"/>
  <c r="E100" i="1"/>
  <c r="E74" i="1" l="1"/>
  <c r="N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P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J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J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L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J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K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O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P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J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P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J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P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L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06" authorId="0" shapeId="0" xr:uid="{5144286A-696C-438C-B6CD-570AB69AE14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19" authorId="0" shapeId="0" xr:uid="{FA6B0BC0-BB42-464D-99C5-4A4EEE41E06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<sst xmlns="http://schemas.openxmlformats.org/spreadsheetml/2006/main" count="560" uniqueCount="21">
  <si>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</si>
  <si>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</si>
  <si>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</si>
  <si>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</si>
  <si>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</si>
  <si>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</si>
  <si>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</si>
  <si>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Rs (scf/stb)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</si>
  <si>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</si>
  <si>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</si>
  <si>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</si>
  <si>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</si>
  <si>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</si>
  <si>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</si>
  <si>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</si>
  <si>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</si>
  <si>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Gas Specific Gravity (1st Stage Separator)</t>
  </si>
  <si>
    <t>1st Stage Separator Temperature (degF)</t>
  </si>
  <si>
    <t>1st Stage Separator Pressure (psia)</t>
  </si>
  <si>
    <t>0.777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</si>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</sst>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3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1" fontId="1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8"/>
  <sheetViews>
    <sheetView tabSelected="1" zoomScaleNormal="100" workbookViewId="0">
      <pane xSplit="3" ySplit="2" topLeftCell="D3" activePane="bottomRight" state="frozen"/>
      <selection pane="topRight" activeCell="G1" sqref="G1"/>
      <selection pane="bottomLeft" activeCell="A3" sqref="A3"/>
      <selection pane="bottomRight" activeCell="C2" sqref="C2"/>
    </sheetView>
  </sheetViews>
  <sheetFormatPr defaultColWidth="9" defaultRowHeight="15.75" x14ac:dyDescent="0.3"/>
  <cols>
    <col min="1" max="1" width="9" style="3"/>
    <col min="2" max="2" width="29.140625" style="3" customWidth="1"/>
    <col min="3" max="3" width="34.42578125" style="3" bestFit="1" customWidth="1"/>
    <col min="4" max="4" width="23.5703125" style="3" customWidth="1"/>
    <col min="5" max="8" width="34.42578125" style="3" customWidth="1"/>
    <col min="9" max="9" width="24.42578125" style="16" customWidth="1"/>
    <col min="10" max="10" width="50.85546875" style="3" customWidth="1"/>
    <col min="11" max="11" width="25" style="3" customWidth="1"/>
    <col min="12" max="13" width="31.5703125" style="3" customWidth="1"/>
    <col min="14" max="14" width="29.28515625" style="3" customWidth="1"/>
    <col min="15" max="15" width="21.140625" style="3" customWidth="1"/>
    <col min="16" max="16" width="45.5703125" style="3" customWidth="1"/>
    <col min="17" max="17" width="23.5703125" style="3" customWidth="1"/>
    <col min="18" max="16384" width="9" style="3"/>
  </cols>
  <sheetData>
    <row r="1" spans="1:17" x14ac:dyDescent="0.3"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</row>
    <row r="2" spans="1:17" s="11" customFormat="1" ht="31.5" x14ac:dyDescent="0.3">
      <c r="B2" s="12" t="s">
        <v>1</v>
      </c>
      <c r="C2" s="12" t="s">
        <v>4</v>
      </c>
      <c r="D2" s="12" t="s">
        <v>7</v>
      </c>
      <c r="E2" s="12" t="s">
        <v>3</v>
      </c>
      <c r="F2" s="12" t="s">
        <v>16</v>
      </c>
      <c r="G2" s="12" t="s">
        <v>18</v>
      </c>
      <c r="H2" s="12" t="s">
        <v>17</v>
      </c>
      <c r="I2" s="15" t="s">
        <v>0</v>
      </c>
      <c r="J2" s="12" t="s">
        <v>11</v>
      </c>
      <c r="K2" s="12" t="s">
        <v>8</v>
      </c>
      <c r="L2" s="12" t="s">
        <v>6</v>
      </c>
      <c r="M2" s="12"/>
      <c r="N2" s="12" t="s">
        <v>12</v>
      </c>
      <c r="O2" s="12" t="s">
        <v>2</v>
      </c>
      <c r="P2" s="12" t="s">
        <v>10</v>
      </c>
      <c r="Q2" s="12" t="s">
        <v>9</v>
      </c>
    </row>
    <row r="3" spans="1:17" s="4" customFormat="1" x14ac:dyDescent="0.3">
      <c r="A3" s="4" t="s">
        <v>15</v>
      </c>
      <c r="B3" s="14">
        <v>3501</v>
      </c>
      <c r="C3" s="30">
        <v>174</v>
      </c>
      <c r="D3" s="20">
        <v>1667.7686823505683</v>
      </c>
      <c r="E3" s="19">
        <v>0.83574909006792664</v>
      </c>
      <c r="F3" s="19">
        <v>0.83574909006792664</v>
      </c>
      <c r="G3" s="19">
        <v>170</v>
      </c>
      <c r="H3" s="19">
        <v>92</v>
      </c>
      <c r="I3" s="13">
        <v>46.658961138443573</v>
      </c>
      <c r="J3" s="31">
        <v>1.9055786070768399</v>
      </c>
      <c r="K3" s="13" t="s">
        <v>5</v>
      </c>
      <c r="L3" s="32">
        <v>0.1800575556996</v>
      </c>
      <c r="M3" s="32"/>
      <c r="N3" s="6">
        <v>2.5861872746664799E-5</v>
      </c>
      <c r="O3" s="14">
        <v>8227</v>
      </c>
      <c r="P3" s="31">
        <v>1.75703537278207</v>
      </c>
      <c r="Q3" s="13" t="s">
        <v>5</v>
      </c>
    </row>
    <row r="4" spans="1:17" s="4" customFormat="1" x14ac:dyDescent="0.3">
      <c r="A4" s="4" t="s">
        <v>15</v>
      </c>
      <c r="B4" s="14">
        <v>6415</v>
      </c>
      <c r="C4" s="30">
        <v>159</v>
      </c>
      <c r="D4" s="20">
        <f>(3011*1.0461+39)</f>
        <v>3188.8071</v>
      </c>
      <c r="E4" s="19">
        <f>(3011*1.0461*0.7329+24*1.0283+15*1.3503)/(3011*1.0461+39)</f>
        <v>0.73802749736413975</v>
      </c>
      <c r="F4" s="19">
        <v>0.73292732331916266</v>
      </c>
      <c r="G4" s="19">
        <v>137.65</v>
      </c>
      <c r="H4" s="19">
        <v>115</v>
      </c>
      <c r="I4" s="13">
        <v>42.1</v>
      </c>
      <c r="J4" s="31" t="s">
        <v>5</v>
      </c>
      <c r="K4" s="33" t="s">
        <v>5</v>
      </c>
      <c r="L4" s="31" t="s">
        <v>5</v>
      </c>
      <c r="M4" s="31"/>
      <c r="N4" s="6">
        <v>2.9828500000000001E-5</v>
      </c>
      <c r="O4" s="14">
        <v>5439</v>
      </c>
      <c r="P4" s="31" t="s">
        <v>5</v>
      </c>
      <c r="Q4" s="13" t="s">
        <v>5</v>
      </c>
    </row>
    <row r="5" spans="1:17" x14ac:dyDescent="0.3">
      <c r="A5" s="4" t="s">
        <v>15</v>
      </c>
      <c r="B5" s="14">
        <v>3265</v>
      </c>
      <c r="C5" s="30">
        <v>157</v>
      </c>
      <c r="D5" s="20">
        <v>1133.4462691607539</v>
      </c>
      <c r="E5" s="19">
        <v>0.8500077412459377</v>
      </c>
      <c r="F5" s="19">
        <v>0.83101273422650757</v>
      </c>
      <c r="G5" s="19">
        <v>136</v>
      </c>
      <c r="H5" s="19">
        <v>128</v>
      </c>
      <c r="I5" s="13">
        <v>44.23</v>
      </c>
      <c r="J5" s="31">
        <v>1.5995999999999999</v>
      </c>
      <c r="K5" s="13" t="s">
        <v>5</v>
      </c>
      <c r="L5" s="32">
        <v>0.30599999999999999</v>
      </c>
      <c r="M5" s="32"/>
      <c r="N5" s="6">
        <v>1.78112E-5</v>
      </c>
      <c r="O5" s="14">
        <v>5690</v>
      </c>
      <c r="P5" s="31">
        <v>1.5450999999999999</v>
      </c>
      <c r="Q5" s="13" t="s">
        <v>5</v>
      </c>
    </row>
    <row r="6" spans="1:17" s="4" customFormat="1" x14ac:dyDescent="0.3">
      <c r="A6" s="4" t="s">
        <v>15</v>
      </c>
      <c r="B6" s="14">
        <v>5575</v>
      </c>
      <c r="C6" s="30">
        <v>190</v>
      </c>
      <c r="D6" s="20">
        <f>(7899*1.0611+41)</f>
        <v>8422.6288999999997</v>
      </c>
      <c r="E6" s="19">
        <f>(7899*1.0611*0.742+23*0.9619+19*1.4441)/(7899*1.0611+41)</f>
        <v>0.74427240214750523</v>
      </c>
      <c r="F6" s="19">
        <v>0.74204038562000874</v>
      </c>
      <c r="G6" s="19">
        <v>173.02500000000001</v>
      </c>
      <c r="H6" s="19">
        <v>119</v>
      </c>
      <c r="I6" s="13">
        <v>51.48</v>
      </c>
      <c r="J6" s="31" t="s">
        <v>5</v>
      </c>
      <c r="K6" s="34">
        <v>6.4061909429272449E-4</v>
      </c>
      <c r="L6" s="31" t="s">
        <v>5</v>
      </c>
      <c r="M6" s="31"/>
      <c r="N6" s="23">
        <v>6.183155080213914E-5</v>
      </c>
      <c r="O6" s="14">
        <v>9061</v>
      </c>
      <c r="P6" s="31" t="s">
        <v>5</v>
      </c>
      <c r="Q6" s="34">
        <v>5.5599417318106506E-4</v>
      </c>
    </row>
    <row r="7" spans="1:17" s="4" customFormat="1" x14ac:dyDescent="0.3">
      <c r="A7" s="4" t="s">
        <v>15</v>
      </c>
      <c r="B7" s="14">
        <v>3415</v>
      </c>
      <c r="C7" s="30">
        <v>153</v>
      </c>
      <c r="D7" s="20">
        <v>1371</v>
      </c>
      <c r="E7" s="19">
        <v>0.84958189781021909</v>
      </c>
      <c r="F7" s="19">
        <v>0.82987210374888709</v>
      </c>
      <c r="G7" s="19">
        <v>163</v>
      </c>
      <c r="H7" s="19">
        <v>117</v>
      </c>
      <c r="I7" s="13">
        <v>45.07</v>
      </c>
      <c r="J7" s="31">
        <v>1.7246999999999999</v>
      </c>
      <c r="K7" s="13" t="s">
        <v>5</v>
      </c>
      <c r="L7" s="32">
        <v>0.254</v>
      </c>
      <c r="M7" s="32"/>
      <c r="N7" s="6">
        <v>2.0641000000000001E-5</v>
      </c>
      <c r="O7" s="14">
        <v>5605</v>
      </c>
      <c r="P7" s="31">
        <v>1.6646000000000001</v>
      </c>
      <c r="Q7" s="13" t="s">
        <v>5</v>
      </c>
    </row>
    <row r="8" spans="1:17" s="4" customFormat="1" x14ac:dyDescent="0.3">
      <c r="A8" s="4" t="s">
        <v>15</v>
      </c>
      <c r="B8" s="14">
        <v>2965</v>
      </c>
      <c r="C8" s="30">
        <v>156</v>
      </c>
      <c r="D8" s="20">
        <v>979</v>
      </c>
      <c r="E8" s="19">
        <v>0.84233779366700712</v>
      </c>
      <c r="F8" s="19">
        <v>0.78772965564349784</v>
      </c>
      <c r="G8" s="19">
        <v>293</v>
      </c>
      <c r="H8" s="19">
        <v>119</v>
      </c>
      <c r="I8" s="13">
        <v>41.5</v>
      </c>
      <c r="J8" s="31">
        <v>1.5277000000000001</v>
      </c>
      <c r="K8" s="33" t="s">
        <v>5</v>
      </c>
      <c r="L8" s="32">
        <v>0.38600000000000001</v>
      </c>
      <c r="M8" s="32"/>
      <c r="N8" s="6">
        <v>1.84603E-5</v>
      </c>
      <c r="O8" s="14">
        <v>5578</v>
      </c>
      <c r="P8" s="31">
        <v>1.4709000000000001</v>
      </c>
      <c r="Q8" s="13" t="s">
        <v>5</v>
      </c>
    </row>
    <row r="9" spans="1:17" s="4" customFormat="1" x14ac:dyDescent="0.3">
      <c r="A9" s="4" t="s">
        <v>15</v>
      </c>
      <c r="B9" s="14">
        <v>4215</v>
      </c>
      <c r="C9" s="30">
        <v>135</v>
      </c>
      <c r="D9" s="20">
        <f>(1607*1.0505+60)</f>
        <v>1748.1534999999999</v>
      </c>
      <c r="E9" s="19">
        <f>(1607*1.0505*0.7748+19*0.8601+40*1.4479)/(1607*1.0505+60)</f>
        <v>0.79068527552071366</v>
      </c>
      <c r="F9" s="19">
        <v>0.77482417413906191</v>
      </c>
      <c r="G9" s="19">
        <v>119</v>
      </c>
      <c r="H9" s="19">
        <v>82</v>
      </c>
      <c r="I9" s="13">
        <v>43.13</v>
      </c>
      <c r="J9" s="31">
        <v>1.3649</v>
      </c>
      <c r="K9" s="33" t="s">
        <v>5</v>
      </c>
      <c r="L9" s="32" t="s">
        <v>5</v>
      </c>
      <c r="M9" s="32"/>
      <c r="N9" s="6">
        <v>2.21206E-5</v>
      </c>
      <c r="O9" s="14">
        <v>4087</v>
      </c>
      <c r="P9" s="31">
        <v>1.3649</v>
      </c>
      <c r="Q9" s="13" t="s">
        <v>5</v>
      </c>
    </row>
    <row r="10" spans="1:17" s="4" customFormat="1" x14ac:dyDescent="0.3">
      <c r="A10" s="4" t="s">
        <v>15</v>
      </c>
      <c r="B10" s="14">
        <v>2915.0250000000001</v>
      </c>
      <c r="C10" s="30">
        <v>132</v>
      </c>
      <c r="D10" s="20">
        <v>977</v>
      </c>
      <c r="E10" s="19">
        <v>0.81936949846468798</v>
      </c>
      <c r="F10" s="19">
        <v>0.80100000000000005</v>
      </c>
      <c r="G10" s="19">
        <v>77</v>
      </c>
      <c r="H10" s="19">
        <v>87</v>
      </c>
      <c r="I10" s="13">
        <v>39.19</v>
      </c>
      <c r="J10" s="31">
        <v>1.4986911732675505</v>
      </c>
      <c r="K10" s="33" t="s">
        <v>5</v>
      </c>
      <c r="L10" s="32">
        <v>0.44900000000000001</v>
      </c>
      <c r="M10" s="32"/>
      <c r="N10" s="6">
        <v>1.54185158706069E-5</v>
      </c>
      <c r="O10" s="14">
        <v>3962.0250000000001</v>
      </c>
      <c r="P10" s="31">
        <v>1.4773948236521384</v>
      </c>
      <c r="Q10" s="13" t="s">
        <v>5</v>
      </c>
    </row>
    <row r="11" spans="1:17" s="8" customFormat="1" x14ac:dyDescent="0.3">
      <c r="A11" s="4" t="s">
        <v>15</v>
      </c>
      <c r="B11" s="14">
        <v>325.02499999999998</v>
      </c>
      <c r="C11" s="30">
        <v>90</v>
      </c>
      <c r="D11" s="20">
        <v>224</v>
      </c>
      <c r="E11" s="19">
        <v>1.2951339285714287</v>
      </c>
      <c r="F11" s="19">
        <v>1.0640000000000001</v>
      </c>
      <c r="G11" s="19">
        <v>72.695999999999998</v>
      </c>
      <c r="H11" s="19">
        <v>76</v>
      </c>
      <c r="I11" s="13">
        <v>42.1</v>
      </c>
      <c r="J11" s="31">
        <v>1.1680999999999999</v>
      </c>
      <c r="K11" s="13" t="s">
        <v>5</v>
      </c>
      <c r="L11" s="32">
        <v>1.1719999999999999</v>
      </c>
      <c r="M11" s="32"/>
      <c r="N11" s="6">
        <v>1.03558E-5</v>
      </c>
      <c r="O11" s="14">
        <v>1297.0250000000001</v>
      </c>
      <c r="P11" s="31">
        <v>1.156944645</v>
      </c>
      <c r="Q11" s="13" t="s">
        <v>5</v>
      </c>
    </row>
    <row r="12" spans="1:17" s="4" customFormat="1" x14ac:dyDescent="0.3">
      <c r="A12" s="4" t="s">
        <v>15</v>
      </c>
      <c r="B12" s="14">
        <v>2515</v>
      </c>
      <c r="C12" s="30">
        <v>155</v>
      </c>
      <c r="D12" s="20">
        <v>895</v>
      </c>
      <c r="E12" s="19">
        <v>0.86946729910714293</v>
      </c>
      <c r="F12" s="19">
        <v>0.82754489840171508</v>
      </c>
      <c r="G12" s="19">
        <v>166</v>
      </c>
      <c r="H12" s="19">
        <v>120</v>
      </c>
      <c r="I12" s="13">
        <v>42.65</v>
      </c>
      <c r="J12" s="31">
        <v>1.4924999999999999</v>
      </c>
      <c r="K12" s="13" t="s">
        <v>5</v>
      </c>
      <c r="L12" s="32">
        <v>0.26800000000000002</v>
      </c>
      <c r="M12" s="32"/>
      <c r="N12" s="6">
        <v>1.72274E-5</v>
      </c>
      <c r="O12" s="14">
        <v>4278</v>
      </c>
      <c r="P12" s="31">
        <v>1.4563999999999999</v>
      </c>
      <c r="Q12" s="13" t="s">
        <v>5</v>
      </c>
    </row>
    <row r="13" spans="1:17" s="4" customFormat="1" ht="16.5" customHeight="1" x14ac:dyDescent="0.3">
      <c r="A13" s="4" t="s">
        <v>15</v>
      </c>
      <c r="B13" s="14">
        <v>3162</v>
      </c>
      <c r="C13" s="30">
        <v>157</v>
      </c>
      <c r="D13" s="20">
        <v>1179</v>
      </c>
      <c r="E13" s="19">
        <v>0.85150169491525418</v>
      </c>
      <c r="F13" s="19">
        <v>0.81100000000000005</v>
      </c>
      <c r="G13" s="19">
        <v>207</v>
      </c>
      <c r="H13" s="19">
        <v>133</v>
      </c>
      <c r="I13" s="13">
        <v>42</v>
      </c>
      <c r="J13" s="31">
        <v>1.6050995510203501</v>
      </c>
      <c r="K13" s="33" t="s">
        <v>5</v>
      </c>
      <c r="L13" s="32">
        <v>0.29599999999999999</v>
      </c>
      <c r="M13" s="32"/>
      <c r="N13" s="23">
        <v>1.794705998628507E-5</v>
      </c>
      <c r="O13" s="14">
        <v>4698</v>
      </c>
      <c r="P13" s="31">
        <v>1.569312227992639</v>
      </c>
      <c r="Q13" s="13" t="s">
        <v>5</v>
      </c>
    </row>
    <row r="14" spans="1:17" s="4" customFormat="1" x14ac:dyDescent="0.3">
      <c r="A14" s="4" t="s">
        <v>15</v>
      </c>
      <c r="B14" s="14">
        <v>2915</v>
      </c>
      <c r="C14" s="30">
        <v>157</v>
      </c>
      <c r="D14" s="20">
        <v>1064</v>
      </c>
      <c r="E14" s="19">
        <v>0.8712595864661653</v>
      </c>
      <c r="F14" s="19">
        <v>0.79234500546535214</v>
      </c>
      <c r="G14" s="19">
        <v>288</v>
      </c>
      <c r="H14" s="19">
        <v>120</v>
      </c>
      <c r="I14" s="13">
        <v>42.8</v>
      </c>
      <c r="J14" s="31">
        <v>1.5653999999999999</v>
      </c>
      <c r="K14" s="13" t="s">
        <v>5</v>
      </c>
      <c r="L14" s="32">
        <v>0.309</v>
      </c>
      <c r="M14" s="32"/>
      <c r="N14" s="6">
        <v>1.7852200000000002E-5</v>
      </c>
      <c r="O14" s="14">
        <v>6165</v>
      </c>
      <c r="P14" s="31">
        <v>1.4995000000000001</v>
      </c>
      <c r="Q14" s="13" t="s">
        <v>5</v>
      </c>
    </row>
    <row r="15" spans="1:17" s="4" customFormat="1" x14ac:dyDescent="0.3">
      <c r="A15" s="4" t="s">
        <v>15</v>
      </c>
      <c r="B15" s="14">
        <v>3981</v>
      </c>
      <c r="C15" s="30">
        <v>144</v>
      </c>
      <c r="D15" s="20">
        <v>1827</v>
      </c>
      <c r="E15" s="19">
        <v>0.77204269293924499</v>
      </c>
      <c r="F15" s="19">
        <v>0.72599999999999998</v>
      </c>
      <c r="G15" s="19">
        <v>292</v>
      </c>
      <c r="H15" s="19">
        <v>91</v>
      </c>
      <c r="I15" s="13">
        <v>45.6</v>
      </c>
      <c r="J15" s="31">
        <v>1.88574002017762</v>
      </c>
      <c r="K15" s="13" t="s">
        <v>5</v>
      </c>
      <c r="L15" s="32">
        <v>0.184</v>
      </c>
      <c r="M15" s="32"/>
      <c r="N15" s="23">
        <v>3.0246998091170203E-5</v>
      </c>
      <c r="O15" s="14">
        <v>4554</v>
      </c>
      <c r="P15" s="31">
        <v>1.86044577651448</v>
      </c>
      <c r="Q15" s="13" t="s">
        <v>5</v>
      </c>
    </row>
    <row r="16" spans="1:17" s="4" customFormat="1" x14ac:dyDescent="0.3">
      <c r="A16" s="4" t="s">
        <v>15</v>
      </c>
      <c r="B16" s="14">
        <v>3765.0250000000001</v>
      </c>
      <c r="C16" s="30">
        <v>164</v>
      </c>
      <c r="D16" s="20">
        <v>1633</v>
      </c>
      <c r="E16" s="19">
        <v>0.79283404776485</v>
      </c>
      <c r="F16" s="19">
        <v>0.72299999999999998</v>
      </c>
      <c r="G16" s="19">
        <v>495</v>
      </c>
      <c r="H16" s="19">
        <v>92</v>
      </c>
      <c r="I16" s="13">
        <v>47.66</v>
      </c>
      <c r="J16" s="31">
        <v>1.905</v>
      </c>
      <c r="K16" s="13" t="s">
        <v>5</v>
      </c>
      <c r="L16" s="32">
        <v>0.20899999999999999</v>
      </c>
      <c r="M16" s="32"/>
      <c r="N16" s="6">
        <v>2.86722E-5</v>
      </c>
      <c r="O16" s="14">
        <v>7671.0249999999996</v>
      </c>
      <c r="P16" s="31">
        <v>1.7716207204278491</v>
      </c>
      <c r="Q16" s="13" t="s">
        <v>5</v>
      </c>
    </row>
    <row r="17" spans="1:17" s="4" customFormat="1" x14ac:dyDescent="0.3">
      <c r="A17" s="4" t="s">
        <v>15</v>
      </c>
      <c r="B17" s="14">
        <v>4115</v>
      </c>
      <c r="C17" s="30">
        <v>165</v>
      </c>
      <c r="D17" s="20">
        <v>1921.8963562753036</v>
      </c>
      <c r="E17" s="19">
        <v>0.80648070107880954</v>
      </c>
      <c r="F17" s="19">
        <v>0.80648070107880954</v>
      </c>
      <c r="G17" s="19">
        <v>323</v>
      </c>
      <c r="H17" s="19">
        <v>125</v>
      </c>
      <c r="I17" s="13">
        <v>44.5</v>
      </c>
      <c r="J17" s="31">
        <v>2.032</v>
      </c>
      <c r="K17" s="33" t="s">
        <v>5</v>
      </c>
      <c r="L17" s="32">
        <v>0.13337967864028299</v>
      </c>
      <c r="M17" s="32"/>
      <c r="N17" s="6">
        <v>2.6290000000000001E-5</v>
      </c>
      <c r="O17" s="14">
        <v>6180</v>
      </c>
      <c r="P17" s="31">
        <v>1.944</v>
      </c>
      <c r="Q17" s="13" t="s">
        <v>5</v>
      </c>
    </row>
    <row r="18" spans="1:17" s="4" customFormat="1" x14ac:dyDescent="0.3">
      <c r="A18" s="4" t="s">
        <v>15</v>
      </c>
      <c r="B18" s="14">
        <v>2115</v>
      </c>
      <c r="C18" s="30">
        <v>142</v>
      </c>
      <c r="D18" s="20">
        <v>564</v>
      </c>
      <c r="E18" s="19">
        <v>0.92616719858156027</v>
      </c>
      <c r="F18" s="19">
        <v>0.8842641374337441</v>
      </c>
      <c r="G18" s="19">
        <v>133</v>
      </c>
      <c r="H18" s="19">
        <v>124</v>
      </c>
      <c r="I18" s="13">
        <v>38.86</v>
      </c>
      <c r="J18" s="31">
        <v>1.3082</v>
      </c>
      <c r="K18" s="33" t="s">
        <v>5</v>
      </c>
      <c r="L18" s="32">
        <v>0.59299999999999997</v>
      </c>
      <c r="M18" s="32"/>
      <c r="N18" s="6">
        <v>1.2208800000000001E-5</v>
      </c>
      <c r="O18" s="14">
        <v>5968</v>
      </c>
      <c r="P18" s="31">
        <v>1.2613000000000001</v>
      </c>
      <c r="Q18" s="13" t="s">
        <v>5</v>
      </c>
    </row>
    <row r="19" spans="1:17" s="4" customFormat="1" x14ac:dyDescent="0.3">
      <c r="A19" s="4" t="s">
        <v>15</v>
      </c>
      <c r="B19" s="14">
        <v>3365</v>
      </c>
      <c r="C19" s="30">
        <v>170</v>
      </c>
      <c r="D19" s="20">
        <v>1226</v>
      </c>
      <c r="E19" s="19">
        <v>0.88517026618550887</v>
      </c>
      <c r="F19" s="19">
        <v>0.86363653179974675</v>
      </c>
      <c r="G19" s="19">
        <v>124</v>
      </c>
      <c r="H19" s="19">
        <v>110</v>
      </c>
      <c r="I19" s="13">
        <v>41.82</v>
      </c>
      <c r="J19" s="31">
        <v>1.6618999999999999</v>
      </c>
      <c r="K19" s="13" t="s">
        <v>5</v>
      </c>
      <c r="L19" s="32">
        <v>0.25700000000000001</v>
      </c>
      <c r="M19" s="32"/>
      <c r="N19" s="6">
        <v>1.8875599999999999E-5</v>
      </c>
      <c r="O19" s="14">
        <v>6515</v>
      </c>
      <c r="P19" s="31">
        <v>1.5886</v>
      </c>
      <c r="Q19" s="13" t="s">
        <v>5</v>
      </c>
    </row>
    <row r="20" spans="1:17" s="4" customFormat="1" x14ac:dyDescent="0.3">
      <c r="A20" s="4" t="s">
        <v>15</v>
      </c>
      <c r="B20" s="14">
        <v>2865</v>
      </c>
      <c r="C20" s="30">
        <v>138</v>
      </c>
      <c r="D20" s="20">
        <v>848</v>
      </c>
      <c r="E20" s="19">
        <v>0.8846938679245282</v>
      </c>
      <c r="F20" s="19">
        <v>0.84400385530771593</v>
      </c>
      <c r="G20" s="19">
        <v>142</v>
      </c>
      <c r="H20" s="19">
        <v>108</v>
      </c>
      <c r="I20" s="13">
        <v>39.520000000000003</v>
      </c>
      <c r="J20" s="31">
        <v>1.4198</v>
      </c>
      <c r="K20" s="13" t="s">
        <v>5</v>
      </c>
      <c r="L20" s="32">
        <v>0.45600000000000002</v>
      </c>
      <c r="M20" s="32"/>
      <c r="N20" s="6">
        <v>1.3568600000000001E-5</v>
      </c>
      <c r="O20" s="14">
        <v>5612</v>
      </c>
      <c r="P20" s="31">
        <v>1.3776999999999999</v>
      </c>
      <c r="Q20" s="13" t="s">
        <v>5</v>
      </c>
    </row>
    <row r="21" spans="1:17" s="4" customFormat="1" x14ac:dyDescent="0.3">
      <c r="A21" s="4" t="s">
        <v>15</v>
      </c>
      <c r="B21" s="14">
        <v>2835</v>
      </c>
      <c r="C21" s="30">
        <v>149</v>
      </c>
      <c r="D21" s="20">
        <v>840</v>
      </c>
      <c r="E21" s="19">
        <v>0.89454904761904763</v>
      </c>
      <c r="F21" s="19">
        <v>0.86125559079917713</v>
      </c>
      <c r="G21" s="19">
        <v>138</v>
      </c>
      <c r="H21" s="19">
        <v>115</v>
      </c>
      <c r="I21" s="13">
        <v>39.229999999999997</v>
      </c>
      <c r="J21" s="31">
        <v>1.4476</v>
      </c>
      <c r="K21" s="13" t="s">
        <v>5</v>
      </c>
      <c r="L21" s="32">
        <v>0.38700000000000001</v>
      </c>
      <c r="M21" s="32"/>
      <c r="N21" s="6">
        <v>1.46948E-5</v>
      </c>
      <c r="O21" s="14">
        <v>6021</v>
      </c>
      <c r="P21" s="31">
        <v>1.3939999999999999</v>
      </c>
      <c r="Q21" s="13" t="s">
        <v>5</v>
      </c>
    </row>
    <row r="22" spans="1:17" s="4" customFormat="1" x14ac:dyDescent="0.3">
      <c r="A22" s="4" t="s">
        <v>15</v>
      </c>
      <c r="B22" s="14">
        <v>2615</v>
      </c>
      <c r="C22" s="30">
        <v>156</v>
      </c>
      <c r="D22" s="20">
        <v>743</v>
      </c>
      <c r="E22" s="19">
        <v>0.89798317631224767</v>
      </c>
      <c r="F22" s="19">
        <v>0.86726902129978689</v>
      </c>
      <c r="G22" s="19">
        <v>150</v>
      </c>
      <c r="H22" s="19">
        <v>118</v>
      </c>
      <c r="I22" s="13">
        <v>40.68</v>
      </c>
      <c r="J22" s="31">
        <v>1.3936999999999999</v>
      </c>
      <c r="K22" s="13" t="s">
        <v>5</v>
      </c>
      <c r="L22" s="32">
        <v>0.38100000000000001</v>
      </c>
      <c r="M22" s="32"/>
      <c r="N22" s="6">
        <v>1.37521E-5</v>
      </c>
      <c r="O22" s="14">
        <v>6575</v>
      </c>
      <c r="P22" s="31">
        <v>1.3373999999999999</v>
      </c>
      <c r="Q22" s="13" t="s">
        <v>5</v>
      </c>
    </row>
    <row r="23" spans="1:17" s="4" customFormat="1" x14ac:dyDescent="0.3">
      <c r="A23" s="4" t="s">
        <v>15</v>
      </c>
      <c r="B23" s="14">
        <v>2965</v>
      </c>
      <c r="C23" s="30">
        <v>164</v>
      </c>
      <c r="D23" s="20">
        <v>975</v>
      </c>
      <c r="E23" s="19">
        <v>0.86339910857758939</v>
      </c>
      <c r="F23" s="19">
        <v>0.8406676155832975</v>
      </c>
      <c r="G23" s="19">
        <v>144</v>
      </c>
      <c r="H23" s="19">
        <v>120</v>
      </c>
      <c r="I23" s="13">
        <v>40.47</v>
      </c>
      <c r="J23" s="31">
        <v>1.5153000000000001</v>
      </c>
      <c r="K23" s="13" t="s">
        <v>5</v>
      </c>
      <c r="L23" s="32">
        <v>0.36799999999999999</v>
      </c>
      <c r="M23" s="32"/>
      <c r="N23" s="6">
        <v>1.6968699999999999E-5</v>
      </c>
      <c r="O23" s="14">
        <v>8323</v>
      </c>
      <c r="P23" s="31">
        <v>1.4247000000000001</v>
      </c>
      <c r="Q23" s="13" t="s">
        <v>5</v>
      </c>
    </row>
    <row r="24" spans="1:17" s="4" customFormat="1" x14ac:dyDescent="0.3">
      <c r="A24" s="4" t="s">
        <v>15</v>
      </c>
      <c r="B24" s="14">
        <v>4280</v>
      </c>
      <c r="C24" s="30">
        <v>170</v>
      </c>
      <c r="D24" s="20">
        <v>2124</v>
      </c>
      <c r="E24" s="19">
        <v>0.78740556732153377</v>
      </c>
      <c r="F24" s="19">
        <v>0.76515554772977612</v>
      </c>
      <c r="G24" s="19">
        <v>151</v>
      </c>
      <c r="H24" s="19">
        <v>101</v>
      </c>
      <c r="I24" s="13">
        <v>46.5</v>
      </c>
      <c r="J24" s="31">
        <v>2.1372361680955811</v>
      </c>
      <c r="K24" s="13" t="s">
        <v>5</v>
      </c>
      <c r="L24" s="32">
        <v>0.16700000000000001</v>
      </c>
      <c r="M24" s="32"/>
      <c r="N24" s="23">
        <v>3.7546883008720921E-5</v>
      </c>
      <c r="O24" s="14">
        <v>8000</v>
      </c>
      <c r="P24" s="31">
        <v>1.9788422467159459</v>
      </c>
      <c r="Q24" s="13" t="s">
        <v>5</v>
      </c>
    </row>
    <row r="25" spans="1:17" s="4" customFormat="1" x14ac:dyDescent="0.3">
      <c r="A25" s="4" t="s">
        <v>15</v>
      </c>
      <c r="B25" s="14">
        <v>5187</v>
      </c>
      <c r="C25" s="30">
        <v>161</v>
      </c>
      <c r="D25" s="20">
        <f>(4380*1.1125+99)</f>
        <v>4971.75</v>
      </c>
      <c r="E25" s="19">
        <f>(4380*1.1125*0.7706+34*0.9715+65*1.4022)/(4380*1.1125+99)</f>
        <v>0.78023133705435699</v>
      </c>
      <c r="F25" s="19">
        <v>0.77057616586462863</v>
      </c>
      <c r="G25" s="19">
        <v>227.65</v>
      </c>
      <c r="H25" s="19">
        <v>139</v>
      </c>
      <c r="I25" s="13">
        <v>47.21</v>
      </c>
      <c r="J25" s="31" t="s">
        <v>5</v>
      </c>
      <c r="K25" s="34">
        <v>6.4415557599999899E-4</v>
      </c>
      <c r="L25" s="32" t="s">
        <v>5</v>
      </c>
      <c r="M25" s="32"/>
      <c r="N25" s="23">
        <v>4.5710145927484643E-5</v>
      </c>
      <c r="O25" s="14">
        <v>6115</v>
      </c>
      <c r="P25" s="31" t="s">
        <v>5</v>
      </c>
      <c r="Q25" s="34">
        <v>6.207016411351391E-4</v>
      </c>
    </row>
    <row r="26" spans="1:17" s="4" customFormat="1" x14ac:dyDescent="0.3">
      <c r="A26" s="4" t="s">
        <v>15</v>
      </c>
      <c r="B26" s="14">
        <v>4375</v>
      </c>
      <c r="C26" s="30">
        <v>167</v>
      </c>
      <c r="D26" s="20">
        <v>2645</v>
      </c>
      <c r="E26" s="19">
        <v>0.80427641371235392</v>
      </c>
      <c r="F26" s="19">
        <v>0.75691261161253154</v>
      </c>
      <c r="G26" s="19">
        <v>585</v>
      </c>
      <c r="H26" s="19">
        <v>121</v>
      </c>
      <c r="I26" s="13">
        <v>47.52</v>
      </c>
      <c r="J26" s="31">
        <v>2.3553999999999999</v>
      </c>
      <c r="K26" s="13" t="s">
        <v>5</v>
      </c>
      <c r="L26" s="32">
        <v>0.17699999999999999</v>
      </c>
      <c r="M26" s="32"/>
      <c r="N26" s="6">
        <v>3.3244699999999997E-5</v>
      </c>
      <c r="O26" s="14">
        <v>11083</v>
      </c>
      <c r="P26" s="31">
        <v>2.0859999999999999</v>
      </c>
      <c r="Q26" s="13" t="s">
        <v>5</v>
      </c>
    </row>
    <row r="27" spans="1:17" s="4" customFormat="1" x14ac:dyDescent="0.3">
      <c r="A27" s="4" t="s">
        <v>15</v>
      </c>
      <c r="B27" s="14">
        <v>5183</v>
      </c>
      <c r="C27" s="30">
        <v>157</v>
      </c>
      <c r="D27" s="20">
        <f>(3845*1.1132+109)</f>
        <v>4389.2539999999999</v>
      </c>
      <c r="E27" s="19">
        <f>(3845*1.1132*0.738+57*0.934+52*1.3185)/(3845*1.1132+109)</f>
        <v>0.74742255791075196</v>
      </c>
      <c r="F27" s="19">
        <v>0.73802649604066106</v>
      </c>
      <c r="G27" s="19">
        <v>374.65</v>
      </c>
      <c r="H27" s="19">
        <v>131</v>
      </c>
      <c r="I27" s="13">
        <v>47.57</v>
      </c>
      <c r="J27" s="31" t="s">
        <v>5</v>
      </c>
      <c r="K27" s="34">
        <v>6.4164260506897658E-4</v>
      </c>
      <c r="L27" s="32" t="s">
        <v>5</v>
      </c>
      <c r="M27" s="32"/>
      <c r="N27" s="23">
        <f>(1-0.98539)/0.98539*(1/(5515-5183))</f>
        <v>4.4658484555745014E-5</v>
      </c>
      <c r="O27" s="14">
        <v>5715</v>
      </c>
      <c r="P27" s="31" t="s">
        <v>5</v>
      </c>
      <c r="Q27" s="34">
        <v>6.2735650788273449E-4</v>
      </c>
    </row>
    <row r="28" spans="1:17" s="4" customFormat="1" x14ac:dyDescent="0.3">
      <c r="A28" s="4" t="s">
        <v>15</v>
      </c>
      <c r="B28" s="14">
        <v>4088</v>
      </c>
      <c r="C28" s="30">
        <v>148</v>
      </c>
      <c r="D28" s="20">
        <v>2393</v>
      </c>
      <c r="E28" s="19">
        <v>0.80163309653155035</v>
      </c>
      <c r="F28" s="19">
        <v>0.75600000000000001</v>
      </c>
      <c r="G28" s="19">
        <v>273</v>
      </c>
      <c r="H28" s="19">
        <v>100</v>
      </c>
      <c r="I28" s="13">
        <v>47.6</v>
      </c>
      <c r="J28" s="31">
        <v>2.2130739781586799</v>
      </c>
      <c r="K28" s="13" t="s">
        <v>5</v>
      </c>
      <c r="L28" s="32">
        <v>0.14699999999999999</v>
      </c>
      <c r="M28" s="32"/>
      <c r="N28" s="23">
        <v>3.2993586346309899E-5</v>
      </c>
      <c r="O28" s="14">
        <v>6177</v>
      </c>
      <c r="P28" s="31">
        <v>2.1040654680209947</v>
      </c>
      <c r="Q28" s="13" t="s">
        <v>5</v>
      </c>
    </row>
    <row r="29" spans="1:17" s="4" customFormat="1" x14ac:dyDescent="0.3">
      <c r="A29" s="4" t="s">
        <v>15</v>
      </c>
      <c r="B29" s="14">
        <v>4328.6499999999996</v>
      </c>
      <c r="C29" s="30">
        <v>143</v>
      </c>
      <c r="D29" s="20">
        <v>2261</v>
      </c>
      <c r="E29" s="19">
        <v>0.8055714285714286</v>
      </c>
      <c r="F29" s="19">
        <v>0.79700000000000004</v>
      </c>
      <c r="G29" s="19">
        <v>96</v>
      </c>
      <c r="H29" s="19">
        <v>123</v>
      </c>
      <c r="I29" s="13">
        <v>45.352893388326464</v>
      </c>
      <c r="J29" s="31">
        <v>2.1920000000000002</v>
      </c>
      <c r="K29" s="13" t="s">
        <v>5</v>
      </c>
      <c r="L29" s="32">
        <v>0.16600000000000001</v>
      </c>
      <c r="M29" s="32"/>
      <c r="N29" s="6">
        <v>2.97878E-5</v>
      </c>
      <c r="O29" s="14">
        <v>7114.65</v>
      </c>
      <c r="P29" s="31">
        <v>2.0699999999999998</v>
      </c>
      <c r="Q29" s="13" t="s">
        <v>5</v>
      </c>
    </row>
    <row r="30" spans="1:17" s="4" customFormat="1" x14ac:dyDescent="0.3">
      <c r="A30" s="4" t="s">
        <v>15</v>
      </c>
      <c r="B30" s="14">
        <v>3565</v>
      </c>
      <c r="C30" s="30">
        <v>142</v>
      </c>
      <c r="D30" s="20">
        <v>1598</v>
      </c>
      <c r="E30" s="19">
        <v>0.83444602876798013</v>
      </c>
      <c r="F30" s="19">
        <v>0.82320774336309677</v>
      </c>
      <c r="G30" s="19">
        <v>101</v>
      </c>
      <c r="H30" s="19">
        <v>103</v>
      </c>
      <c r="I30" s="13">
        <v>44.32</v>
      </c>
      <c r="J30" s="31">
        <v>1.8241000000000001</v>
      </c>
      <c r="K30" s="13" t="s">
        <v>5</v>
      </c>
      <c r="L30" s="32">
        <v>0.25900000000000001</v>
      </c>
      <c r="M30" s="32"/>
      <c r="N30" s="6">
        <v>2.1097100000000002E-5</v>
      </c>
      <c r="O30" s="14">
        <v>4731</v>
      </c>
      <c r="P30" s="31">
        <v>1.7854000000000001</v>
      </c>
      <c r="Q30" s="13" t="s">
        <v>5</v>
      </c>
    </row>
    <row r="31" spans="1:17" s="4" customFormat="1" x14ac:dyDescent="0.3">
      <c r="A31" s="4" t="s">
        <v>15</v>
      </c>
      <c r="B31" s="14">
        <v>4451</v>
      </c>
      <c r="C31" s="30">
        <v>151</v>
      </c>
      <c r="D31" s="20">
        <v>2689</v>
      </c>
      <c r="E31" s="19">
        <v>0.86693904456452753</v>
      </c>
      <c r="F31" s="19">
        <v>0.8576835401642261</v>
      </c>
      <c r="G31" s="19">
        <v>129</v>
      </c>
      <c r="H31" s="19">
        <v>127</v>
      </c>
      <c r="I31" s="13">
        <v>46.13</v>
      </c>
      <c r="J31" s="31">
        <v>2.4154</v>
      </c>
      <c r="K31" s="13" t="s">
        <v>5</v>
      </c>
      <c r="L31" s="32">
        <v>0.186</v>
      </c>
      <c r="M31" s="32"/>
      <c r="N31" s="6">
        <v>3.8010199999999997E-5</v>
      </c>
      <c r="O31" s="14">
        <v>6961</v>
      </c>
      <c r="P31" s="31">
        <v>2.2726000000000002</v>
      </c>
      <c r="Q31" s="13" t="s">
        <v>5</v>
      </c>
    </row>
    <row r="32" spans="1:17" s="4" customFormat="1" x14ac:dyDescent="0.3">
      <c r="A32" s="4" t="s">
        <v>15</v>
      </c>
      <c r="B32" s="14">
        <v>3995</v>
      </c>
      <c r="C32" s="30">
        <v>162</v>
      </c>
      <c r="D32" s="20">
        <v>2072</v>
      </c>
      <c r="E32" s="19">
        <v>0.84604101208844851</v>
      </c>
      <c r="F32" s="19">
        <v>0.83150008043762436</v>
      </c>
      <c r="G32" s="19">
        <v>140</v>
      </c>
      <c r="H32" s="19">
        <v>140</v>
      </c>
      <c r="I32" s="13">
        <v>44.89</v>
      </c>
      <c r="J32" s="31">
        <v>2.1619999999999999</v>
      </c>
      <c r="K32" s="13" t="s">
        <v>5</v>
      </c>
      <c r="L32" s="32">
        <v>0.151</v>
      </c>
      <c r="M32" s="32"/>
      <c r="N32" s="6">
        <v>2.9722599999999999E-5</v>
      </c>
      <c r="O32" s="14">
        <v>7154</v>
      </c>
      <c r="P32" s="31">
        <v>2.0295999999999998</v>
      </c>
      <c r="Q32" s="13" t="s">
        <v>5</v>
      </c>
    </row>
    <row r="33" spans="1:17" s="4" customFormat="1" x14ac:dyDescent="0.3">
      <c r="A33" s="4" t="s">
        <v>15</v>
      </c>
      <c r="B33" s="14">
        <v>3955</v>
      </c>
      <c r="C33" s="30">
        <v>140</v>
      </c>
      <c r="D33" s="20">
        <v>1776</v>
      </c>
      <c r="E33" s="19">
        <v>0.83418704954954959</v>
      </c>
      <c r="F33" s="19">
        <v>0.82304449287201775</v>
      </c>
      <c r="G33" s="19">
        <v>123</v>
      </c>
      <c r="H33" s="19">
        <v>110</v>
      </c>
      <c r="I33" s="13">
        <v>44.12</v>
      </c>
      <c r="J33" s="31">
        <v>1.901</v>
      </c>
      <c r="K33" s="13" t="s">
        <v>5</v>
      </c>
      <c r="L33" s="32">
        <v>0.21299999999999999</v>
      </c>
      <c r="M33" s="32"/>
      <c r="N33" s="6">
        <v>2.2328200000000001E-5</v>
      </c>
      <c r="O33" s="14">
        <v>3726</v>
      </c>
      <c r="P33" s="31">
        <v>1.901</v>
      </c>
      <c r="Q33" s="13" t="s">
        <v>5</v>
      </c>
    </row>
    <row r="34" spans="1:17" s="4" customFormat="1" x14ac:dyDescent="0.3">
      <c r="A34" s="4" t="s">
        <v>15</v>
      </c>
      <c r="B34" s="14">
        <v>3865</v>
      </c>
      <c r="C34" s="30">
        <v>147</v>
      </c>
      <c r="D34" s="20">
        <v>1786</v>
      </c>
      <c r="E34" s="19">
        <v>0.84211125419932797</v>
      </c>
      <c r="F34" s="19">
        <v>0.82779872305946911</v>
      </c>
      <c r="G34" s="19">
        <v>140</v>
      </c>
      <c r="H34" s="19">
        <v>118</v>
      </c>
      <c r="I34" s="13">
        <v>43.8</v>
      </c>
      <c r="J34" s="31">
        <v>1.9545999999999999</v>
      </c>
      <c r="K34" s="13" t="s">
        <v>5</v>
      </c>
      <c r="L34" s="32">
        <v>0.20799999999999999</v>
      </c>
      <c r="M34" s="32"/>
      <c r="N34" s="6">
        <v>2.40754E-5</v>
      </c>
      <c r="O34" s="14">
        <v>4774</v>
      </c>
      <c r="P34" s="31">
        <v>1.9172</v>
      </c>
      <c r="Q34" s="13" t="s">
        <v>5</v>
      </c>
    </row>
    <row r="35" spans="1:17" s="4" customFormat="1" x14ac:dyDescent="0.3">
      <c r="A35" s="4" t="s">
        <v>15</v>
      </c>
      <c r="B35" s="14">
        <v>4217</v>
      </c>
      <c r="C35" s="30">
        <v>146</v>
      </c>
      <c r="D35" s="20">
        <v>2247</v>
      </c>
      <c r="E35" s="19">
        <v>0.8427257117437722</v>
      </c>
      <c r="F35" s="19">
        <v>0.8288988591258849</v>
      </c>
      <c r="G35" s="19">
        <v>125</v>
      </c>
      <c r="H35" s="19">
        <v>120</v>
      </c>
      <c r="I35" s="13">
        <v>46.89</v>
      </c>
      <c r="J35" s="31">
        <v>2.1732999999999998</v>
      </c>
      <c r="K35" s="13" t="s">
        <v>5</v>
      </c>
      <c r="L35" s="32">
        <v>0.21099999999999999</v>
      </c>
      <c r="M35" s="32"/>
      <c r="N35" s="6">
        <v>3.1637200000000003E-5</v>
      </c>
      <c r="O35" s="14">
        <v>6728</v>
      </c>
      <c r="P35" s="31">
        <v>2.0609999999999999</v>
      </c>
      <c r="Q35" s="13" t="s">
        <v>5</v>
      </c>
    </row>
    <row r="36" spans="1:17" s="4" customFormat="1" x14ac:dyDescent="0.3">
      <c r="A36" s="4" t="s">
        <v>15</v>
      </c>
      <c r="B36" s="14">
        <v>4145</v>
      </c>
      <c r="C36" s="30">
        <v>158</v>
      </c>
      <c r="D36" s="20">
        <v>2196</v>
      </c>
      <c r="E36" s="19">
        <v>0.82779175398633253</v>
      </c>
      <c r="F36" s="19">
        <v>0.8106992154244923</v>
      </c>
      <c r="G36" s="19">
        <v>135</v>
      </c>
      <c r="H36" s="19">
        <v>122</v>
      </c>
      <c r="I36" s="13">
        <v>47.32</v>
      </c>
      <c r="J36" s="31">
        <v>2.1798999999999999</v>
      </c>
      <c r="K36" s="13" t="s">
        <v>5</v>
      </c>
      <c r="L36" s="32">
        <v>0.185</v>
      </c>
      <c r="M36" s="32"/>
      <c r="N36" s="6">
        <v>3.0255000000000001E-5</v>
      </c>
      <c r="O36" s="14">
        <v>5823</v>
      </c>
      <c r="P36" s="31">
        <v>2.0948000000000002</v>
      </c>
      <c r="Q36" s="13" t="s">
        <v>5</v>
      </c>
    </row>
    <row r="37" spans="1:17" s="4" customFormat="1" x14ac:dyDescent="0.3">
      <c r="A37" s="4" t="s">
        <v>15</v>
      </c>
      <c r="B37" s="14">
        <v>3465</v>
      </c>
      <c r="C37" s="30">
        <v>140</v>
      </c>
      <c r="D37" s="20">
        <v>1455</v>
      </c>
      <c r="E37" s="19">
        <v>0.80935814432989683</v>
      </c>
      <c r="F37" s="19">
        <v>0.75339284749805557</v>
      </c>
      <c r="G37" s="19">
        <v>217</v>
      </c>
      <c r="H37" s="19">
        <v>97</v>
      </c>
      <c r="I37" s="13">
        <v>43.88</v>
      </c>
      <c r="J37" s="31">
        <v>1.7339</v>
      </c>
      <c r="K37" s="13" t="s">
        <v>5</v>
      </c>
      <c r="L37" s="32">
        <v>0.434</v>
      </c>
      <c r="M37" s="32"/>
      <c r="N37" s="6">
        <v>2.06329E-5</v>
      </c>
      <c r="O37" s="14">
        <v>4865</v>
      </c>
      <c r="P37" s="31">
        <v>1.6921999999999999</v>
      </c>
      <c r="Q37" s="13" t="s">
        <v>5</v>
      </c>
    </row>
    <row r="38" spans="1:17" s="4" customFormat="1" x14ac:dyDescent="0.3">
      <c r="A38" s="4" t="s">
        <v>15</v>
      </c>
      <c r="B38" s="14">
        <v>2515</v>
      </c>
      <c r="C38" s="30">
        <v>149</v>
      </c>
      <c r="D38" s="20">
        <v>761</v>
      </c>
      <c r="E38" s="19">
        <v>0.88659053876478311</v>
      </c>
      <c r="F38" s="19">
        <v>0.86093332817963064</v>
      </c>
      <c r="G38" s="19">
        <v>135</v>
      </c>
      <c r="H38" s="19">
        <v>105</v>
      </c>
      <c r="I38" s="13">
        <v>40.659999999999997</v>
      </c>
      <c r="J38" s="31">
        <v>1.4036</v>
      </c>
      <c r="K38" s="13" t="s">
        <v>5</v>
      </c>
      <c r="L38" s="32">
        <v>0.41199999999999998</v>
      </c>
      <c r="M38" s="32"/>
      <c r="N38" s="6">
        <v>1.3774100000000001E-5</v>
      </c>
      <c r="O38" s="14">
        <v>5309</v>
      </c>
      <c r="P38" s="31">
        <v>1.3613999999999999</v>
      </c>
      <c r="Q38" s="13" t="s">
        <v>5</v>
      </c>
    </row>
    <row r="39" spans="1:17" s="4" customFormat="1" x14ac:dyDescent="0.3">
      <c r="A39" s="4" t="s">
        <v>15</v>
      </c>
      <c r="B39" s="14">
        <v>2215</v>
      </c>
      <c r="C39" s="30">
        <v>157</v>
      </c>
      <c r="D39" s="20">
        <v>694</v>
      </c>
      <c r="E39" s="19">
        <v>0.91650691642651272</v>
      </c>
      <c r="F39" s="19">
        <v>0.88093771890665729</v>
      </c>
      <c r="G39" s="19">
        <v>130</v>
      </c>
      <c r="H39" s="19">
        <v>122</v>
      </c>
      <c r="I39" s="13">
        <v>40.619999999999997</v>
      </c>
      <c r="J39" s="31">
        <v>1.3705000000000001</v>
      </c>
      <c r="K39" s="33" t="s">
        <v>5</v>
      </c>
      <c r="L39" s="32">
        <v>0.45300000000000001</v>
      </c>
      <c r="M39" s="32"/>
      <c r="N39" s="6">
        <v>1.46343E-5</v>
      </c>
      <c r="O39" s="14">
        <v>5916</v>
      </c>
      <c r="P39" s="31">
        <v>1.3181</v>
      </c>
      <c r="Q39" s="13" t="s">
        <v>5</v>
      </c>
    </row>
    <row r="40" spans="1:17" s="4" customFormat="1" x14ac:dyDescent="0.3">
      <c r="A40" s="4" t="s">
        <v>15</v>
      </c>
      <c r="B40" s="14">
        <v>3165</v>
      </c>
      <c r="C40" s="30">
        <v>169</v>
      </c>
      <c r="D40" s="20">
        <v>1193</v>
      </c>
      <c r="E40" s="19">
        <v>0.92319242033006776</v>
      </c>
      <c r="F40" s="19">
        <v>0.89389175125113807</v>
      </c>
      <c r="G40" s="19">
        <v>193</v>
      </c>
      <c r="H40" s="19">
        <v>141</v>
      </c>
      <c r="I40" s="13">
        <v>43.95</v>
      </c>
      <c r="J40" s="31">
        <v>1.6789000000000001</v>
      </c>
      <c r="K40" s="13" t="s">
        <v>5</v>
      </c>
      <c r="L40" s="32">
        <v>0.23499999999999999</v>
      </c>
      <c r="M40" s="32"/>
      <c r="N40" s="6">
        <v>2.0536100000000001E-5</v>
      </c>
      <c r="O40" s="14">
        <v>6972</v>
      </c>
      <c r="P40" s="31">
        <v>1.5885</v>
      </c>
      <c r="Q40" s="13" t="s">
        <v>5</v>
      </c>
    </row>
    <row r="41" spans="1:17" s="4" customFormat="1" x14ac:dyDescent="0.3">
      <c r="A41" s="4" t="s">
        <v>15</v>
      </c>
      <c r="B41" s="14">
        <v>5655</v>
      </c>
      <c r="C41" s="30">
        <v>165</v>
      </c>
      <c r="D41" s="20">
        <v>2539</v>
      </c>
      <c r="E41" s="19">
        <v>0.77590107505608719</v>
      </c>
      <c r="F41" s="19">
        <v>0.7609999999999999</v>
      </c>
      <c r="G41" s="19">
        <v>227</v>
      </c>
      <c r="H41" s="19">
        <v>120</v>
      </c>
      <c r="I41" s="13">
        <v>41.67</v>
      </c>
      <c r="J41" s="31">
        <v>2.2337833825723759</v>
      </c>
      <c r="K41" s="13" t="s">
        <v>5</v>
      </c>
      <c r="L41" s="32">
        <v>0.249</v>
      </c>
      <c r="M41" s="32"/>
      <c r="N41" s="6">
        <v>2.70824E-5</v>
      </c>
      <c r="O41" s="14">
        <v>6515</v>
      </c>
      <c r="P41" s="31">
        <v>2.1887727105337955</v>
      </c>
      <c r="Q41" s="13" t="s">
        <v>5</v>
      </c>
    </row>
    <row r="42" spans="1:17" s="4" customFormat="1" x14ac:dyDescent="0.3">
      <c r="A42" s="4" t="s">
        <v>15</v>
      </c>
      <c r="B42" s="14">
        <v>3865</v>
      </c>
      <c r="C42" s="30">
        <v>165</v>
      </c>
      <c r="D42" s="20">
        <v>1311</v>
      </c>
      <c r="E42" s="19">
        <v>0.80779518026477171</v>
      </c>
      <c r="F42" s="19">
        <v>0.78064015682574994</v>
      </c>
      <c r="G42" s="19">
        <v>220</v>
      </c>
      <c r="H42" s="19">
        <v>122</v>
      </c>
      <c r="I42" s="13">
        <v>41.31</v>
      </c>
      <c r="J42" s="31">
        <v>1.7010000000000001</v>
      </c>
      <c r="K42" s="13" t="s">
        <v>5</v>
      </c>
      <c r="L42" s="32">
        <v>0.36599999999999999</v>
      </c>
      <c r="M42" s="32"/>
      <c r="N42" s="6">
        <v>2.0366100000000001E-5</v>
      </c>
      <c r="O42" s="14">
        <v>7215</v>
      </c>
      <c r="P42" s="31">
        <v>1.6188</v>
      </c>
      <c r="Q42" s="13" t="s">
        <v>5</v>
      </c>
    </row>
    <row r="43" spans="1:17" s="4" customFormat="1" x14ac:dyDescent="0.3">
      <c r="A43" s="4" t="s">
        <v>15</v>
      </c>
      <c r="B43" s="14">
        <v>4820</v>
      </c>
      <c r="C43" s="30">
        <v>176</v>
      </c>
      <c r="D43" s="20">
        <v>7104</v>
      </c>
      <c r="E43" s="19">
        <v>0.75817891207484189</v>
      </c>
      <c r="F43" s="19">
        <v>0.75102607987128944</v>
      </c>
      <c r="G43" s="19">
        <v>210</v>
      </c>
      <c r="H43" s="19">
        <v>118</v>
      </c>
      <c r="I43" s="13">
        <v>52.3</v>
      </c>
      <c r="J43" s="31">
        <v>5.1120000000000001</v>
      </c>
      <c r="K43" s="34" t="s">
        <v>5</v>
      </c>
      <c r="L43" s="32">
        <v>5.0999999999999997E-2</v>
      </c>
      <c r="M43" s="32"/>
      <c r="N43" s="23">
        <v>7.5153502924252676E-5</v>
      </c>
      <c r="O43" s="14">
        <v>7596</v>
      </c>
      <c r="P43" s="31" t="s">
        <v>5</v>
      </c>
      <c r="Q43" s="34" t="s">
        <v>5</v>
      </c>
    </row>
    <row r="44" spans="1:17" s="4" customFormat="1" x14ac:dyDescent="0.3">
      <c r="A44" s="4" t="s">
        <v>15</v>
      </c>
      <c r="B44" s="14">
        <v>3815</v>
      </c>
      <c r="C44" s="30">
        <v>149</v>
      </c>
      <c r="D44" s="20">
        <v>1583</v>
      </c>
      <c r="E44" s="19">
        <v>0.82023585858585857</v>
      </c>
      <c r="F44" s="19">
        <v>0.80216050299434982</v>
      </c>
      <c r="G44" s="19">
        <v>138</v>
      </c>
      <c r="H44" s="19">
        <v>89</v>
      </c>
      <c r="I44" s="13">
        <v>44.41</v>
      </c>
      <c r="J44" s="31">
        <v>1.8231999999999999</v>
      </c>
      <c r="K44" s="13" t="s">
        <v>5</v>
      </c>
      <c r="L44" s="32">
        <v>0.254</v>
      </c>
      <c r="M44" s="32"/>
      <c r="N44" s="6">
        <v>2.1942399999999998E-5</v>
      </c>
      <c r="O44" s="14">
        <v>5215</v>
      </c>
      <c r="P44" s="31">
        <v>1.7758</v>
      </c>
      <c r="Q44" s="13" t="s">
        <v>5</v>
      </c>
    </row>
    <row r="45" spans="1:17" s="4" customFormat="1" x14ac:dyDescent="0.3">
      <c r="A45" s="4" t="s">
        <v>15</v>
      </c>
      <c r="B45" s="14">
        <v>3565</v>
      </c>
      <c r="C45" s="30">
        <v>152</v>
      </c>
      <c r="D45" s="20">
        <v>1562</v>
      </c>
      <c r="E45" s="19">
        <v>0.82400711082639333</v>
      </c>
      <c r="F45" s="19">
        <v>0.80931121991284671</v>
      </c>
      <c r="G45" s="19">
        <v>151</v>
      </c>
      <c r="H45" s="19">
        <v>91</v>
      </c>
      <c r="I45" s="13">
        <v>46.69</v>
      </c>
      <c r="J45" s="31">
        <v>1.8395999999999999</v>
      </c>
      <c r="K45" s="13" t="s">
        <v>5</v>
      </c>
      <c r="L45" s="32">
        <v>0.29299999999999998</v>
      </c>
      <c r="M45" s="32"/>
      <c r="N45" s="6">
        <v>2.3057500000000001E-5</v>
      </c>
      <c r="O45" s="14">
        <v>7315</v>
      </c>
      <c r="P45" s="31">
        <v>1.7322</v>
      </c>
      <c r="Q45" s="13" t="s">
        <v>5</v>
      </c>
    </row>
    <row r="46" spans="1:17" s="4" customFormat="1" x14ac:dyDescent="0.3">
      <c r="A46" s="4" t="s">
        <v>15</v>
      </c>
      <c r="B46" s="14">
        <v>4271</v>
      </c>
      <c r="C46" s="30">
        <v>129</v>
      </c>
      <c r="D46" s="20">
        <v>1992</v>
      </c>
      <c r="E46" s="19">
        <v>0.84911701807228912</v>
      </c>
      <c r="F46" s="19">
        <v>0.83478932132523653</v>
      </c>
      <c r="G46" s="19">
        <v>147</v>
      </c>
      <c r="H46" s="19">
        <v>82</v>
      </c>
      <c r="I46" s="13">
        <v>46.91</v>
      </c>
      <c r="J46" s="31">
        <v>1.9789000000000001</v>
      </c>
      <c r="K46" s="13" t="s">
        <v>5</v>
      </c>
      <c r="L46" s="32">
        <v>0.504</v>
      </c>
      <c r="M46" s="32"/>
      <c r="N46" s="6">
        <v>2.2232000608155799E-5</v>
      </c>
      <c r="O46" s="14">
        <v>4215</v>
      </c>
      <c r="P46" s="31" t="s">
        <v>5</v>
      </c>
      <c r="Q46" s="13" t="s">
        <v>5</v>
      </c>
    </row>
    <row r="47" spans="1:17" s="4" customFormat="1" x14ac:dyDescent="0.3">
      <c r="A47" s="4" t="s">
        <v>15</v>
      </c>
      <c r="B47" s="14">
        <v>5335</v>
      </c>
      <c r="C47" s="30">
        <v>189</v>
      </c>
      <c r="D47" s="20">
        <f>(9000*1.0501+39)</f>
        <v>9489.9</v>
      </c>
      <c r="E47" s="19">
        <f>(9000*1.0501*0.7561+14*0.8875+25*1.3218)/(9000*1.0501+39)</f>
        <v>0.75778411679785873</v>
      </c>
      <c r="F47" s="19">
        <v>0.75610490431328903</v>
      </c>
      <c r="G47" s="19">
        <v>114.02500000000001</v>
      </c>
      <c r="H47" s="19">
        <v>115</v>
      </c>
      <c r="I47" s="13">
        <v>49.47</v>
      </c>
      <c r="J47" s="31" t="s">
        <v>5</v>
      </c>
      <c r="K47" s="34">
        <v>6.5025002113312563E-4</v>
      </c>
      <c r="L47" s="32" t="s">
        <v>5</v>
      </c>
      <c r="M47" s="32"/>
      <c r="N47" s="23">
        <v>6.6363559345965624E-5</v>
      </c>
      <c r="O47" s="14">
        <v>7765</v>
      </c>
      <c r="P47" s="31" t="s">
        <v>5</v>
      </c>
      <c r="Q47" s="34">
        <v>5.7769407632494139E-4</v>
      </c>
    </row>
    <row r="48" spans="1:17" s="4" customFormat="1" x14ac:dyDescent="0.3">
      <c r="A48" s="4" t="s">
        <v>15</v>
      </c>
      <c r="B48" s="14">
        <v>3615</v>
      </c>
      <c r="C48" s="30">
        <v>143</v>
      </c>
      <c r="D48" s="20">
        <v>1537</v>
      </c>
      <c r="E48" s="19">
        <v>0.83229050097592716</v>
      </c>
      <c r="F48" s="19">
        <v>0.80648521242147431</v>
      </c>
      <c r="G48" s="19">
        <v>132</v>
      </c>
      <c r="H48" s="19">
        <v>108</v>
      </c>
      <c r="I48" s="13">
        <v>44.76</v>
      </c>
      <c r="J48" s="31">
        <v>1.7962</v>
      </c>
      <c r="K48" s="13" t="s">
        <v>5</v>
      </c>
      <c r="L48" s="32">
        <v>0.23799999999999999</v>
      </c>
      <c r="M48" s="32"/>
      <c r="N48" s="6">
        <v>2.0970200000000001E-5</v>
      </c>
      <c r="O48" s="14">
        <v>5365</v>
      </c>
      <c r="P48" s="31">
        <v>1.7427999999999999</v>
      </c>
      <c r="Q48" s="13" t="s">
        <v>5</v>
      </c>
    </row>
    <row r="49" spans="1:17" s="4" customFormat="1" x14ac:dyDescent="0.3">
      <c r="A49" s="4" t="s">
        <v>15</v>
      </c>
      <c r="B49" s="14">
        <v>3992</v>
      </c>
      <c r="C49" s="30">
        <v>169</v>
      </c>
      <c r="D49" s="20">
        <v>1902.8279498619736</v>
      </c>
      <c r="E49" s="19">
        <v>0.83751465827147997</v>
      </c>
      <c r="F49" s="19">
        <v>0.82030796151061891</v>
      </c>
      <c r="G49" s="19">
        <v>133</v>
      </c>
      <c r="H49" s="19">
        <v>120</v>
      </c>
      <c r="I49" s="13">
        <v>46.98</v>
      </c>
      <c r="J49" s="31">
        <v>2.0244</v>
      </c>
      <c r="K49" s="13" t="s">
        <v>5</v>
      </c>
      <c r="L49" s="32">
        <v>0.188</v>
      </c>
      <c r="M49" s="32"/>
      <c r="N49" s="6">
        <v>2.8958600000000001E-5</v>
      </c>
      <c r="O49" s="14">
        <v>7108</v>
      </c>
      <c r="P49" s="31">
        <v>1.9049</v>
      </c>
      <c r="Q49" s="13" t="s">
        <v>5</v>
      </c>
    </row>
    <row r="50" spans="1:17" s="4" customFormat="1" x14ac:dyDescent="0.3">
      <c r="A50" s="4" t="s">
        <v>15</v>
      </c>
      <c r="B50" s="14">
        <v>3865</v>
      </c>
      <c r="C50" s="30">
        <v>154</v>
      </c>
      <c r="D50" s="20">
        <v>1611</v>
      </c>
      <c r="E50" s="19">
        <v>0.8241312228429547</v>
      </c>
      <c r="F50" s="19">
        <v>0.80789158014860629</v>
      </c>
      <c r="G50" s="19">
        <v>138</v>
      </c>
      <c r="H50" s="19">
        <v>100</v>
      </c>
      <c r="I50" s="13">
        <v>44.43</v>
      </c>
      <c r="J50" s="31">
        <v>1.8481000000000001</v>
      </c>
      <c r="K50" s="13" t="s">
        <v>5</v>
      </c>
      <c r="L50" s="32">
        <v>0.21</v>
      </c>
      <c r="M50" s="32"/>
      <c r="N50" s="6">
        <v>2.41219E-5</v>
      </c>
      <c r="O50" s="14">
        <v>5180</v>
      </c>
      <c r="P50" s="31">
        <v>1.7997000000000001</v>
      </c>
      <c r="Q50" s="13" t="s">
        <v>5</v>
      </c>
    </row>
    <row r="51" spans="1:17" s="4" customFormat="1" x14ac:dyDescent="0.3">
      <c r="A51" s="4" t="s">
        <v>15</v>
      </c>
      <c r="B51" s="14">
        <v>6058</v>
      </c>
      <c r="C51" s="30">
        <v>145</v>
      </c>
      <c r="D51" s="20">
        <f>(6523*1.0697+53)</f>
        <v>7030.6531000000004</v>
      </c>
      <c r="E51" s="19">
        <f>(6523*1.0697*0.7366+14*0.9432+39*1.248)/(6523*1.0697+53)</f>
        <v>0.73984820463692058</v>
      </c>
      <c r="F51" s="19">
        <v>0.73664143562084083</v>
      </c>
      <c r="G51" s="19">
        <v>166.02500000000001</v>
      </c>
      <c r="H51" s="19">
        <v>109</v>
      </c>
      <c r="I51" s="13">
        <v>48.64</v>
      </c>
      <c r="J51" s="31" t="s">
        <v>5</v>
      </c>
      <c r="K51" s="34">
        <v>5.9443490046187587E-4</v>
      </c>
      <c r="L51" s="32" t="s">
        <v>5</v>
      </c>
      <c r="M51" s="32"/>
      <c r="N51" s="23">
        <v>3.8767352612879179E-5</v>
      </c>
      <c r="O51" s="14">
        <v>7750</v>
      </c>
      <c r="P51" s="31" t="s">
        <v>5</v>
      </c>
      <c r="Q51" s="34">
        <v>5.6165260662974735E-4</v>
      </c>
    </row>
    <row r="52" spans="1:17" s="4" customFormat="1" x14ac:dyDescent="0.3">
      <c r="A52" s="4" t="s">
        <v>15</v>
      </c>
      <c r="B52" s="14">
        <v>3365</v>
      </c>
      <c r="C52" s="30">
        <v>129</v>
      </c>
      <c r="D52" s="20">
        <v>1106</v>
      </c>
      <c r="E52" s="19">
        <v>0.83125307414104888</v>
      </c>
      <c r="F52" s="19">
        <v>0.77508040889970964</v>
      </c>
      <c r="G52" s="19">
        <v>307</v>
      </c>
      <c r="H52" s="19">
        <v>100</v>
      </c>
      <c r="I52" s="13">
        <v>38.78</v>
      </c>
      <c r="J52" s="31">
        <v>1.5330965401161434</v>
      </c>
      <c r="K52" s="13" t="s">
        <v>5</v>
      </c>
      <c r="L52" s="32">
        <v>0.45</v>
      </c>
      <c r="M52" s="32"/>
      <c r="N52" s="6">
        <v>1.6000600000000001E-5</v>
      </c>
      <c r="O52" s="14">
        <v>4960</v>
      </c>
      <c r="P52" s="35">
        <v>1.5794999999999999</v>
      </c>
      <c r="Q52" s="13" t="s">
        <v>5</v>
      </c>
    </row>
    <row r="53" spans="1:17" s="4" customFormat="1" x14ac:dyDescent="0.3">
      <c r="A53" s="4" t="s">
        <v>15</v>
      </c>
      <c r="B53" s="14">
        <v>2415</v>
      </c>
      <c r="C53" s="30">
        <v>137</v>
      </c>
      <c r="D53" s="20">
        <v>716</v>
      </c>
      <c r="E53" s="19">
        <v>0.8440983240223463</v>
      </c>
      <c r="F53" s="19">
        <v>0.77334188408825277</v>
      </c>
      <c r="G53" s="19">
        <v>231</v>
      </c>
      <c r="H53" s="19">
        <v>96</v>
      </c>
      <c r="I53" s="13">
        <v>37.92</v>
      </c>
      <c r="J53" s="31">
        <v>1.3903466158085649</v>
      </c>
      <c r="K53" s="13" t="s">
        <v>5</v>
      </c>
      <c r="L53" s="32">
        <v>0.56000000000000005</v>
      </c>
      <c r="M53" s="32"/>
      <c r="N53" s="6">
        <v>1.4001E-5</v>
      </c>
      <c r="O53" s="14">
        <v>4815</v>
      </c>
      <c r="P53" s="31">
        <v>1.352737733274451</v>
      </c>
      <c r="Q53" s="13" t="s">
        <v>5</v>
      </c>
    </row>
    <row r="54" spans="1:17" s="4" customFormat="1" x14ac:dyDescent="0.3">
      <c r="A54" s="4" t="s">
        <v>15</v>
      </c>
      <c r="B54" s="14">
        <v>5435</v>
      </c>
      <c r="C54" s="30">
        <v>192</v>
      </c>
      <c r="D54" s="20">
        <f>(7889*1.0674+47)</f>
        <v>8467.7186000000002</v>
      </c>
      <c r="E54" s="19">
        <f>(7889*1.0674*0.7451+26*0.9251+21*1.3754)/(7889*1.0674+47)</f>
        <v>0.7472158355451255</v>
      </c>
      <c r="F54" s="19">
        <v>0.74508425971629633</v>
      </c>
      <c r="G54" s="19">
        <v>163.02500000000001</v>
      </c>
      <c r="H54" s="19">
        <v>124</v>
      </c>
      <c r="I54" s="13">
        <v>51.74</v>
      </c>
      <c r="J54" s="31" t="s">
        <v>5</v>
      </c>
      <c r="K54" s="34">
        <v>6.4655033071049411E-4</v>
      </c>
      <c r="L54" s="32" t="s">
        <v>5</v>
      </c>
      <c r="M54" s="32"/>
      <c r="N54" s="23">
        <v>6.1927960315292786E-5</v>
      </c>
      <c r="O54" s="14">
        <v>9144</v>
      </c>
      <c r="P54" s="31" t="s">
        <v>5</v>
      </c>
      <c r="Q54" s="34">
        <v>5.5389080596651176E-4</v>
      </c>
    </row>
    <row r="55" spans="1:17" s="4" customFormat="1" x14ac:dyDescent="0.3">
      <c r="A55" s="4" t="s">
        <v>15</v>
      </c>
      <c r="B55" s="14">
        <v>4535</v>
      </c>
      <c r="C55" s="30">
        <v>177</v>
      </c>
      <c r="D55" s="20">
        <v>2583</v>
      </c>
      <c r="E55" s="19">
        <v>0.78466681175390973</v>
      </c>
      <c r="F55" s="19">
        <v>0.77583220863503133</v>
      </c>
      <c r="G55" s="19">
        <v>147</v>
      </c>
      <c r="H55" s="19">
        <v>123</v>
      </c>
      <c r="I55" s="13">
        <v>47.68</v>
      </c>
      <c r="J55" s="31">
        <v>2.4142999999999999</v>
      </c>
      <c r="K55" s="13" t="s">
        <v>5</v>
      </c>
      <c r="L55" s="32">
        <v>0.125</v>
      </c>
      <c r="M55" s="32"/>
      <c r="N55" s="6">
        <v>3.9792000000000001E-5</v>
      </c>
      <c r="O55" s="14">
        <v>7617</v>
      </c>
      <c r="P55" s="31">
        <v>2.2368000000000001</v>
      </c>
      <c r="Q55" s="13" t="s">
        <v>5</v>
      </c>
    </row>
    <row r="56" spans="1:17" s="4" customFormat="1" x14ac:dyDescent="0.3">
      <c r="A56" s="4" t="s">
        <v>15</v>
      </c>
      <c r="B56" s="14">
        <v>4575</v>
      </c>
      <c r="C56" s="30">
        <v>176</v>
      </c>
      <c r="D56" s="20">
        <v>2592.8721580424876</v>
      </c>
      <c r="E56" s="19">
        <v>0.79100877299711558</v>
      </c>
      <c r="F56" s="19">
        <v>0.78232841151405963</v>
      </c>
      <c r="G56" s="19">
        <v>143</v>
      </c>
      <c r="H56" s="19">
        <v>127</v>
      </c>
      <c r="I56" s="13">
        <v>48.11</v>
      </c>
      <c r="J56" s="31">
        <v>2.4289999999999998</v>
      </c>
      <c r="K56" s="13" t="s">
        <v>5</v>
      </c>
      <c r="L56" s="32">
        <v>0.127</v>
      </c>
      <c r="M56" s="32"/>
      <c r="N56" s="6">
        <v>3.7751499999999999E-5</v>
      </c>
      <c r="O56" s="14">
        <v>7449</v>
      </c>
      <c r="P56" s="31">
        <v>2.2591000000000001</v>
      </c>
      <c r="Q56" s="13" t="s">
        <v>5</v>
      </c>
    </row>
    <row r="57" spans="1:17" s="4" customFormat="1" x14ac:dyDescent="0.3">
      <c r="A57" s="4" t="s">
        <v>15</v>
      </c>
      <c r="B57" s="14">
        <v>5238</v>
      </c>
      <c r="C57" s="30">
        <v>180</v>
      </c>
      <c r="D57" s="20">
        <f>(3780*1.0517+34)</f>
        <v>4009.4260000000004</v>
      </c>
      <c r="E57" s="19">
        <f>(3708*1.0517*0.7831+10*0.8186+12*0.9849+13*1.2101)/(3780*1.0517+34)</f>
        <v>0.77058261934750771</v>
      </c>
      <c r="F57" s="19">
        <v>0.78306060735017202</v>
      </c>
      <c r="G57" s="19">
        <v>160.02500000000001</v>
      </c>
      <c r="H57" s="19">
        <v>150</v>
      </c>
      <c r="I57" s="13">
        <v>47.23</v>
      </c>
      <c r="J57" s="31" t="s">
        <v>5</v>
      </c>
      <c r="K57" s="34">
        <v>6.8991210519779773E-4</v>
      </c>
      <c r="L57" s="32" t="s">
        <v>5</v>
      </c>
      <c r="M57" s="32"/>
      <c r="N57" s="23">
        <v>4.7141591724124223E-5</v>
      </c>
      <c r="O57" s="14">
        <v>7498</v>
      </c>
      <c r="P57" s="31" t="s">
        <v>5</v>
      </c>
      <c r="Q57" s="34">
        <v>6.4085310365158106E-4</v>
      </c>
    </row>
    <row r="58" spans="1:17" s="4" customFormat="1" x14ac:dyDescent="0.3">
      <c r="A58" s="4" t="s">
        <v>15</v>
      </c>
      <c r="B58" s="14">
        <v>5055</v>
      </c>
      <c r="C58" s="30">
        <v>182</v>
      </c>
      <c r="D58" s="20">
        <f>(3692*1.0563+41)</f>
        <v>3940.8596000000002</v>
      </c>
      <c r="E58" s="19">
        <v>0.77850099024655151</v>
      </c>
      <c r="F58" s="19">
        <v>0.77539968648914814</v>
      </c>
      <c r="G58" s="19">
        <v>163.02500000000001</v>
      </c>
      <c r="H58" s="19">
        <v>143</v>
      </c>
      <c r="I58" s="13">
        <v>48.62</v>
      </c>
      <c r="J58" s="31" t="s">
        <v>5</v>
      </c>
      <c r="K58" s="34">
        <v>7.0605014368120415E-4</v>
      </c>
      <c r="L58" s="32" t="s">
        <v>5</v>
      </c>
      <c r="M58" s="32"/>
      <c r="N58" s="23">
        <v>4.4855980263368582E-5</v>
      </c>
      <c r="O58" s="14">
        <v>7608</v>
      </c>
      <c r="P58" s="31" t="s">
        <v>5</v>
      </c>
      <c r="Q58" s="34">
        <v>6.4908090144355588E-4</v>
      </c>
    </row>
    <row r="59" spans="1:17" s="4" customFormat="1" x14ac:dyDescent="0.3">
      <c r="A59" s="4" t="s">
        <v>15</v>
      </c>
      <c r="B59" s="14">
        <v>5210</v>
      </c>
      <c r="C59" s="30">
        <v>195</v>
      </c>
      <c r="D59" s="20">
        <f>(11314*1.0606+39)</f>
        <v>12038.6284</v>
      </c>
      <c r="E59" s="19">
        <f>(11314*1.0606*0.7582+9*0.7775+21*0.9886+9*1.1347)/(11314*1.0606+39)</f>
        <v>0.75889780374647986</v>
      </c>
      <c r="F59" s="19">
        <v>0.75819840760680324</v>
      </c>
      <c r="G59" s="19">
        <v>151.02500000000001</v>
      </c>
      <c r="H59" s="19">
        <v>128</v>
      </c>
      <c r="I59" s="13">
        <v>52.72</v>
      </c>
      <c r="J59" s="31" t="s">
        <v>5</v>
      </c>
      <c r="K59" s="34">
        <v>6.4738327679519383E-4</v>
      </c>
      <c r="L59" s="32" t="s">
        <v>5</v>
      </c>
      <c r="M59" s="32"/>
      <c r="N59" s="23">
        <v>7.6181920712299812E-5</v>
      </c>
      <c r="O59" s="14">
        <v>9155</v>
      </c>
      <c r="P59" s="31" t="s">
        <v>5</v>
      </c>
      <c r="Q59" s="34">
        <v>5.3544369541820829E-4</v>
      </c>
    </row>
    <row r="60" spans="1:17" s="4" customFormat="1" x14ac:dyDescent="0.3">
      <c r="A60" s="4" t="s">
        <v>15</v>
      </c>
      <c r="B60" s="14">
        <v>5019</v>
      </c>
      <c r="C60" s="30">
        <v>182</v>
      </c>
      <c r="D60" s="20">
        <f>(3422*1.1688+249)</f>
        <v>4248.6336000000001</v>
      </c>
      <c r="E60" s="19">
        <f>(3422*1.1688*0.7252+175*0.9668+52*1.4082+221.5793)/(3422*1.1688+249)</f>
        <v>0.79190871783342287</v>
      </c>
      <c r="F60" s="19">
        <v>0.7252199560885888</v>
      </c>
      <c r="G60" s="19">
        <v>553.02499999999998</v>
      </c>
      <c r="H60" s="19">
        <v>122</v>
      </c>
      <c r="I60" s="13">
        <v>50.99</v>
      </c>
      <c r="J60" s="31" t="s">
        <v>5</v>
      </c>
      <c r="K60" s="34">
        <v>6.8240753377917288E-4</v>
      </c>
      <c r="L60" s="32" t="s">
        <v>5</v>
      </c>
      <c r="M60" s="32"/>
      <c r="N60" s="23">
        <v>5.428996110097987E-5</v>
      </c>
      <c r="O60" s="14">
        <v>7897</v>
      </c>
      <c r="P60" s="31" t="s">
        <v>5</v>
      </c>
      <c r="Q60" s="34">
        <v>6.0055371052110038E-4</v>
      </c>
    </row>
    <row r="61" spans="1:17" s="4" customFormat="1" x14ac:dyDescent="0.3">
      <c r="A61" s="4" t="s">
        <v>15</v>
      </c>
      <c r="B61" s="14">
        <v>4786</v>
      </c>
      <c r="C61" s="30">
        <v>184</v>
      </c>
      <c r="D61" s="20">
        <f>3444*1.1903+272</f>
        <v>4371.3931999999995</v>
      </c>
      <c r="E61" s="19">
        <v>0.74776942167439542</v>
      </c>
      <c r="F61" s="19">
        <v>0.72025307242600156</v>
      </c>
      <c r="G61" s="19">
        <v>544.02499999999998</v>
      </c>
      <c r="H61" s="19">
        <v>112</v>
      </c>
      <c r="I61" s="13">
        <v>52.67</v>
      </c>
      <c r="J61" s="31" t="s">
        <v>5</v>
      </c>
      <c r="K61" s="34">
        <v>6.9102292123029714E-4</v>
      </c>
      <c r="L61" s="32" t="s">
        <v>5</v>
      </c>
      <c r="M61" s="32"/>
      <c r="N61" s="23">
        <v>6.0875900129307919E-5</v>
      </c>
      <c r="O61" s="14">
        <v>8361</v>
      </c>
      <c r="P61" s="31" t="s">
        <v>5</v>
      </c>
      <c r="Q61" s="34">
        <v>6.0933996295213034E-4</v>
      </c>
    </row>
    <row r="62" spans="1:17" s="4" customFormat="1" x14ac:dyDescent="0.3">
      <c r="A62" s="4" t="s">
        <v>15</v>
      </c>
      <c r="B62" s="14">
        <v>5326</v>
      </c>
      <c r="C62" s="30">
        <v>182</v>
      </c>
      <c r="D62" s="20">
        <f>6022*1.0868+73</f>
        <v>6617.7096000000001</v>
      </c>
      <c r="E62" s="19">
        <v>0.76577585543240156</v>
      </c>
      <c r="F62" s="19">
        <v>0.76064659776463839</v>
      </c>
      <c r="G62" s="19">
        <v>180.02500000000001</v>
      </c>
      <c r="H62" s="19">
        <v>129</v>
      </c>
      <c r="I62" s="13">
        <v>51.08</v>
      </c>
      <c r="J62" s="31" t="s">
        <v>5</v>
      </c>
      <c r="K62" s="34">
        <v>6.5113068800000005E-4</v>
      </c>
      <c r="L62" s="32" t="s">
        <v>5</v>
      </c>
      <c r="M62" s="32"/>
      <c r="N62" s="23">
        <v>5.7696592598665659E-5</v>
      </c>
      <c r="O62" s="14">
        <v>8917</v>
      </c>
      <c r="P62" s="31" t="s">
        <v>5</v>
      </c>
      <c r="Q62" s="34">
        <v>5.7037907393253553E-4</v>
      </c>
    </row>
    <row r="63" spans="1:17" s="4" customFormat="1" x14ac:dyDescent="0.3">
      <c r="A63" s="4" t="s">
        <v>15</v>
      </c>
      <c r="B63" s="14">
        <v>5217</v>
      </c>
      <c r="C63" s="30">
        <v>186</v>
      </c>
      <c r="D63" s="20">
        <f>(4400*1.1237+129)</f>
        <v>5073.28</v>
      </c>
      <c r="E63" s="19">
        <f>(4400*1.1237*0.7604+75.8464+42*1.295+12*1.3607)/(4400*1.1237+129)</f>
        <v>0.76995460766998858</v>
      </c>
      <c r="F63" s="19">
        <v>0.76043659245763595</v>
      </c>
      <c r="G63" s="19">
        <v>406.02499999999998</v>
      </c>
      <c r="H63" s="19">
        <v>143</v>
      </c>
      <c r="I63" s="13">
        <v>51.01</v>
      </c>
      <c r="J63" s="31" t="s">
        <v>5</v>
      </c>
      <c r="K63" s="34">
        <v>6.7575786244272957E-4</v>
      </c>
      <c r="L63" s="32" t="s">
        <v>5</v>
      </c>
      <c r="M63" s="32"/>
      <c r="N63" s="23">
        <v>5.8237185326586588E-5</v>
      </c>
      <c r="O63" s="14">
        <v>8444</v>
      </c>
      <c r="P63" s="31" t="s">
        <v>5</v>
      </c>
      <c r="Q63" s="34">
        <v>6.0055371052110038E-4</v>
      </c>
    </row>
    <row r="64" spans="1:17" s="4" customFormat="1" x14ac:dyDescent="0.3">
      <c r="A64" s="4" t="s">
        <v>15</v>
      </c>
      <c r="B64" s="14">
        <v>5179</v>
      </c>
      <c r="C64" s="30">
        <v>203</v>
      </c>
      <c r="D64" s="20">
        <f>(10226*1.0717+91)</f>
        <v>11050.2042</v>
      </c>
      <c r="E64" s="19">
        <f>(10226*1.0717*0.7267+59*1.0275+32*1.5444)/(10226*1.0717+91)</f>
        <v>0.73067400800973437</v>
      </c>
      <c r="F64" s="19">
        <v>0.72670454438629939</v>
      </c>
      <c r="G64" s="19">
        <v>182.02500000000001</v>
      </c>
      <c r="H64" s="19">
        <v>97</v>
      </c>
      <c r="I64" s="13">
        <v>54.78</v>
      </c>
      <c r="J64" s="31" t="s">
        <v>5</v>
      </c>
      <c r="K64" s="34">
        <v>6.6808746601105021E-4</v>
      </c>
      <c r="L64" s="32" t="s">
        <v>5</v>
      </c>
      <c r="M64" s="32"/>
      <c r="N64" s="23">
        <v>7.5223557651672528E-5</v>
      </c>
      <c r="O64" s="14">
        <v>9680</v>
      </c>
      <c r="P64" s="31" t="s">
        <v>5</v>
      </c>
      <c r="Q64" s="34">
        <v>5.4414957583540568E-4</v>
      </c>
    </row>
    <row r="65" spans="1:17" s="4" customFormat="1" x14ac:dyDescent="0.3">
      <c r="A65" s="4" t="s">
        <v>15</v>
      </c>
      <c r="B65" s="14">
        <v>4756.0249999999996</v>
      </c>
      <c r="C65" s="30">
        <v>157</v>
      </c>
      <c r="D65" s="20">
        <f>(2213*1.1661+63)</f>
        <v>2643.5792999999999</v>
      </c>
      <c r="E65" s="19">
        <f>(2213*0.7641*1.1661+19*0.939+15*1.247+29*1.457)/(2213*1.1661+63)</f>
        <v>0.77569817675981945</v>
      </c>
      <c r="F65" s="19">
        <v>0.7641356986418556</v>
      </c>
      <c r="G65" s="19">
        <v>162.02500000000001</v>
      </c>
      <c r="H65" s="19">
        <v>108</v>
      </c>
      <c r="I65" s="13">
        <v>46.15</v>
      </c>
      <c r="J65" s="31" t="s">
        <v>5</v>
      </c>
      <c r="K65" s="31" t="s">
        <v>5</v>
      </c>
      <c r="L65" s="32" t="s">
        <v>5</v>
      </c>
      <c r="M65" s="32"/>
      <c r="N65" s="6">
        <v>3.76003E-5</v>
      </c>
      <c r="O65" s="31" t="s">
        <v>5</v>
      </c>
      <c r="P65" s="31" t="s">
        <v>5</v>
      </c>
      <c r="Q65" s="13" t="s">
        <v>5</v>
      </c>
    </row>
    <row r="66" spans="1:17" s="4" customFormat="1" x14ac:dyDescent="0.3">
      <c r="A66" s="4" t="s">
        <v>15</v>
      </c>
      <c r="B66" s="14">
        <v>5249.65</v>
      </c>
      <c r="C66" s="30">
        <v>143</v>
      </c>
      <c r="D66" s="20">
        <v>1964</v>
      </c>
      <c r="E66" s="19">
        <v>0.69889205702647672</v>
      </c>
      <c r="F66" s="19">
        <v>0.68300000000000005</v>
      </c>
      <c r="G66" s="19">
        <v>95</v>
      </c>
      <c r="H66" s="19">
        <v>60</v>
      </c>
      <c r="I66" s="13">
        <v>44.34</v>
      </c>
      <c r="J66" s="31">
        <v>1.9510000000000001</v>
      </c>
      <c r="K66" s="13" t="s">
        <v>5</v>
      </c>
      <c r="L66" s="32">
        <v>0.223</v>
      </c>
      <c r="M66" s="32"/>
      <c r="N66" s="6">
        <v>2.46257E-5</v>
      </c>
      <c r="O66" s="14">
        <v>5594.65</v>
      </c>
      <c r="P66" s="31">
        <v>1.9350000000000001</v>
      </c>
      <c r="Q66" s="13" t="s">
        <v>5</v>
      </c>
    </row>
    <row r="67" spans="1:17" s="4" customFormat="1" x14ac:dyDescent="0.3">
      <c r="A67" s="4" t="s">
        <v>15</v>
      </c>
      <c r="B67" s="14">
        <v>4315.0249999999996</v>
      </c>
      <c r="C67" s="30">
        <v>165</v>
      </c>
      <c r="D67" s="20">
        <v>1928</v>
      </c>
      <c r="E67" s="19">
        <v>0.76893049792531121</v>
      </c>
      <c r="F67" s="19">
        <v>0.746</v>
      </c>
      <c r="G67" s="19">
        <v>175</v>
      </c>
      <c r="H67" s="19">
        <v>90</v>
      </c>
      <c r="I67" s="13">
        <v>45.91</v>
      </c>
      <c r="J67" s="31">
        <v>1.99082731299834</v>
      </c>
      <c r="K67" s="13" t="s">
        <v>5</v>
      </c>
      <c r="L67" s="32">
        <v>0.33200000000000002</v>
      </c>
      <c r="M67" s="32"/>
      <c r="N67" s="6">
        <v>3.0369200000000001E-5</v>
      </c>
      <c r="O67" s="14">
        <v>6213.0249999999996</v>
      </c>
      <c r="P67" s="31">
        <v>1.9061399734829223</v>
      </c>
      <c r="Q67" s="13" t="s">
        <v>5</v>
      </c>
    </row>
    <row r="68" spans="1:17" s="4" customFormat="1" x14ac:dyDescent="0.3">
      <c r="A68" s="4" t="s">
        <v>15</v>
      </c>
      <c r="B68" s="14">
        <v>2965</v>
      </c>
      <c r="C68" s="30">
        <v>147</v>
      </c>
      <c r="D68" s="20">
        <v>1022</v>
      </c>
      <c r="E68" s="19">
        <v>0.85086647116324532</v>
      </c>
      <c r="F68" s="19">
        <v>0.82554334882835034</v>
      </c>
      <c r="G68" s="19">
        <v>135</v>
      </c>
      <c r="H68" s="19">
        <v>109</v>
      </c>
      <c r="I68" s="13">
        <v>41.15</v>
      </c>
      <c r="J68" s="31">
        <v>1.5425604341844183</v>
      </c>
      <c r="K68" s="13" t="s">
        <v>5</v>
      </c>
      <c r="L68" s="32">
        <v>0.33800000000000002</v>
      </c>
      <c r="M68" s="32"/>
      <c r="N68" s="6">
        <v>1.72767E-5</v>
      </c>
      <c r="O68" s="14">
        <v>4253</v>
      </c>
      <c r="P68" s="31">
        <v>1.5130603680982628</v>
      </c>
      <c r="Q68" s="13" t="s">
        <v>5</v>
      </c>
    </row>
    <row r="69" spans="1:17" s="4" customFormat="1" x14ac:dyDescent="0.3">
      <c r="A69" s="4" t="s">
        <v>15</v>
      </c>
      <c r="B69" s="14">
        <v>3169.6959999999999</v>
      </c>
      <c r="C69" s="30">
        <v>157.9</v>
      </c>
      <c r="D69" s="20">
        <v>1190</v>
      </c>
      <c r="E69" s="19">
        <v>0.8476117647058824</v>
      </c>
      <c r="F69" s="19">
        <v>0.755</v>
      </c>
      <c r="G69" s="19">
        <v>244.696</v>
      </c>
      <c r="H69" s="19">
        <v>90</v>
      </c>
      <c r="I69" s="13">
        <v>42.3</v>
      </c>
      <c r="J69" s="31">
        <v>1.639</v>
      </c>
      <c r="K69" s="13" t="s">
        <v>5</v>
      </c>
      <c r="L69" s="32">
        <v>0.28499999999999998</v>
      </c>
      <c r="M69" s="32"/>
      <c r="N69" s="23">
        <v>2.0018016214593399E-5</v>
      </c>
      <c r="O69" s="14">
        <v>7514.6959999999999</v>
      </c>
      <c r="P69" s="31">
        <v>1.544</v>
      </c>
      <c r="Q69" s="13" t="s">
        <v>5</v>
      </c>
    </row>
    <row r="70" spans="1:17" s="4" customFormat="1" x14ac:dyDescent="0.3">
      <c r="A70" s="4" t="s">
        <v>15</v>
      </c>
      <c r="B70" s="14">
        <v>4115.0249999999996</v>
      </c>
      <c r="C70" s="30">
        <v>147</v>
      </c>
      <c r="D70" s="20">
        <v>1858</v>
      </c>
      <c r="E70" s="19">
        <v>0.82734391819160391</v>
      </c>
      <c r="F70" s="19">
        <v>0.77400000000000002</v>
      </c>
      <c r="G70" s="19">
        <v>492</v>
      </c>
      <c r="H70" s="19">
        <v>89</v>
      </c>
      <c r="I70" s="13">
        <v>45.53</v>
      </c>
      <c r="J70" s="31">
        <v>2.0020581987014658</v>
      </c>
      <c r="K70" s="13" t="s">
        <v>5</v>
      </c>
      <c r="L70" s="32">
        <v>0.215</v>
      </c>
      <c r="M70" s="32"/>
      <c r="N70" s="6">
        <v>2.4649699999999999E-5</v>
      </c>
      <c r="O70" s="14">
        <v>5637.0249999999996</v>
      </c>
      <c r="P70" s="31">
        <v>1.9392476670579872</v>
      </c>
      <c r="Q70" s="13" t="s">
        <v>5</v>
      </c>
    </row>
    <row r="71" spans="1:17" s="4" customFormat="1" x14ac:dyDescent="0.3">
      <c r="A71" s="4" t="s">
        <v>15</v>
      </c>
      <c r="B71" s="14">
        <v>3005.6959999999999</v>
      </c>
      <c r="C71" s="30">
        <v>156</v>
      </c>
      <c r="D71" s="20">
        <v>1235</v>
      </c>
      <c r="E71" s="19">
        <v>0.86626456310679611</v>
      </c>
      <c r="F71" s="19">
        <v>0.81799999999999995</v>
      </c>
      <c r="G71" s="19">
        <v>170.696</v>
      </c>
      <c r="H71" s="19">
        <v>97</v>
      </c>
      <c r="I71" s="13">
        <v>42.3</v>
      </c>
      <c r="J71" s="31">
        <v>1.657</v>
      </c>
      <c r="K71" s="13" t="s">
        <v>5</v>
      </c>
      <c r="L71" s="32">
        <v>0.29399999999999998</v>
      </c>
      <c r="M71" s="32"/>
      <c r="N71" s="23">
        <v>1.9306598903568971E-5</v>
      </c>
      <c r="O71" s="14">
        <v>7609.6959999999999</v>
      </c>
      <c r="P71" s="31">
        <v>1.556</v>
      </c>
      <c r="Q71" s="13" t="s">
        <v>5</v>
      </c>
    </row>
    <row r="72" spans="1:17" s="4" customFormat="1" x14ac:dyDescent="0.3">
      <c r="A72" s="4" t="s">
        <v>15</v>
      </c>
      <c r="B72" s="14">
        <v>1265.0250000000001</v>
      </c>
      <c r="C72" s="30">
        <v>157</v>
      </c>
      <c r="D72" s="20">
        <v>338</v>
      </c>
      <c r="E72" s="19">
        <v>0.82463204747774488</v>
      </c>
      <c r="F72" s="19" t="s">
        <v>19</v>
      </c>
      <c r="G72" s="19">
        <v>165</v>
      </c>
      <c r="H72" s="19">
        <v>115</v>
      </c>
      <c r="I72" s="13">
        <v>43.65</v>
      </c>
      <c r="J72" s="31">
        <v>1.2838000000000001</v>
      </c>
      <c r="K72" s="13" t="s">
        <v>5</v>
      </c>
      <c r="L72" s="32">
        <v>0.56599999999999995</v>
      </c>
      <c r="M72" s="32"/>
      <c r="N72" s="6">
        <v>1.36184E-5</v>
      </c>
      <c r="O72" s="14">
        <v>3165.0250000000001</v>
      </c>
      <c r="P72" s="31">
        <v>1.2577</v>
      </c>
      <c r="Q72" s="13" t="s">
        <v>5</v>
      </c>
    </row>
    <row r="73" spans="1:17" s="4" customFormat="1" x14ac:dyDescent="0.3">
      <c r="A73" s="4" t="s">
        <v>15</v>
      </c>
      <c r="B73" s="14">
        <v>5276</v>
      </c>
      <c r="C73" s="30">
        <v>170</v>
      </c>
      <c r="D73" s="20">
        <f>(7187*1.2099+263)</f>
        <v>8958.5512999999992</v>
      </c>
      <c r="E73" s="19">
        <f>(7187*1.2099*0.7258+263*1.2356)/(7187*1.2099+263)</f>
        <v>0.74076641538459465</v>
      </c>
      <c r="F73" s="19">
        <v>0.7258157239669083</v>
      </c>
      <c r="G73" s="19">
        <v>555.02499999999998</v>
      </c>
      <c r="H73" s="19">
        <v>130</v>
      </c>
      <c r="I73" s="13">
        <v>51.27</v>
      </c>
      <c r="J73" s="31" t="s">
        <v>5</v>
      </c>
      <c r="K73" s="34">
        <v>6.2776609435324395E-4</v>
      </c>
      <c r="L73" s="32" t="s">
        <v>5</v>
      </c>
      <c r="M73" s="32"/>
      <c r="N73" s="23">
        <v>5.8542578969883249E-5</v>
      </c>
      <c r="O73" s="14">
        <v>9715</v>
      </c>
      <c r="P73" s="31" t="s">
        <v>5</v>
      </c>
      <c r="Q73" s="34">
        <v>5.3098566869680191E-4</v>
      </c>
    </row>
    <row r="74" spans="1:17" s="4" customFormat="1" x14ac:dyDescent="0.3">
      <c r="A74" s="4" t="s">
        <v>15</v>
      </c>
      <c r="B74" s="14">
        <v>4925</v>
      </c>
      <c r="C74" s="30">
        <v>174</v>
      </c>
      <c r="D74" s="20">
        <f>3423*1.1713+201</f>
        <v>4210.3598999999995</v>
      </c>
      <c r="E74" s="19">
        <f>(3423*1.1713*0.7514+106*0.8642+95*1.4455)/(3423*1.1713+201)</f>
        <v>0.76990110248294918</v>
      </c>
      <c r="F74" s="19">
        <v>0.75138335885652496</v>
      </c>
      <c r="G74" s="19">
        <v>465.02499999999998</v>
      </c>
      <c r="H74" s="19">
        <v>142</v>
      </c>
      <c r="I74" s="13">
        <v>48.39</v>
      </c>
      <c r="J74" s="31" t="s">
        <v>5</v>
      </c>
      <c r="K74" s="34">
        <v>6.8674243724890977E-4</v>
      </c>
      <c r="L74" s="32" t="s">
        <v>5</v>
      </c>
      <c r="M74" s="32"/>
      <c r="N74" s="23">
        <v>4.9084457480247505E-5</v>
      </c>
      <c r="O74" s="14">
        <v>8620</v>
      </c>
      <c r="P74" s="31" t="s">
        <v>5</v>
      </c>
      <c r="Q74" s="34">
        <v>6.1396776669224863E-4</v>
      </c>
    </row>
    <row r="75" spans="1:17" s="4" customFormat="1" x14ac:dyDescent="0.3">
      <c r="A75" s="4" t="s">
        <v>15</v>
      </c>
      <c r="B75" s="14">
        <v>4884</v>
      </c>
      <c r="C75" s="30">
        <v>178</v>
      </c>
      <c r="D75" s="20">
        <f>(4003*1.2158+288)</f>
        <v>5154.8473999999997</v>
      </c>
      <c r="E75" s="19">
        <f>(4003*1.2158*0.7362+288*1.2696)/(4003*1.2158+288)</f>
        <v>0.7660009209739167</v>
      </c>
      <c r="F75" s="19">
        <v>0.73619999999999997</v>
      </c>
      <c r="G75" s="19">
        <v>550</v>
      </c>
      <c r="H75" s="19">
        <v>121</v>
      </c>
      <c r="I75" s="13">
        <v>49.47</v>
      </c>
      <c r="J75" s="31" t="s">
        <v>5</v>
      </c>
      <c r="K75" s="34">
        <v>6.7260803766605007E-4</v>
      </c>
      <c r="L75" s="32" t="s">
        <v>5</v>
      </c>
      <c r="M75" s="32"/>
      <c r="N75" s="23">
        <v>5.5507535049465321E-5</v>
      </c>
      <c r="O75" s="14">
        <v>8960</v>
      </c>
      <c r="P75" s="31" t="s">
        <v>5</v>
      </c>
      <c r="Q75" s="34">
        <v>5.8540811726895403E-4</v>
      </c>
    </row>
    <row r="76" spans="1:17" s="4" customFormat="1" x14ac:dyDescent="0.3">
      <c r="A76" s="4" t="s">
        <v>15</v>
      </c>
      <c r="B76" s="14">
        <v>3815</v>
      </c>
      <c r="C76" s="30">
        <v>174</v>
      </c>
      <c r="D76" s="20">
        <v>1784</v>
      </c>
      <c r="E76" s="19">
        <v>0.83123413677130042</v>
      </c>
      <c r="F76" s="19">
        <v>0.74229999999999996</v>
      </c>
      <c r="G76" s="19">
        <v>447</v>
      </c>
      <c r="H76" s="19">
        <v>117</v>
      </c>
      <c r="I76" s="13">
        <v>48.3</v>
      </c>
      <c r="J76" s="31">
        <v>1.9897</v>
      </c>
      <c r="K76" s="13" t="s">
        <v>5</v>
      </c>
      <c r="L76" s="32">
        <v>0.20899999999999999</v>
      </c>
      <c r="M76" s="32"/>
      <c r="N76" s="6">
        <v>2.88053E-5</v>
      </c>
      <c r="O76" s="14">
        <v>6115</v>
      </c>
      <c r="P76" s="31">
        <v>1.89041397</v>
      </c>
      <c r="Q76" s="13" t="s">
        <v>5</v>
      </c>
    </row>
    <row r="77" spans="1:17" s="4" customFormat="1" x14ac:dyDescent="0.3">
      <c r="A77" s="4" t="s">
        <v>15</v>
      </c>
      <c r="B77" s="14">
        <v>4374</v>
      </c>
      <c r="C77" s="30">
        <v>174</v>
      </c>
      <c r="D77" s="20">
        <v>2615</v>
      </c>
      <c r="E77" s="19">
        <v>0.79573762906309753</v>
      </c>
      <c r="F77" s="19">
        <v>0.74529999999999996</v>
      </c>
      <c r="G77" s="19">
        <v>454</v>
      </c>
      <c r="H77" s="19">
        <v>124</v>
      </c>
      <c r="I77" s="13">
        <v>47.5</v>
      </c>
      <c r="J77" s="31">
        <v>2.4460000000000002</v>
      </c>
      <c r="K77" s="13" t="s">
        <v>5</v>
      </c>
      <c r="L77" s="32">
        <v>0.14699999999999999</v>
      </c>
      <c r="M77" s="32"/>
      <c r="N77" s="6">
        <v>3.5503000000000002E-5</v>
      </c>
      <c r="O77" s="14">
        <v>6415</v>
      </c>
      <c r="P77" s="31">
        <v>2.3170000000000002</v>
      </c>
      <c r="Q77" s="13" t="s">
        <v>5</v>
      </c>
    </row>
    <row r="78" spans="1:17" s="4" customFormat="1" x14ac:dyDescent="0.3">
      <c r="A78" s="4" t="s">
        <v>15</v>
      </c>
      <c r="B78" s="14">
        <v>4161</v>
      </c>
      <c r="C78" s="30">
        <v>169</v>
      </c>
      <c r="D78" s="20">
        <v>2206</v>
      </c>
      <c r="E78" s="19">
        <v>0.81640797824116051</v>
      </c>
      <c r="F78" s="19">
        <v>0.75051868968826929</v>
      </c>
      <c r="G78" s="19">
        <v>577</v>
      </c>
      <c r="H78" s="19">
        <v>140</v>
      </c>
      <c r="I78" s="13">
        <v>46.200069761207317</v>
      </c>
      <c r="J78" s="31">
        <v>2.14764883740115</v>
      </c>
      <c r="K78" s="13" t="s">
        <v>5</v>
      </c>
      <c r="L78" s="32">
        <v>0.17599999999999999</v>
      </c>
      <c r="M78" s="32"/>
      <c r="N78" s="23">
        <v>3.2677395172111213E-5</v>
      </c>
      <c r="O78" s="14">
        <v>6365</v>
      </c>
      <c r="P78" s="31">
        <v>2.0428687487688331</v>
      </c>
      <c r="Q78" s="13" t="s">
        <v>5</v>
      </c>
    </row>
    <row r="79" spans="1:17" s="4" customFormat="1" x14ac:dyDescent="0.3">
      <c r="A79" s="4" t="s">
        <v>15</v>
      </c>
      <c r="B79" s="14">
        <v>5490</v>
      </c>
      <c r="C79" s="30">
        <v>173</v>
      </c>
      <c r="D79" s="20">
        <f>(5372*1.1437+205)</f>
        <v>6348.9564</v>
      </c>
      <c r="E79" s="19">
        <f>(5372*1.1437*0.708+126*0.8667+11*0.8733+25*1.0918+44*1.501)/(5372*1.1437+205)</f>
        <v>0.71855441174552726</v>
      </c>
      <c r="F79" s="19">
        <v>0.70801408363709251</v>
      </c>
      <c r="G79" s="19">
        <v>482.02499999999998</v>
      </c>
      <c r="H79" s="19">
        <v>118</v>
      </c>
      <c r="I79" s="13">
        <v>53.3</v>
      </c>
      <c r="J79" s="31" t="s">
        <v>5</v>
      </c>
      <c r="K79" s="34">
        <v>6.4029914776183422E-4</v>
      </c>
      <c r="L79" s="32" t="s">
        <v>5</v>
      </c>
      <c r="M79" s="32"/>
      <c r="N79" s="23">
        <v>5.2520973167628993E-5</v>
      </c>
      <c r="O79" s="14">
        <v>7215</v>
      </c>
      <c r="P79" s="31" t="s">
        <v>5</v>
      </c>
      <c r="Q79" s="34">
        <v>5.9466466859338027E-4</v>
      </c>
    </row>
    <row r="80" spans="1:17" s="4" customFormat="1" x14ac:dyDescent="0.3">
      <c r="A80" s="4" t="s">
        <v>15</v>
      </c>
      <c r="B80" s="14">
        <v>4633</v>
      </c>
      <c r="C80" s="30">
        <v>175</v>
      </c>
      <c r="D80" s="20">
        <v>2870</v>
      </c>
      <c r="E80" s="19">
        <v>0.77762717770034839</v>
      </c>
      <c r="F80" s="19">
        <v>0.74099999999999999</v>
      </c>
      <c r="G80" s="19">
        <v>370</v>
      </c>
      <c r="H80" s="19">
        <v>120</v>
      </c>
      <c r="I80" s="13">
        <v>50.2</v>
      </c>
      <c r="J80" s="31">
        <v>2.4930187474406478</v>
      </c>
      <c r="K80" s="13" t="s">
        <v>5</v>
      </c>
      <c r="L80" s="32">
        <v>0.123</v>
      </c>
      <c r="M80" s="32"/>
      <c r="N80" s="23">
        <v>3.9453414659042241E-5</v>
      </c>
      <c r="O80" s="14">
        <v>6900</v>
      </c>
      <c r="P80" s="31">
        <v>2.3387812897176889</v>
      </c>
      <c r="Q80" s="13" t="s">
        <v>5</v>
      </c>
    </row>
    <row r="81" spans="1:17" s="4" customFormat="1" x14ac:dyDescent="0.3">
      <c r="A81" s="4" t="s">
        <v>15</v>
      </c>
      <c r="B81" s="14">
        <v>4618</v>
      </c>
      <c r="C81" s="30">
        <v>205</v>
      </c>
      <c r="D81" s="20">
        <v>3786</v>
      </c>
      <c r="E81" s="19">
        <v>0.7799001584786055</v>
      </c>
      <c r="F81" s="19">
        <v>0.77100000000000002</v>
      </c>
      <c r="G81" s="19">
        <v>118</v>
      </c>
      <c r="H81" s="19">
        <v>95</v>
      </c>
      <c r="I81" s="13">
        <v>47.6</v>
      </c>
      <c r="J81" s="31">
        <v>3.1960000000000002</v>
      </c>
      <c r="K81" s="13" t="s">
        <v>5</v>
      </c>
      <c r="L81" s="32">
        <v>9.7000000000000003E-2</v>
      </c>
      <c r="M81" s="32"/>
      <c r="N81" s="23">
        <v>7.0318049317459581E-5</v>
      </c>
      <c r="O81" s="14">
        <v>7362</v>
      </c>
      <c r="P81" s="31">
        <v>2.8834312</v>
      </c>
      <c r="Q81" s="13" t="s">
        <v>5</v>
      </c>
    </row>
    <row r="82" spans="1:17" s="4" customFormat="1" x14ac:dyDescent="0.3">
      <c r="A82" s="4" t="s">
        <v>15</v>
      </c>
      <c r="B82" s="14">
        <v>4856</v>
      </c>
      <c r="C82" s="30">
        <v>165</v>
      </c>
      <c r="D82" s="20">
        <v>3878</v>
      </c>
      <c r="E82" s="19">
        <v>0.81859073191566978</v>
      </c>
      <c r="F82" s="19">
        <v>0.81113458568485441</v>
      </c>
      <c r="G82" s="19">
        <v>138</v>
      </c>
      <c r="H82" s="19">
        <v>123</v>
      </c>
      <c r="I82" s="13">
        <v>49.45</v>
      </c>
      <c r="J82" s="31">
        <v>3.048</v>
      </c>
      <c r="K82" s="13" t="s">
        <v>5</v>
      </c>
      <c r="L82" s="32">
        <v>0.11</v>
      </c>
      <c r="M82" s="32"/>
      <c r="N82" s="6">
        <v>5.1286399999999997E-5</v>
      </c>
      <c r="O82" s="14">
        <v>7015</v>
      </c>
      <c r="P82" s="31">
        <v>2.8382000000000001</v>
      </c>
      <c r="Q82" s="13" t="s">
        <v>5</v>
      </c>
    </row>
    <row r="83" spans="1:17" s="4" customFormat="1" x14ac:dyDescent="0.3">
      <c r="A83" s="4" t="s">
        <v>15</v>
      </c>
      <c r="B83" s="14">
        <v>5098</v>
      </c>
      <c r="C83" s="30">
        <v>173</v>
      </c>
      <c r="D83" s="20">
        <f>(8735*1.0801+65)</f>
        <v>9499.6735000000008</v>
      </c>
      <c r="E83" s="19">
        <f>(8735*1.0801*0.8086+36*0.8771+29*1.416)/(8735*1.0801+65)</f>
        <v>0.81071382001707748</v>
      </c>
      <c r="F83" s="19">
        <v>0.80860388335126232</v>
      </c>
      <c r="G83" s="19">
        <v>151.65</v>
      </c>
      <c r="H83" s="19">
        <v>125</v>
      </c>
      <c r="I83" s="13">
        <v>50.63</v>
      </c>
      <c r="J83" s="31" t="s">
        <v>5</v>
      </c>
      <c r="K83" s="34">
        <v>6.1843683899999902E-4</v>
      </c>
      <c r="L83" s="32" t="s">
        <v>5</v>
      </c>
      <c r="M83" s="32"/>
      <c r="N83" s="23">
        <v>6.5297767629066359E-5</v>
      </c>
      <c r="O83" s="14">
        <v>7215</v>
      </c>
      <c r="P83" s="31" t="s">
        <v>5</v>
      </c>
      <c r="Q83" s="34">
        <v>5.5541978627446625E-4</v>
      </c>
    </row>
    <row r="84" spans="1:17" s="4" customFormat="1" x14ac:dyDescent="0.3">
      <c r="A84" s="4" t="s">
        <v>15</v>
      </c>
      <c r="B84" s="14">
        <v>4695</v>
      </c>
      <c r="C84" s="30">
        <v>184</v>
      </c>
      <c r="D84" s="20">
        <f>(13859*1.0736+58)</f>
        <v>14937.022400000002</v>
      </c>
      <c r="E84" s="19">
        <f>(13859*1.0736*0.7393+30*1.0133+28*1.3807)/(13859*1.0736+58)</f>
        <v>0.74105263846427649</v>
      </c>
      <c r="F84" s="19">
        <v>0.73931566352665068</v>
      </c>
      <c r="G84" s="19">
        <v>159.02500000000001</v>
      </c>
      <c r="H84" s="19">
        <v>130</v>
      </c>
      <c r="I84" s="13">
        <v>54.68</v>
      </c>
      <c r="J84" s="31" t="s">
        <v>5</v>
      </c>
      <c r="K84" s="34">
        <v>6.7487312385271572E-4</v>
      </c>
      <c r="L84" s="32" t="s">
        <v>5</v>
      </c>
      <c r="M84" s="32"/>
      <c r="N84" s="23">
        <v>9.5971359558316165E-5</v>
      </c>
      <c r="O84" s="14">
        <v>8057</v>
      </c>
      <c r="P84" s="31" t="s">
        <v>5</v>
      </c>
      <c r="Q84" s="34">
        <v>5.521140446770685E-4</v>
      </c>
    </row>
    <row r="85" spans="1:17" s="4" customFormat="1" x14ac:dyDescent="0.3">
      <c r="A85" s="4" t="s">
        <v>15</v>
      </c>
      <c r="B85" s="14">
        <v>3658</v>
      </c>
      <c r="C85" s="30">
        <v>165</v>
      </c>
      <c r="D85" s="20">
        <v>1925</v>
      </c>
      <c r="E85" s="19">
        <v>0.81186086770028443</v>
      </c>
      <c r="F85" s="19">
        <v>0.81186086770028443</v>
      </c>
      <c r="G85" s="19">
        <v>223</v>
      </c>
      <c r="H85" s="19">
        <v>81</v>
      </c>
      <c r="I85" s="13">
        <v>46.8</v>
      </c>
      <c r="J85" s="31">
        <v>2.0635741274033896</v>
      </c>
      <c r="K85" s="13" t="s">
        <v>5</v>
      </c>
      <c r="L85" s="32">
        <v>0.17435896980184501</v>
      </c>
      <c r="M85" s="32"/>
      <c r="N85" s="6">
        <v>2.7064067788050001E-5</v>
      </c>
      <c r="O85" s="14">
        <v>8330</v>
      </c>
      <c r="P85" s="31">
        <v>1.8912825290639923</v>
      </c>
      <c r="Q85" s="13" t="s">
        <v>5</v>
      </c>
    </row>
    <row r="86" spans="1:17" s="9" customFormat="1" x14ac:dyDescent="0.3">
      <c r="A86" s="4" t="s">
        <v>15</v>
      </c>
      <c r="B86" s="14">
        <v>3515</v>
      </c>
      <c r="C86" s="30">
        <v>185</v>
      </c>
      <c r="D86" s="20">
        <v>1573</v>
      </c>
      <c r="E86" s="19">
        <v>0.84594531668754847</v>
      </c>
      <c r="F86" s="19">
        <v>0.78150340027280651</v>
      </c>
      <c r="G86" s="19">
        <v>299</v>
      </c>
      <c r="H86" s="19">
        <v>132</v>
      </c>
      <c r="I86" s="13">
        <v>45.82</v>
      </c>
      <c r="J86" s="31">
        <v>1.8840719058200459</v>
      </c>
      <c r="K86" s="13" t="s">
        <v>5</v>
      </c>
      <c r="L86" s="32">
        <v>0.2</v>
      </c>
      <c r="M86" s="32"/>
      <c r="N86" s="6">
        <v>2.7552E-5</v>
      </c>
      <c r="O86" s="14">
        <v>9815</v>
      </c>
      <c r="P86" s="31">
        <v>1.7033262209799349</v>
      </c>
      <c r="Q86" s="13" t="s">
        <v>5</v>
      </c>
    </row>
    <row r="87" spans="1:17" x14ac:dyDescent="0.3">
      <c r="A87" s="4" t="s">
        <v>15</v>
      </c>
      <c r="B87" s="14">
        <v>3515</v>
      </c>
      <c r="C87" s="30">
        <v>190</v>
      </c>
      <c r="D87" s="20">
        <v>1303</v>
      </c>
      <c r="E87" s="19">
        <v>0.8405067484662575</v>
      </c>
      <c r="F87" s="19">
        <v>0.81383204047062085</v>
      </c>
      <c r="G87" s="19">
        <v>180</v>
      </c>
      <c r="H87" s="19">
        <v>125</v>
      </c>
      <c r="I87" s="13">
        <v>45.31</v>
      </c>
      <c r="J87" s="31">
        <v>1.7521</v>
      </c>
      <c r="K87" s="13" t="s">
        <v>5</v>
      </c>
      <c r="L87" s="32">
        <v>0.28499999999999998</v>
      </c>
      <c r="M87" s="32"/>
      <c r="N87" s="6">
        <v>2.47308E-5</v>
      </c>
      <c r="O87" s="14">
        <v>9015</v>
      </c>
      <c r="P87" s="31">
        <v>1.6107</v>
      </c>
      <c r="Q87" s="13" t="s">
        <v>5</v>
      </c>
    </row>
    <row r="88" spans="1:17" s="7" customFormat="1" x14ac:dyDescent="0.3">
      <c r="A88" s="4" t="s">
        <v>15</v>
      </c>
      <c r="B88" s="14">
        <v>4815</v>
      </c>
      <c r="C88" s="30">
        <v>171</v>
      </c>
      <c r="D88" s="20">
        <v>3198</v>
      </c>
      <c r="E88" s="19">
        <v>0.82248795518505935</v>
      </c>
      <c r="F88" s="19">
        <v>0.81735225130958455</v>
      </c>
      <c r="G88" s="19">
        <v>106</v>
      </c>
      <c r="H88" s="19">
        <v>126</v>
      </c>
      <c r="I88" s="13">
        <v>47.73</v>
      </c>
      <c r="J88" s="31">
        <v>2.7440000000000002</v>
      </c>
      <c r="K88" s="13" t="s">
        <v>5</v>
      </c>
      <c r="L88" s="32">
        <v>0.13600000000000001</v>
      </c>
      <c r="M88" s="32"/>
      <c r="N88" s="6">
        <f>41.7751123876564/10^6</f>
        <v>4.1775112387656397E-5</v>
      </c>
      <c r="O88" s="14">
        <v>8115</v>
      </c>
      <c r="P88" s="31">
        <v>2.5209999999999999</v>
      </c>
      <c r="Q88" s="13" t="s">
        <v>5</v>
      </c>
    </row>
    <row r="89" spans="1:17" s="7" customFormat="1" x14ac:dyDescent="0.3">
      <c r="A89" s="4" t="s">
        <v>15</v>
      </c>
      <c r="B89" s="14">
        <v>7295</v>
      </c>
      <c r="C89" s="30">
        <v>181</v>
      </c>
      <c r="D89" s="20">
        <f>(14468*1.0403+39)</f>
        <v>15090.0604</v>
      </c>
      <c r="E89" s="19">
        <f>(14468*1.0403*0.6844+28*0.9129+11*1.3494)/(14468*1.0403+39)</f>
        <v>0.68530874387752616</v>
      </c>
      <c r="F89" s="19">
        <v>0.6843530528860976</v>
      </c>
      <c r="G89" s="19">
        <v>115.02500000000001</v>
      </c>
      <c r="H89" s="19">
        <v>103</v>
      </c>
      <c r="I89" s="13">
        <v>51.15</v>
      </c>
      <c r="J89" s="31" t="s">
        <v>5</v>
      </c>
      <c r="K89" s="34">
        <v>5.5811357611273895E-4</v>
      </c>
      <c r="L89" s="32" t="s">
        <v>5</v>
      </c>
      <c r="M89" s="32"/>
      <c r="N89" s="23">
        <v>4.5773174304247885E-5</v>
      </c>
      <c r="O89" s="14">
        <v>8634</v>
      </c>
      <c r="P89" s="31" t="s">
        <v>5</v>
      </c>
      <c r="Q89" s="34">
        <v>5.2765993372591233E-4</v>
      </c>
    </row>
    <row r="90" spans="1:17" s="7" customFormat="1" x14ac:dyDescent="0.3">
      <c r="A90" s="4" t="s">
        <v>15</v>
      </c>
      <c r="B90" s="14">
        <v>4735</v>
      </c>
      <c r="C90" s="30">
        <v>169</v>
      </c>
      <c r="D90" s="20">
        <v>3019.0898226608274</v>
      </c>
      <c r="E90" s="19">
        <v>0.80864126002039083</v>
      </c>
      <c r="F90" s="19">
        <v>0.80161102549229646</v>
      </c>
      <c r="G90" s="19">
        <v>141</v>
      </c>
      <c r="H90" s="19">
        <v>132</v>
      </c>
      <c r="I90" s="13">
        <v>47.84</v>
      </c>
      <c r="J90" s="31">
        <v>2.6800771815122393</v>
      </c>
      <c r="K90" s="13" t="s">
        <v>5</v>
      </c>
      <c r="L90" s="32">
        <v>0.13800000000000001</v>
      </c>
      <c r="M90" s="32"/>
      <c r="N90" s="6">
        <v>4.4029273699827716E-5</v>
      </c>
      <c r="O90" s="14">
        <v>7619</v>
      </c>
      <c r="P90" s="31">
        <v>2.4782733289085912</v>
      </c>
      <c r="Q90" s="13" t="s">
        <v>5</v>
      </c>
    </row>
    <row r="91" spans="1:17" s="7" customFormat="1" x14ac:dyDescent="0.3">
      <c r="A91" s="4" t="s">
        <v>15</v>
      </c>
      <c r="B91" s="14">
        <v>2236.6959999999999</v>
      </c>
      <c r="C91" s="30">
        <v>155</v>
      </c>
      <c r="D91" s="20">
        <v>897</v>
      </c>
      <c r="E91" s="19">
        <v>0.8641896139865074</v>
      </c>
      <c r="F91" s="19">
        <v>0.7832279733272749</v>
      </c>
      <c r="G91" s="19">
        <v>476.69600000000003</v>
      </c>
      <c r="H91" s="19">
        <v>94.3</v>
      </c>
      <c r="I91" s="13">
        <v>40.33</v>
      </c>
      <c r="J91" s="31" t="s">
        <v>5</v>
      </c>
      <c r="K91" s="33" t="s">
        <v>5</v>
      </c>
      <c r="L91" s="32">
        <v>0.39649000000000001</v>
      </c>
      <c r="M91" s="32"/>
      <c r="N91" s="6">
        <v>1.8600000000000001E-5</v>
      </c>
      <c r="O91" s="14">
        <v>5014.6959999999999</v>
      </c>
      <c r="P91" s="31" t="s">
        <v>5</v>
      </c>
      <c r="Q91" s="13" t="s">
        <v>5</v>
      </c>
    </row>
    <row r="92" spans="1:17" s="7" customFormat="1" x14ac:dyDescent="0.3">
      <c r="A92" s="4" t="s">
        <v>15</v>
      </c>
      <c r="B92" s="14">
        <v>3314.6959999999999</v>
      </c>
      <c r="C92" s="30">
        <v>165</v>
      </c>
      <c r="D92" s="20">
        <v>1230</v>
      </c>
      <c r="E92" s="19">
        <v>0.75937338889354078</v>
      </c>
      <c r="F92" s="19">
        <v>0.71536332046639262</v>
      </c>
      <c r="G92" s="19">
        <v>539.69600000000003</v>
      </c>
      <c r="H92" s="19">
        <v>68.2</v>
      </c>
      <c r="I92" s="13">
        <v>42.16</v>
      </c>
      <c r="J92" s="31" t="s">
        <v>5</v>
      </c>
      <c r="K92" s="13" t="s">
        <v>5</v>
      </c>
      <c r="L92" s="32">
        <v>0.2782</v>
      </c>
      <c r="M92" s="32"/>
      <c r="N92" s="6">
        <v>2.3399999999999996E-5</v>
      </c>
      <c r="O92" s="14">
        <v>5614.6959999999999</v>
      </c>
      <c r="P92" s="31" t="s">
        <v>5</v>
      </c>
      <c r="Q92" s="13" t="s">
        <v>5</v>
      </c>
    </row>
    <row r="93" spans="1:17" s="7" customFormat="1" x14ac:dyDescent="0.3">
      <c r="A93" s="4" t="s">
        <v>15</v>
      </c>
      <c r="B93" s="14">
        <v>4498</v>
      </c>
      <c r="C93" s="30">
        <v>148</v>
      </c>
      <c r="D93" s="20">
        <v>2143</v>
      </c>
      <c r="E93" s="19">
        <v>0.88665790947270184</v>
      </c>
      <c r="F93" s="19">
        <v>0.878828475677086</v>
      </c>
      <c r="G93" s="19">
        <v>125</v>
      </c>
      <c r="H93" s="19">
        <v>106</v>
      </c>
      <c r="I93" s="13">
        <v>44.8</v>
      </c>
      <c r="J93" s="31">
        <v>2.0310990912762636</v>
      </c>
      <c r="K93" s="13" t="s">
        <v>5</v>
      </c>
      <c r="L93" s="32">
        <v>0.188</v>
      </c>
      <c r="M93" s="32"/>
      <c r="N93" s="6">
        <v>2.50258E-5</v>
      </c>
      <c r="O93" s="14">
        <v>5695</v>
      </c>
      <c r="P93" s="31">
        <v>1.9804513013419314</v>
      </c>
      <c r="Q93" s="13" t="s">
        <v>5</v>
      </c>
    </row>
    <row r="94" spans="1:17" s="7" customFormat="1" x14ac:dyDescent="0.3">
      <c r="A94" s="4" t="s">
        <v>15</v>
      </c>
      <c r="B94" s="14">
        <v>3365</v>
      </c>
      <c r="C94" s="30">
        <v>154</v>
      </c>
      <c r="D94" s="20">
        <v>1335</v>
      </c>
      <c r="E94" s="19">
        <v>0.83274397003745326</v>
      </c>
      <c r="F94" s="19">
        <v>0.81966594682417748</v>
      </c>
      <c r="G94" s="19">
        <v>150</v>
      </c>
      <c r="H94" s="19">
        <v>118</v>
      </c>
      <c r="I94" s="13">
        <v>44.91</v>
      </c>
      <c r="J94" s="31">
        <v>1.6715649852853085</v>
      </c>
      <c r="K94" s="13" t="s">
        <v>5</v>
      </c>
      <c r="L94" s="32">
        <v>0.39200000000000002</v>
      </c>
      <c r="M94" s="32"/>
      <c r="N94" s="6">
        <v>2.0557999999999999E-5</v>
      </c>
      <c r="O94" s="14">
        <v>5925</v>
      </c>
      <c r="P94" s="31">
        <v>1.6063696848506726</v>
      </c>
      <c r="Q94" s="13" t="s">
        <v>5</v>
      </c>
    </row>
    <row r="95" spans="1:17" s="7" customFormat="1" x14ac:dyDescent="0.3">
      <c r="A95" s="4" t="s">
        <v>15</v>
      </c>
      <c r="B95" s="14">
        <v>3955</v>
      </c>
      <c r="C95" s="30">
        <v>159</v>
      </c>
      <c r="D95" s="20">
        <v>1882</v>
      </c>
      <c r="E95" s="19">
        <v>0.83111498405951112</v>
      </c>
      <c r="F95" s="19">
        <v>0.82068885505083256</v>
      </c>
      <c r="G95" s="19">
        <v>127</v>
      </c>
      <c r="H95" s="19">
        <v>110</v>
      </c>
      <c r="I95" s="13">
        <v>46.47</v>
      </c>
      <c r="J95" s="31">
        <v>1.9730000000000001</v>
      </c>
      <c r="K95" s="13" t="s">
        <v>5</v>
      </c>
      <c r="L95" s="32">
        <v>0.17299999999999999</v>
      </c>
      <c r="M95" s="32"/>
      <c r="N95" s="6">
        <v>2.7320860476648599E-5</v>
      </c>
      <c r="O95" s="14">
        <v>6115</v>
      </c>
      <c r="P95" s="31">
        <v>1.887</v>
      </c>
      <c r="Q95" s="13" t="s">
        <v>5</v>
      </c>
    </row>
    <row r="96" spans="1:17" s="7" customFormat="1" x14ac:dyDescent="0.3">
      <c r="A96" s="4" t="s">
        <v>15</v>
      </c>
      <c r="B96" s="14">
        <v>4349</v>
      </c>
      <c r="C96" s="30">
        <v>148</v>
      </c>
      <c r="D96" s="20">
        <v>2038</v>
      </c>
      <c r="E96" s="19">
        <v>0.88824140253969686</v>
      </c>
      <c r="F96" s="19">
        <v>0.88122595505517021</v>
      </c>
      <c r="G96" s="19">
        <v>125</v>
      </c>
      <c r="H96" s="19">
        <v>106</v>
      </c>
      <c r="I96" s="13">
        <v>44.56</v>
      </c>
      <c r="J96" s="31">
        <v>2.0019999999999998</v>
      </c>
      <c r="K96" s="33" t="s">
        <v>5</v>
      </c>
      <c r="L96" s="32">
        <v>0.188</v>
      </c>
      <c r="M96" s="32"/>
      <c r="N96" s="6">
        <v>2.4738317170880355E-5</v>
      </c>
      <c r="O96" s="14">
        <v>6002</v>
      </c>
      <c r="P96" s="31">
        <v>1.9382999999999999</v>
      </c>
      <c r="Q96" s="13" t="s">
        <v>5</v>
      </c>
    </row>
    <row r="97" spans="1:17" s="7" customFormat="1" x14ac:dyDescent="0.3">
      <c r="A97" s="4" t="s">
        <v>15</v>
      </c>
      <c r="B97" s="14">
        <v>3915</v>
      </c>
      <c r="C97" s="30">
        <v>154</v>
      </c>
      <c r="D97" s="20">
        <v>1759</v>
      </c>
      <c r="E97" s="19">
        <v>0.84009799161896836</v>
      </c>
      <c r="F97" s="19">
        <v>0.82815376065084845</v>
      </c>
      <c r="G97" s="19">
        <v>165</v>
      </c>
      <c r="H97" s="19">
        <v>116</v>
      </c>
      <c r="I97" s="13">
        <v>45.09</v>
      </c>
      <c r="J97" s="31">
        <v>1.8997852987184269</v>
      </c>
      <c r="K97" s="13" t="s">
        <v>5</v>
      </c>
      <c r="L97" s="32">
        <v>0.36199999999999999</v>
      </c>
      <c r="M97" s="32"/>
      <c r="N97" s="6">
        <v>2.5837527208457165E-5</v>
      </c>
      <c r="O97" s="14">
        <v>6002</v>
      </c>
      <c r="P97" s="31">
        <v>1.8224080208375946</v>
      </c>
      <c r="Q97" s="13" t="s">
        <v>5</v>
      </c>
    </row>
    <row r="98" spans="1:17" s="7" customFormat="1" x14ac:dyDescent="0.3">
      <c r="A98" s="4" t="s">
        <v>15</v>
      </c>
      <c r="B98" s="14">
        <v>4133</v>
      </c>
      <c r="C98" s="30">
        <v>162</v>
      </c>
      <c r="D98" s="20">
        <v>2163</v>
      </c>
      <c r="E98" s="19">
        <v>0.84338973647711524</v>
      </c>
      <c r="F98" s="19">
        <v>0.83153760094115015</v>
      </c>
      <c r="G98" s="19">
        <v>152</v>
      </c>
      <c r="H98" s="19">
        <v>112</v>
      </c>
      <c r="I98" s="13">
        <v>47.21</v>
      </c>
      <c r="J98" s="31">
        <v>2.1421000000000001</v>
      </c>
      <c r="K98" s="13" t="s">
        <v>5</v>
      </c>
      <c r="L98" s="32">
        <v>0.17399999999999999</v>
      </c>
      <c r="M98" s="32"/>
      <c r="N98" s="6">
        <v>3.0348992576962501E-5</v>
      </c>
      <c r="O98" s="14">
        <v>6318</v>
      </c>
      <c r="P98" s="31">
        <v>2.0386000000000002</v>
      </c>
      <c r="Q98" s="13" t="s">
        <v>5</v>
      </c>
    </row>
    <row r="99" spans="1:17" s="7" customFormat="1" x14ac:dyDescent="0.3">
      <c r="A99" s="4" t="s">
        <v>15</v>
      </c>
      <c r="B99" s="14">
        <v>4397</v>
      </c>
      <c r="C99" s="30">
        <v>162</v>
      </c>
      <c r="D99" s="20">
        <v>2369</v>
      </c>
      <c r="E99" s="19">
        <v>0.80202568367570037</v>
      </c>
      <c r="F99" s="19">
        <v>0.77110146927282519</v>
      </c>
      <c r="G99" s="19">
        <v>509</v>
      </c>
      <c r="H99" s="19">
        <v>135</v>
      </c>
      <c r="I99" s="13">
        <v>47.8</v>
      </c>
      <c r="J99" s="31">
        <v>2.2797000000000001</v>
      </c>
      <c r="K99" s="13" t="s">
        <v>5</v>
      </c>
      <c r="L99" s="32">
        <v>0.155</v>
      </c>
      <c r="M99" s="32"/>
      <c r="N99" s="6">
        <v>3.2977396396851703E-5</v>
      </c>
      <c r="O99" s="14">
        <v>6724</v>
      </c>
      <c r="P99" s="31">
        <v>2.1575000000000002</v>
      </c>
      <c r="Q99" s="13" t="s">
        <v>5</v>
      </c>
    </row>
    <row r="100" spans="1:17" s="10" customFormat="1" x14ac:dyDescent="0.3">
      <c r="A100" s="4" t="s">
        <v>15</v>
      </c>
      <c r="B100" s="5">
        <v>5706</v>
      </c>
      <c r="C100" s="5">
        <v>190</v>
      </c>
      <c r="D100" s="20">
        <f>(9115*1.1799+210)</f>
        <v>10964.788499999999</v>
      </c>
      <c r="E100" s="19">
        <f>(9115*1.1799*0.7354+85*0.8537+66*1.0042+31*1.183+27*1.3195)/(9115*1.1799+210)</f>
        <v>0.74057175502290817</v>
      </c>
      <c r="F100" s="19">
        <v>0.73540760880440181</v>
      </c>
      <c r="G100" s="19">
        <v>573.02499999999998</v>
      </c>
      <c r="H100" s="19">
        <v>157</v>
      </c>
      <c r="I100" s="17">
        <v>54.83</v>
      </c>
      <c r="J100" s="31" t="s">
        <v>5</v>
      </c>
      <c r="K100" s="5">
        <v>6.2258041928542069E-4</v>
      </c>
      <c r="L100" s="32" t="s">
        <v>5</v>
      </c>
      <c r="M100" s="32"/>
      <c r="N100" s="23">
        <v>5.9073348772862548E-5</v>
      </c>
      <c r="O100" s="5">
        <v>8703</v>
      </c>
      <c r="P100" s="31" t="s">
        <v>5</v>
      </c>
      <c r="Q100" s="5">
        <v>5.4474318725192456E-4</v>
      </c>
    </row>
    <row r="101" spans="1:17" s="10" customFormat="1" x14ac:dyDescent="0.3">
      <c r="A101" s="4" t="s">
        <v>15</v>
      </c>
      <c r="B101" s="5">
        <v>4809</v>
      </c>
      <c r="C101" s="5">
        <v>177</v>
      </c>
      <c r="D101" s="20">
        <f>4572*1.2006+231</f>
        <v>5720.1431999999995</v>
      </c>
      <c r="E101" s="19">
        <f>(4572*1.2006*0.7484+163*1.1376+34*1.2528+35*1.3791)/(4572*1.2006+231)</f>
        <v>0.76647858586477324</v>
      </c>
      <c r="F101" s="19">
        <v>0.74844990418531709</v>
      </c>
      <c r="G101" s="19">
        <v>539.02499999999998</v>
      </c>
      <c r="H101" s="19">
        <v>143</v>
      </c>
      <c r="I101" s="17">
        <v>52.46</v>
      </c>
      <c r="J101" s="31" t="s">
        <v>5</v>
      </c>
      <c r="K101" s="5">
        <v>6.7563458978845889E-4</v>
      </c>
      <c r="L101" s="32" t="s">
        <v>5</v>
      </c>
      <c r="M101" s="32"/>
      <c r="N101" s="23">
        <v>6.238986000591078E-5</v>
      </c>
      <c r="O101" s="5">
        <v>7549</v>
      </c>
      <c r="P101" s="31" t="s">
        <v>5</v>
      </c>
      <c r="Q101" s="5">
        <v>6.0341290338152595E-4</v>
      </c>
    </row>
    <row r="102" spans="1:17" x14ac:dyDescent="0.3">
      <c r="A102" s="4" t="s">
        <v>15</v>
      </c>
      <c r="B102" s="5">
        <v>4257</v>
      </c>
      <c r="C102" s="5">
        <v>165</v>
      </c>
      <c r="D102" s="22">
        <v>2453</v>
      </c>
      <c r="E102" s="19">
        <v>0.83708334249218064</v>
      </c>
      <c r="F102" s="19">
        <v>0.82635780457917585</v>
      </c>
      <c r="G102" s="19">
        <v>163</v>
      </c>
      <c r="H102" s="19">
        <v>131</v>
      </c>
      <c r="I102" s="17">
        <v>47.27</v>
      </c>
      <c r="J102" s="18">
        <v>2.3198206028112054</v>
      </c>
      <c r="K102" s="13" t="s">
        <v>5</v>
      </c>
      <c r="L102" s="36">
        <v>0.1697175980790222</v>
      </c>
      <c r="M102" s="36"/>
      <c r="N102" s="37">
        <v>3.4219600381535102E-5</v>
      </c>
      <c r="O102" s="5">
        <v>7334</v>
      </c>
      <c r="P102" s="18">
        <v>2.1651658959571254</v>
      </c>
      <c r="Q102" s="13" t="s">
        <v>5</v>
      </c>
    </row>
    <row r="103" spans="1:17" x14ac:dyDescent="0.3">
      <c r="A103" s="4" t="s">
        <v>15</v>
      </c>
      <c r="B103" s="5">
        <v>4127</v>
      </c>
      <c r="C103" s="5">
        <v>158</v>
      </c>
      <c r="D103" s="20">
        <v>2179.0347581216583</v>
      </c>
      <c r="E103" s="19">
        <v>0.82586756361566482</v>
      </c>
      <c r="F103" s="19">
        <v>0.81270345452658654</v>
      </c>
      <c r="G103" s="19">
        <v>170</v>
      </c>
      <c r="H103" s="19">
        <v>130</v>
      </c>
      <c r="I103" s="17">
        <v>47.86</v>
      </c>
      <c r="J103" s="18">
        <v>2.14110065649654</v>
      </c>
      <c r="K103" s="13" t="s">
        <v>5</v>
      </c>
      <c r="L103" s="36">
        <v>0.21029315067669996</v>
      </c>
      <c r="M103" s="36"/>
      <c r="N103" s="6">
        <v>2.9301800000000001E-5</v>
      </c>
      <c r="O103" s="5">
        <v>7426</v>
      </c>
      <c r="P103" s="18">
        <v>2.0040266297345735</v>
      </c>
      <c r="Q103" s="13" t="s">
        <v>5</v>
      </c>
    </row>
    <row r="104" spans="1:17" x14ac:dyDescent="0.3">
      <c r="A104" s="4" t="s">
        <v>15</v>
      </c>
      <c r="B104" s="5">
        <v>4503</v>
      </c>
      <c r="C104" s="5">
        <v>143</v>
      </c>
      <c r="D104" s="22">
        <v>2238</v>
      </c>
      <c r="E104" s="19">
        <v>0.80344012511170682</v>
      </c>
      <c r="F104" s="19">
        <v>0.7576349207235521</v>
      </c>
      <c r="G104" s="19">
        <v>259.02499999999998</v>
      </c>
      <c r="H104" s="19">
        <v>106</v>
      </c>
      <c r="I104" s="17">
        <v>47.09</v>
      </c>
      <c r="J104" s="5">
        <v>2.1539999999999999</v>
      </c>
      <c r="K104" s="13" t="s">
        <v>5</v>
      </c>
      <c r="L104" s="5">
        <v>0.17400000000000002</v>
      </c>
      <c r="M104" s="5"/>
      <c r="N104" s="21">
        <v>3.4412219858609198E-5</v>
      </c>
      <c r="O104" s="5">
        <v>4476</v>
      </c>
      <c r="P104" s="18">
        <v>2.4873492917847027</v>
      </c>
      <c r="Q104" s="13" t="s">
        <v>5</v>
      </c>
    </row>
    <row r="105" spans="1:17" x14ac:dyDescent="0.3">
      <c r="A105" s="4" t="s">
        <v>15</v>
      </c>
      <c r="B105" s="5">
        <v>4335</v>
      </c>
      <c r="C105" s="5">
        <v>135</v>
      </c>
      <c r="D105" s="22">
        <v>1973</v>
      </c>
      <c r="E105" s="19">
        <v>0.84994320263829215</v>
      </c>
      <c r="F105" s="19">
        <v>0.82668715153674299</v>
      </c>
      <c r="G105" s="19">
        <v>273</v>
      </c>
      <c r="H105" s="19">
        <v>117</v>
      </c>
      <c r="I105" s="17">
        <v>44.46</v>
      </c>
      <c r="J105" s="18">
        <v>2.0062134571101491</v>
      </c>
      <c r="K105" s="13" t="s">
        <v>5</v>
      </c>
      <c r="L105" s="5">
        <v>0.26300000000000001</v>
      </c>
      <c r="M105" s="5"/>
      <c r="N105" s="21">
        <v>2.3988000000000001E-5</v>
      </c>
      <c r="O105" s="5">
        <v>4275</v>
      </c>
      <c r="P105" s="18">
        <v>2.0122722217506217</v>
      </c>
      <c r="Q105" s="13" t="s">
        <v>5</v>
      </c>
    </row>
    <row r="106" spans="1:17" x14ac:dyDescent="0.3">
      <c r="A106" s="4" t="s">
        <v>15</v>
      </c>
      <c r="B106" s="30">
        <v>5464.7</v>
      </c>
      <c r="C106" s="5">
        <v>170.6</v>
      </c>
      <c r="D106" s="20">
        <v>9392</v>
      </c>
      <c r="E106" s="19">
        <v>0.78500000000000003</v>
      </c>
      <c r="F106" s="19">
        <v>0.78500000000000003</v>
      </c>
      <c r="G106" s="19">
        <v>214.7</v>
      </c>
      <c r="H106" s="19">
        <v>170.6</v>
      </c>
      <c r="I106" s="17">
        <v>48.62</v>
      </c>
      <c r="J106" s="18" t="s">
        <v>20</v>
      </c>
      <c r="K106" s="13"/>
      <c r="L106" s="32" t="s">
        <v>5</v>
      </c>
      <c r="M106" s="5"/>
      <c r="N106" s="21">
        <v>5.0053999999999999E-5</v>
      </c>
      <c r="O106" s="5">
        <v>7421.7</v>
      </c>
      <c r="P106" s="18" t="s">
        <v>20</v>
      </c>
      <c r="Q106" s="13"/>
    </row>
    <row r="107" spans="1:17" x14ac:dyDescent="0.3">
      <c r="A107" s="4" t="s">
        <v>15</v>
      </c>
      <c r="B107" s="30">
        <v>5242.6959999999999</v>
      </c>
      <c r="C107" s="5">
        <v>107</v>
      </c>
      <c r="D107" s="20">
        <v>3847.7002000000002</v>
      </c>
      <c r="E107" s="19">
        <v>0.76230425628265586</v>
      </c>
      <c r="F107" s="19">
        <v>0.71950000000000003</v>
      </c>
      <c r="G107" s="19">
        <v>206</v>
      </c>
      <c r="H107" s="19">
        <v>107</v>
      </c>
      <c r="I107" s="17">
        <v>50.4</v>
      </c>
      <c r="J107" s="18" t="s">
        <v>20</v>
      </c>
      <c r="K107" s="13"/>
      <c r="L107" s="32">
        <v>7.8911154647924725E-2</v>
      </c>
      <c r="M107" s="5"/>
      <c r="N107" s="21">
        <v>4.4374659527450271E-5</v>
      </c>
      <c r="O107" s="5">
        <v>6006.6959999999999</v>
      </c>
      <c r="P107" s="18" t="s">
        <v>20</v>
      </c>
      <c r="Q107" s="13"/>
    </row>
    <row r="108" spans="1:17" x14ac:dyDescent="0.3">
      <c r="A108" s="4" t="s">
        <v>15</v>
      </c>
      <c r="B108" s="30">
        <v>3651.6959999999999</v>
      </c>
      <c r="C108" s="5">
        <v>87</v>
      </c>
      <c r="D108" s="20">
        <v>2091</v>
      </c>
      <c r="E108" s="19">
        <v>0.8658139646102343</v>
      </c>
      <c r="F108" s="19">
        <v>0.81499999999999995</v>
      </c>
      <c r="G108" s="19">
        <v>224</v>
      </c>
      <c r="H108" s="19">
        <v>87</v>
      </c>
      <c r="I108" s="17">
        <v>47.3</v>
      </c>
      <c r="J108" s="18" t="s">
        <v>20</v>
      </c>
      <c r="K108" s="13"/>
      <c r="L108" s="32">
        <v>0.14529917809168946</v>
      </c>
      <c r="M108" s="5"/>
      <c r="N108" s="21">
        <v>3.7221372799876298E-5</v>
      </c>
      <c r="O108" s="5">
        <v>4642.6959999999999</v>
      </c>
      <c r="P108" s="18" t="s">
        <v>20</v>
      </c>
      <c r="Q108" s="13"/>
    </row>
    <row r="109" spans="1:17" x14ac:dyDescent="0.3">
      <c r="A109" s="4" t="s">
        <v>15</v>
      </c>
      <c r="B109" s="30">
        <v>4937.6959999999999</v>
      </c>
      <c r="C109" s="5">
        <v>114</v>
      </c>
      <c r="D109" s="20">
        <v>4166.7199999999993</v>
      </c>
      <c r="E109" s="19">
        <v>0.7097</v>
      </c>
      <c r="F109" s="19">
        <v>0.7097</v>
      </c>
      <c r="G109" s="19">
        <v>391.69600000000003</v>
      </c>
      <c r="H109" s="19">
        <v>114</v>
      </c>
      <c r="I109" s="17">
        <v>51.02</v>
      </c>
      <c r="J109" s="18" t="s">
        <v>20</v>
      </c>
      <c r="K109" s="13"/>
      <c r="L109" s="32">
        <v>6.7595093464942108E-2</v>
      </c>
      <c r="M109" s="5"/>
      <c r="N109" s="21">
        <v>5.7809548074829629E-5</v>
      </c>
      <c r="O109" s="5">
        <v>8557.6959999999999</v>
      </c>
      <c r="P109" s="18" t="s">
        <v>20</v>
      </c>
      <c r="Q109" s="13"/>
    </row>
    <row r="110" spans="1:17" x14ac:dyDescent="0.3">
      <c r="A110" s="4" t="s">
        <v>15</v>
      </c>
      <c r="B110" s="30">
        <v>3438</v>
      </c>
      <c r="C110" s="5">
        <v>89</v>
      </c>
      <c r="D110" s="20">
        <v>1357.1158558831214</v>
      </c>
      <c r="E110" s="19">
        <v>0.76649535594394202</v>
      </c>
      <c r="F110" s="19">
        <v>0.76649535594394202</v>
      </c>
      <c r="G110" s="19">
        <v>180</v>
      </c>
      <c r="H110" s="19">
        <v>89</v>
      </c>
      <c r="I110" s="17">
        <v>45.156083479130217</v>
      </c>
      <c r="J110" s="18">
        <v>1.7233450198001536</v>
      </c>
      <c r="K110" s="13"/>
      <c r="L110" s="32">
        <v>0.25137986376608001</v>
      </c>
      <c r="M110" s="5"/>
      <c r="N110" s="21">
        <v>1.9178764836983299E-5</v>
      </c>
      <c r="O110" s="5">
        <v>4500</v>
      </c>
      <c r="P110" s="18">
        <v>1.6907420362229162</v>
      </c>
      <c r="Q110" s="13"/>
    </row>
    <row r="111" spans="1:17" x14ac:dyDescent="0.3">
      <c r="A111" s="4" t="s">
        <v>15</v>
      </c>
      <c r="B111" s="30">
        <v>3998</v>
      </c>
      <c r="C111" s="5">
        <v>95</v>
      </c>
      <c r="D111" s="20">
        <v>2203.3569661520996</v>
      </c>
      <c r="E111" s="19">
        <v>0.94853491262756928</v>
      </c>
      <c r="F111" s="19">
        <v>0.94853491262756928</v>
      </c>
      <c r="G111" s="19">
        <v>103</v>
      </c>
      <c r="H111" s="19">
        <v>95</v>
      </c>
      <c r="I111" s="17">
        <v>44.1</v>
      </c>
      <c r="J111" s="18">
        <v>2.09596970580519</v>
      </c>
      <c r="K111" s="13"/>
      <c r="L111" s="32">
        <v>0.19217507951432</v>
      </c>
      <c r="M111" s="5"/>
      <c r="N111" s="21">
        <v>2.3515770019712101E-5</v>
      </c>
      <c r="O111" s="5">
        <v>4800</v>
      </c>
      <c r="P111" s="18">
        <v>2.0581782661231314</v>
      </c>
      <c r="Q111" s="13"/>
    </row>
    <row r="112" spans="1:17" x14ac:dyDescent="0.3">
      <c r="A112" s="4" t="s">
        <v>15</v>
      </c>
      <c r="B112" s="30">
        <v>3792</v>
      </c>
      <c r="C112" s="5">
        <v>114</v>
      </c>
      <c r="D112" s="20">
        <v>1665.0060266896255</v>
      </c>
      <c r="E112" s="19">
        <v>0.79765350832753723</v>
      </c>
      <c r="F112" s="19">
        <v>0.79765350832753723</v>
      </c>
      <c r="G112" s="19">
        <v>157</v>
      </c>
      <c r="H112" s="19">
        <v>114</v>
      </c>
      <c r="I112" s="17">
        <v>43.3</v>
      </c>
      <c r="J112" s="18">
        <v>1.8544131637187344</v>
      </c>
      <c r="K112" s="13"/>
      <c r="L112" s="32">
        <v>0.21358128616944635</v>
      </c>
      <c r="M112" s="5"/>
      <c r="N112" s="21">
        <v>2.2249561552757301E-5</v>
      </c>
      <c r="O112" s="5">
        <v>6000</v>
      </c>
      <c r="P112" s="18">
        <v>1.7790904215279515</v>
      </c>
      <c r="Q112" s="13"/>
    </row>
    <row r="113" spans="1:17" x14ac:dyDescent="0.3">
      <c r="A113" s="4" t="s">
        <v>15</v>
      </c>
      <c r="B113" s="30">
        <v>5363</v>
      </c>
      <c r="C113" s="5">
        <v>150</v>
      </c>
      <c r="D113" s="20">
        <v>4885.2244320020982</v>
      </c>
      <c r="E113" s="19">
        <v>0.77982099213123346</v>
      </c>
      <c r="F113" s="19">
        <v>0.74371197120680288</v>
      </c>
      <c r="G113" s="19">
        <v>500</v>
      </c>
      <c r="H113" s="19">
        <v>150</v>
      </c>
      <c r="I113" s="17">
        <v>46.849984859954589</v>
      </c>
      <c r="J113" s="18" t="s">
        <v>20</v>
      </c>
      <c r="K113" s="13"/>
      <c r="L113" s="32">
        <v>7.8917216358009426E-2</v>
      </c>
      <c r="M113" s="5"/>
      <c r="N113" s="21">
        <v>2.9521805960011133E-5</v>
      </c>
      <c r="O113" s="5">
        <v>8274</v>
      </c>
      <c r="P113" s="18"/>
      <c r="Q113" s="13"/>
    </row>
    <row r="114" spans="1:17" x14ac:dyDescent="0.3">
      <c r="A114" s="4" t="s">
        <v>15</v>
      </c>
      <c r="B114" s="30">
        <v>2740</v>
      </c>
      <c r="C114" s="5">
        <v>112</v>
      </c>
      <c r="D114" s="20">
        <v>922.56514694359964</v>
      </c>
      <c r="E114" s="19">
        <v>0.83898519944619543</v>
      </c>
      <c r="F114" s="19">
        <v>0.82909418924561462</v>
      </c>
      <c r="G114" s="19">
        <v>115</v>
      </c>
      <c r="H114" s="19">
        <v>112</v>
      </c>
      <c r="I114" s="17">
        <v>41.673418186268464</v>
      </c>
      <c r="J114" s="18">
        <v>1.4981948870552557</v>
      </c>
      <c r="K114" s="13"/>
      <c r="L114" s="32">
        <v>0.3169279821761809</v>
      </c>
      <c r="M114" s="5"/>
      <c r="N114" s="21">
        <v>1.5909436161905549E-5</v>
      </c>
      <c r="O114" s="5">
        <v>7400</v>
      </c>
      <c r="P114" s="18">
        <v>1.4185271192610254</v>
      </c>
      <c r="Q114" s="13"/>
    </row>
    <row r="115" spans="1:17" x14ac:dyDescent="0.3">
      <c r="A115" s="4" t="s">
        <v>15</v>
      </c>
      <c r="B115" s="30">
        <v>1602</v>
      </c>
      <c r="C115" s="5">
        <v>80</v>
      </c>
      <c r="D115" s="20">
        <v>525</v>
      </c>
      <c r="E115" s="19">
        <v>1.0178076190476191</v>
      </c>
      <c r="F115" s="19">
        <v>0.98299999999999998</v>
      </c>
      <c r="G115" s="19">
        <v>65</v>
      </c>
      <c r="H115" s="19">
        <v>80</v>
      </c>
      <c r="I115" s="17">
        <v>39.1</v>
      </c>
      <c r="J115" s="18">
        <v>1.284</v>
      </c>
      <c r="K115" s="13"/>
      <c r="L115" s="32">
        <v>1.133</v>
      </c>
      <c r="M115" s="5"/>
      <c r="N115" s="21">
        <v>1.2150000000000001E-5</v>
      </c>
      <c r="O115" s="5" t="s">
        <v>20</v>
      </c>
      <c r="P115" s="18" t="s">
        <v>20</v>
      </c>
      <c r="Q115" s="13"/>
    </row>
    <row r="116" spans="1:17" x14ac:dyDescent="0.3">
      <c r="A116" s="4" t="s">
        <v>15</v>
      </c>
      <c r="B116" s="30">
        <v>2940</v>
      </c>
      <c r="C116" s="5">
        <v>89</v>
      </c>
      <c r="D116" s="20">
        <v>907.54</v>
      </c>
      <c r="E116" s="19">
        <v>0.81640000000000001</v>
      </c>
      <c r="F116" s="19">
        <v>0.78890000000000005</v>
      </c>
      <c r="G116" s="19">
        <v>125</v>
      </c>
      <c r="H116" s="19">
        <v>89</v>
      </c>
      <c r="I116" s="17">
        <v>39.659999999999997</v>
      </c>
      <c r="J116" s="18">
        <v>1.502</v>
      </c>
      <c r="K116" s="13"/>
      <c r="L116" s="32">
        <v>0.30980000000000002</v>
      </c>
      <c r="M116" s="5"/>
      <c r="N116" s="21">
        <v>1.7159999999999998E-5</v>
      </c>
      <c r="O116" s="5">
        <v>4550</v>
      </c>
      <c r="P116" s="18">
        <v>1.4650000000000001</v>
      </c>
      <c r="Q116" s="13"/>
    </row>
    <row r="117" spans="1:17" x14ac:dyDescent="0.3">
      <c r="A117" s="4" t="s">
        <v>15</v>
      </c>
      <c r="B117" s="30">
        <v>4667</v>
      </c>
      <c r="C117" s="5">
        <v>122</v>
      </c>
      <c r="D117" s="20">
        <v>2182.112790828015</v>
      </c>
      <c r="E117" s="19">
        <v>0.76636413410231086</v>
      </c>
      <c r="F117" s="19">
        <v>0.73025426371911795</v>
      </c>
      <c r="G117" s="19">
        <v>400</v>
      </c>
      <c r="H117" s="19">
        <v>122</v>
      </c>
      <c r="I117" s="17">
        <v>44.276397515527947</v>
      </c>
      <c r="J117" s="18">
        <v>2.1624065004709321</v>
      </c>
      <c r="K117" s="13"/>
      <c r="L117" s="32">
        <v>0.13232789056606753</v>
      </c>
      <c r="M117" s="5"/>
      <c r="N117" s="21">
        <v>2.9097424085878623E-5</v>
      </c>
      <c r="O117" s="5">
        <v>8700</v>
      </c>
      <c r="P117" s="18">
        <v>1.9827374352332074</v>
      </c>
      <c r="Q117" s="13"/>
    </row>
    <row r="118" spans="1:17" x14ac:dyDescent="0.3">
      <c r="A118" s="4" t="s">
        <v>15</v>
      </c>
      <c r="B118" s="30">
        <v>4550</v>
      </c>
      <c r="C118" s="5">
        <v>100</v>
      </c>
      <c r="D118" s="20">
        <v>2479</v>
      </c>
      <c r="E118" s="19">
        <v>0.76100000000000001</v>
      </c>
      <c r="F118" s="19">
        <v>0.69299999999999995</v>
      </c>
      <c r="G118" s="19">
        <v>1800</v>
      </c>
      <c r="H118" s="19">
        <v>100</v>
      </c>
      <c r="I118" s="17">
        <v>49.9</v>
      </c>
      <c r="J118" s="18">
        <v>2.3290000000000002</v>
      </c>
      <c r="K118" s="13"/>
      <c r="L118" s="32">
        <v>0.23</v>
      </c>
      <c r="M118" s="5"/>
      <c r="N118" s="21">
        <v>3.2700000000000002E-5</v>
      </c>
      <c r="O118" s="5">
        <v>6553</v>
      </c>
      <c r="P118" s="18">
        <v>2.21</v>
      </c>
      <c r="Q118" s="13"/>
    </row>
    <row r="119" spans="1:17" x14ac:dyDescent="0.3">
      <c r="A119" s="4" t="s">
        <v>15</v>
      </c>
      <c r="B119" s="30">
        <v>5065</v>
      </c>
      <c r="C119" s="5">
        <v>108</v>
      </c>
      <c r="D119" s="20">
        <v>2650</v>
      </c>
      <c r="E119" s="19">
        <v>0.78800000000000003</v>
      </c>
      <c r="F119" s="19">
        <v>0.78800000000000003</v>
      </c>
      <c r="G119" s="19">
        <v>106.696</v>
      </c>
      <c r="H119" s="19">
        <v>108</v>
      </c>
      <c r="I119" s="17">
        <v>42.5</v>
      </c>
      <c r="J119" s="18">
        <v>2.36</v>
      </c>
      <c r="K119" s="13"/>
      <c r="L119" s="32" t="s">
        <v>5</v>
      </c>
      <c r="M119" s="5"/>
      <c r="N119" s="21">
        <v>2.3799999999999999E-5</v>
      </c>
      <c r="O119" s="5">
        <v>9400</v>
      </c>
      <c r="P119" s="18" t="s">
        <v>20</v>
      </c>
      <c r="Q119" s="13"/>
    </row>
    <row r="120" spans="1:17" x14ac:dyDescent="0.3">
      <c r="A120" s="4" t="s">
        <v>15</v>
      </c>
      <c r="B120" s="30">
        <v>5510</v>
      </c>
      <c r="C120" s="5">
        <v>100</v>
      </c>
      <c r="D120" s="20">
        <v>3183</v>
      </c>
      <c r="E120" s="19">
        <v>0.75600000000000001</v>
      </c>
      <c r="F120" s="19">
        <v>0.69399999999999995</v>
      </c>
      <c r="G120" s="19">
        <v>700</v>
      </c>
      <c r="H120" s="19">
        <v>100</v>
      </c>
      <c r="I120" s="17">
        <v>42.3</v>
      </c>
      <c r="J120" s="18">
        <v>2.609</v>
      </c>
      <c r="K120" s="13"/>
      <c r="L120" s="32">
        <v>0.14000000000000001</v>
      </c>
      <c r="M120" s="5"/>
      <c r="N120" s="21">
        <v>2.58E-5</v>
      </c>
      <c r="O120" s="5">
        <v>9010</v>
      </c>
      <c r="P120" s="18">
        <v>2.4340000000000002</v>
      </c>
      <c r="Q120" s="13"/>
    </row>
    <row r="121" spans="1:17" x14ac:dyDescent="0.3">
      <c r="A121" s="4" t="s">
        <v>15</v>
      </c>
      <c r="B121" s="30">
        <v>2612.5</v>
      </c>
      <c r="C121" s="5">
        <v>88</v>
      </c>
      <c r="D121" s="20">
        <v>1023</v>
      </c>
      <c r="E121" s="19">
        <v>0.85240860215053749</v>
      </c>
      <c r="F121" s="19">
        <v>0.82799999999999996</v>
      </c>
      <c r="G121" s="19">
        <v>99.7</v>
      </c>
      <c r="H121" s="19">
        <v>88</v>
      </c>
      <c r="I121" s="17">
        <v>41.02</v>
      </c>
      <c r="J121" s="18">
        <v>1.552</v>
      </c>
      <c r="K121" s="13"/>
      <c r="L121" s="32">
        <v>0.3</v>
      </c>
      <c r="M121" s="5"/>
      <c r="N121" s="21">
        <v>1.6075200000000002E-5</v>
      </c>
      <c r="O121" s="5">
        <v>8750.7000000000007</v>
      </c>
      <c r="P121" s="18">
        <v>1.4371520000000002</v>
      </c>
      <c r="Q121" s="13"/>
    </row>
    <row r="122" spans="1:17" x14ac:dyDescent="0.3">
      <c r="A122" s="4" t="s">
        <v>15</v>
      </c>
      <c r="B122" s="30">
        <v>4825</v>
      </c>
      <c r="C122" s="5">
        <v>158</v>
      </c>
      <c r="D122" s="20">
        <v>8560.8695652173901</v>
      </c>
      <c r="E122" s="19">
        <v>0.78490000000000004</v>
      </c>
      <c r="F122" s="19">
        <v>0.78490000000000004</v>
      </c>
      <c r="G122" s="19">
        <v>140</v>
      </c>
      <c r="H122" s="19">
        <v>158</v>
      </c>
      <c r="I122" s="17">
        <v>51.4</v>
      </c>
      <c r="J122" s="18" t="s">
        <v>20</v>
      </c>
      <c r="K122" s="13"/>
      <c r="L122" s="32">
        <v>5.3614478660043048E-2</v>
      </c>
      <c r="M122" s="5"/>
      <c r="N122" s="21">
        <v>7.7090822707645481E-5</v>
      </c>
      <c r="O122" s="5">
        <v>6015</v>
      </c>
      <c r="P122" s="18" t="s">
        <v>20</v>
      </c>
      <c r="Q122" s="13"/>
    </row>
    <row r="123" spans="1:17" x14ac:dyDescent="0.3">
      <c r="A123" s="4" t="s">
        <v>15</v>
      </c>
      <c r="B123" s="30">
        <v>4668</v>
      </c>
      <c r="C123" s="5">
        <v>144</v>
      </c>
      <c r="D123" s="20">
        <v>3592.3185784975258</v>
      </c>
      <c r="E123" s="19">
        <v>0.76905929486270974</v>
      </c>
      <c r="F123" s="19">
        <v>0.76905929486270974</v>
      </c>
      <c r="G123" s="19">
        <v>305</v>
      </c>
      <c r="H123" s="19">
        <v>144</v>
      </c>
      <c r="I123" s="17">
        <v>44.2</v>
      </c>
      <c r="J123" s="18" t="s">
        <v>20</v>
      </c>
      <c r="K123" s="13"/>
      <c r="L123" s="32">
        <v>0.1502489545024</v>
      </c>
      <c r="M123" s="5"/>
      <c r="N123" s="21">
        <v>4.3761754030072101E-5</v>
      </c>
      <c r="O123" s="5">
        <v>9615</v>
      </c>
      <c r="P123" s="18">
        <v>2.5549504114316486</v>
      </c>
      <c r="Q123" s="13"/>
    </row>
    <row r="124" spans="1:17" x14ac:dyDescent="0.3">
      <c r="A124" s="4" t="s">
        <v>15</v>
      </c>
      <c r="B124" s="30">
        <v>3599</v>
      </c>
      <c r="C124" s="5">
        <v>124</v>
      </c>
      <c r="D124" s="20">
        <v>1559.3727272727272</v>
      </c>
      <c r="E124" s="19">
        <v>0.90432072315436263</v>
      </c>
      <c r="F124" s="19">
        <v>0.90432072315436263</v>
      </c>
      <c r="G124" s="19">
        <v>159</v>
      </c>
      <c r="H124" s="19">
        <v>124</v>
      </c>
      <c r="I124" s="17">
        <v>40.9</v>
      </c>
      <c r="J124" s="18">
        <v>1.802376206816072</v>
      </c>
      <c r="K124" s="13"/>
      <c r="L124" s="32">
        <v>0.24434436037905366</v>
      </c>
      <c r="M124" s="5"/>
      <c r="N124" s="21">
        <v>1.9975656623308001E-5</v>
      </c>
      <c r="O124" s="5">
        <v>10212</v>
      </c>
      <c r="P124" s="18">
        <v>1.6556265385461866</v>
      </c>
      <c r="Q124" s="13"/>
    </row>
    <row r="125" spans="1:17" x14ac:dyDescent="0.3">
      <c r="A125" s="3" t="s">
        <v>14</v>
      </c>
      <c r="B125" s="24">
        <v>2900</v>
      </c>
      <c r="C125" s="5">
        <v>159</v>
      </c>
      <c r="D125" s="24">
        <v>1315</v>
      </c>
      <c r="E125" s="26">
        <v>0.89081440935686729</v>
      </c>
      <c r="F125" s="26">
        <v>0.83624646234476507</v>
      </c>
      <c r="G125" s="26">
        <v>165</v>
      </c>
      <c r="H125" s="26">
        <v>125</v>
      </c>
      <c r="I125" s="28">
        <v>43.6</v>
      </c>
      <c r="J125" s="26">
        <v>1.6970000000000001</v>
      </c>
      <c r="K125" s="13" t="s">
        <v>5</v>
      </c>
      <c r="L125" s="26">
        <v>0.27100000000000002</v>
      </c>
      <c r="M125" s="7"/>
      <c r="N125" s="37">
        <v>2.1399999999999998E-5</v>
      </c>
      <c r="O125" s="24">
        <v>4870</v>
      </c>
      <c r="P125" s="18">
        <v>1.6419999999999999</v>
      </c>
      <c r="Q125" s="13" t="s">
        <v>5</v>
      </c>
    </row>
    <row r="126" spans="1:17" x14ac:dyDescent="0.3">
      <c r="A126" s="3" t="s">
        <v>14</v>
      </c>
      <c r="B126" s="24">
        <v>3584.9960000000001</v>
      </c>
      <c r="C126" s="5">
        <v>163</v>
      </c>
      <c r="D126" s="24">
        <v>1883.8370124237647</v>
      </c>
      <c r="E126" s="26">
        <v>0.78564357945546592</v>
      </c>
      <c r="F126" s="26">
        <v>0.74345208300607168</v>
      </c>
      <c r="G126" s="26">
        <v>133</v>
      </c>
      <c r="H126" s="26">
        <v>65</v>
      </c>
      <c r="I126" s="29">
        <v>47.771298521831739</v>
      </c>
      <c r="J126" s="26">
        <v>1.99739661192361</v>
      </c>
      <c r="K126" s="13" t="s">
        <v>5</v>
      </c>
      <c r="L126" s="26">
        <v>0.18333889836863401</v>
      </c>
      <c r="M126" s="7"/>
      <c r="N126" s="37">
        <v>2.8528498590826427E-5</v>
      </c>
      <c r="O126" s="24">
        <v>6015</v>
      </c>
      <c r="P126" s="18">
        <v>1.8919970656473581</v>
      </c>
      <c r="Q126" s="13" t="s">
        <v>5</v>
      </c>
    </row>
    <row r="127" spans="1:17" x14ac:dyDescent="0.3">
      <c r="A127" s="3" t="s">
        <v>14</v>
      </c>
      <c r="B127" s="24">
        <v>3313</v>
      </c>
      <c r="C127" s="5">
        <v>157</v>
      </c>
      <c r="D127" s="24">
        <v>1077</v>
      </c>
      <c r="E127" s="26">
        <v>0.85875487465181055</v>
      </c>
      <c r="F127" s="26">
        <v>0.84899999999999998</v>
      </c>
      <c r="G127" s="26">
        <v>98</v>
      </c>
      <c r="H127" s="26">
        <v>121</v>
      </c>
      <c r="I127" s="28">
        <v>40.200000000000003</v>
      </c>
      <c r="J127" s="26">
        <v>1.5429999999999999</v>
      </c>
      <c r="K127" s="13" t="s">
        <v>5</v>
      </c>
      <c r="L127" s="26">
        <v>0.38100000000000001</v>
      </c>
      <c r="M127" s="7"/>
      <c r="N127" s="37">
        <v>1.6694808201400833E-5</v>
      </c>
      <c r="O127" s="25">
        <v>4526.6959999999999</v>
      </c>
      <c r="P127" s="18">
        <v>1.5166742807596807</v>
      </c>
      <c r="Q127" s="13" t="s">
        <v>5</v>
      </c>
    </row>
    <row r="128" spans="1:17" x14ac:dyDescent="0.3">
      <c r="A128" s="3" t="s">
        <v>14</v>
      </c>
      <c r="B128" s="24">
        <v>2551</v>
      </c>
      <c r="C128" s="5">
        <v>151</v>
      </c>
      <c r="D128" s="24">
        <v>828</v>
      </c>
      <c r="E128" s="26">
        <v>0.89849999999999997</v>
      </c>
      <c r="F128" s="26">
        <v>0.875</v>
      </c>
      <c r="G128" s="26">
        <v>103</v>
      </c>
      <c r="H128" s="26">
        <v>105</v>
      </c>
      <c r="I128" s="28">
        <v>40.700000000000003</v>
      </c>
      <c r="J128" s="26">
        <v>1.427</v>
      </c>
      <c r="K128" s="13" t="s">
        <v>5</v>
      </c>
      <c r="L128" s="26">
        <v>0.48399999999999999</v>
      </c>
      <c r="M128" s="7"/>
      <c r="N128" s="37">
        <v>1.421013182395991E-5</v>
      </c>
      <c r="O128" s="24">
        <v>3410</v>
      </c>
      <c r="P128" s="18">
        <v>1.411303</v>
      </c>
      <c r="Q128" s="13" t="s">
        <v>5</v>
      </c>
    </row>
    <row r="129" spans="1:17" x14ac:dyDescent="0.3">
      <c r="A129" s="3" t="s">
        <v>14</v>
      </c>
      <c r="B129" s="24">
        <v>2528</v>
      </c>
      <c r="C129" s="5">
        <v>153</v>
      </c>
      <c r="D129" s="24">
        <v>824</v>
      </c>
      <c r="E129" s="27">
        <v>0.87901334951456311</v>
      </c>
      <c r="F129" s="27">
        <v>0.82199999999999995</v>
      </c>
      <c r="G129" s="27">
        <v>225</v>
      </c>
      <c r="H129" s="27">
        <v>133</v>
      </c>
      <c r="I129" s="28">
        <v>39.299999999999997</v>
      </c>
      <c r="J129" s="26">
        <v>1.45</v>
      </c>
      <c r="K129" s="13" t="s">
        <v>5</v>
      </c>
      <c r="L129" s="26">
        <v>0.45300000000000001</v>
      </c>
      <c r="M129" s="7"/>
      <c r="N129" s="37">
        <v>1.38263653362039E-5</v>
      </c>
      <c r="O129" s="24">
        <v>3515</v>
      </c>
      <c r="P129" s="18">
        <v>1.4324304762790159</v>
      </c>
      <c r="Q129" s="13" t="s">
        <v>5</v>
      </c>
    </row>
    <row r="130" spans="1:17" x14ac:dyDescent="0.3">
      <c r="A130" s="3" t="s">
        <v>14</v>
      </c>
      <c r="B130" s="24">
        <v>2562</v>
      </c>
      <c r="C130" s="5">
        <v>153</v>
      </c>
      <c r="D130" s="24">
        <v>878</v>
      </c>
      <c r="E130" s="27">
        <v>0.86815831435079716</v>
      </c>
      <c r="F130" s="27">
        <v>0.82199999999999995</v>
      </c>
      <c r="G130" s="27">
        <v>124</v>
      </c>
      <c r="H130" s="27">
        <v>98</v>
      </c>
      <c r="I130" s="28">
        <v>42.6</v>
      </c>
      <c r="J130" s="26">
        <v>1.4550000000000001</v>
      </c>
      <c r="K130" s="13" t="s">
        <v>5</v>
      </c>
      <c r="L130" s="26">
        <v>0.38100000000000001</v>
      </c>
      <c r="M130" s="7"/>
      <c r="N130" s="37">
        <v>1.5265380160635899E-5</v>
      </c>
      <c r="O130" s="24">
        <v>3635</v>
      </c>
      <c r="P130" s="18">
        <v>1.4338039390944741</v>
      </c>
      <c r="Q130" s="13" t="s">
        <v>5</v>
      </c>
    </row>
    <row r="131" spans="1:17" x14ac:dyDescent="0.3">
      <c r="A131" s="3" t="s">
        <v>14</v>
      </c>
      <c r="B131" s="24">
        <v>1714.9959999999999</v>
      </c>
      <c r="C131" s="5">
        <v>170</v>
      </c>
      <c r="D131" s="25">
        <v>461</v>
      </c>
      <c r="E131" s="27">
        <v>0.98686008676789583</v>
      </c>
      <c r="F131" s="27">
        <v>0.93720000000000003</v>
      </c>
      <c r="G131" s="27">
        <v>76</v>
      </c>
      <c r="H131" s="27">
        <v>97</v>
      </c>
      <c r="I131" s="29">
        <v>38.33</v>
      </c>
      <c r="J131" s="26">
        <v>1.2956000000000001</v>
      </c>
      <c r="K131" s="13" t="s">
        <v>5</v>
      </c>
      <c r="L131" s="26">
        <v>0.745</v>
      </c>
      <c r="M131" s="7"/>
      <c r="N131" s="37">
        <v>1.20933E-5</v>
      </c>
      <c r="O131" s="24">
        <v>4814.9960000000001</v>
      </c>
      <c r="P131" s="18">
        <v>1.2562137600000001</v>
      </c>
      <c r="Q131" s="13" t="s">
        <v>5</v>
      </c>
    </row>
    <row r="132" spans="1:17" x14ac:dyDescent="0.3">
      <c r="A132" s="3" t="s">
        <v>14</v>
      </c>
      <c r="B132" s="24">
        <v>1614.9959999999999</v>
      </c>
      <c r="C132" s="5">
        <v>165</v>
      </c>
      <c r="D132" s="25">
        <v>441</v>
      </c>
      <c r="E132" s="27">
        <v>0.9594061224489796</v>
      </c>
      <c r="F132" s="27">
        <v>0.91449999999999998</v>
      </c>
      <c r="G132" s="27">
        <v>83</v>
      </c>
      <c r="H132" s="27">
        <v>101</v>
      </c>
      <c r="I132" s="29">
        <v>37.9</v>
      </c>
      <c r="J132" s="26">
        <v>1.2822</v>
      </c>
      <c r="K132" s="13" t="s">
        <v>5</v>
      </c>
      <c r="L132" s="26">
        <v>0.75900000000000001</v>
      </c>
      <c r="M132" s="7"/>
      <c r="N132" s="37">
        <v>1.1946800000000001E-5</v>
      </c>
      <c r="O132" s="24">
        <v>3964.9960000000001</v>
      </c>
      <c r="P132" s="18">
        <v>1.2518759700000002</v>
      </c>
      <c r="Q132" s="13" t="s">
        <v>5</v>
      </c>
    </row>
    <row r="133" spans="1:17" x14ac:dyDescent="0.3">
      <c r="A133" s="3" t="s">
        <v>14</v>
      </c>
      <c r="B133" s="24">
        <v>3575</v>
      </c>
      <c r="C133" s="5">
        <v>151</v>
      </c>
      <c r="D133" s="24">
        <v>1428</v>
      </c>
      <c r="E133" s="27">
        <v>0.83362575680739615</v>
      </c>
      <c r="F133" s="27">
        <v>0.7425803978027975</v>
      </c>
      <c r="G133" s="27">
        <v>345</v>
      </c>
      <c r="H133" s="27">
        <v>100</v>
      </c>
      <c r="I133" s="28">
        <v>44.7</v>
      </c>
      <c r="J133" s="26">
        <v>1.712</v>
      </c>
      <c r="K133" s="13" t="s">
        <v>5</v>
      </c>
      <c r="L133" s="26">
        <v>0.26600000000000001</v>
      </c>
      <c r="M133" s="7"/>
      <c r="N133" s="37">
        <v>2.3091654033942401E-5</v>
      </c>
      <c r="O133" s="24">
        <v>5518</v>
      </c>
      <c r="P133" s="18">
        <v>1.6586662469385278</v>
      </c>
      <c r="Q133" s="13" t="s">
        <v>5</v>
      </c>
    </row>
    <row r="134" spans="1:17" x14ac:dyDescent="0.3">
      <c r="A134" s="3" t="s">
        <v>14</v>
      </c>
      <c r="B134" s="24">
        <v>3131</v>
      </c>
      <c r="C134" s="5">
        <v>161</v>
      </c>
      <c r="D134" s="24">
        <v>1124</v>
      </c>
      <c r="E134" s="27">
        <v>0.85542971530249112</v>
      </c>
      <c r="F134" s="27">
        <v>0.76700000000000002</v>
      </c>
      <c r="G134" s="27">
        <v>315</v>
      </c>
      <c r="H134" s="27">
        <v>114</v>
      </c>
      <c r="I134" s="28">
        <v>43.6</v>
      </c>
      <c r="J134" s="26">
        <v>1.5860000000000001</v>
      </c>
      <c r="K134" s="13" t="s">
        <v>5</v>
      </c>
      <c r="L134" s="26">
        <v>0.32800000000000001</v>
      </c>
      <c r="M134" s="7"/>
      <c r="N134" s="37">
        <v>1.7594743166497201E-5</v>
      </c>
      <c r="O134" s="24">
        <v>5009</v>
      </c>
      <c r="P134" s="18">
        <v>1.5429931315257974</v>
      </c>
      <c r="Q134" s="13" t="s">
        <v>5</v>
      </c>
    </row>
    <row r="135" spans="1:17" x14ac:dyDescent="0.3">
      <c r="A135" s="3" t="s">
        <v>14</v>
      </c>
      <c r="B135" s="24">
        <v>2992</v>
      </c>
      <c r="C135" s="5">
        <v>160</v>
      </c>
      <c r="D135" s="24">
        <v>1178</v>
      </c>
      <c r="E135" s="27">
        <v>0.87219552541973877</v>
      </c>
      <c r="F135" s="27">
        <v>0.83838021619867387</v>
      </c>
      <c r="G135" s="27">
        <v>118</v>
      </c>
      <c r="H135" s="27">
        <v>89</v>
      </c>
      <c r="I135" s="28">
        <v>44.4</v>
      </c>
      <c r="J135" s="26">
        <v>1.6619999999999999</v>
      </c>
      <c r="K135" s="13" t="s">
        <v>5</v>
      </c>
      <c r="L135" s="26">
        <v>0.26900000000000002</v>
      </c>
      <c r="M135" s="7"/>
      <c r="N135" s="37">
        <v>2.4775707410411901E-5</v>
      </c>
      <c r="O135" s="24">
        <v>5050</v>
      </c>
      <c r="P135" s="18">
        <v>1.6067700795736513</v>
      </c>
      <c r="Q135" s="13" t="s">
        <v>5</v>
      </c>
    </row>
    <row r="136" spans="1:17" x14ac:dyDescent="0.3">
      <c r="A136" s="3" t="s">
        <v>14</v>
      </c>
      <c r="B136" s="24">
        <v>1614.9959999999999</v>
      </c>
      <c r="C136" s="5">
        <v>175</v>
      </c>
      <c r="D136" s="25">
        <v>440</v>
      </c>
      <c r="E136" s="27">
        <v>0.97651249999999989</v>
      </c>
      <c r="F136" s="27">
        <v>0.92679999999999996</v>
      </c>
      <c r="G136" s="27">
        <v>73</v>
      </c>
      <c r="H136" s="27">
        <v>88</v>
      </c>
      <c r="I136" s="29">
        <v>37.82</v>
      </c>
      <c r="J136" s="26">
        <v>1.2887999999999999</v>
      </c>
      <c r="K136" s="13" t="s">
        <v>5</v>
      </c>
      <c r="L136" s="27">
        <v>0.81699999999999995</v>
      </c>
      <c r="M136" s="7"/>
      <c r="N136" s="37">
        <v>1.26611E-5</v>
      </c>
      <c r="O136" s="24">
        <v>5514.9960000000001</v>
      </c>
      <c r="P136" s="18">
        <v>1.2410628480000001</v>
      </c>
      <c r="Q136" s="13" t="s">
        <v>5</v>
      </c>
    </row>
    <row r="137" spans="1:17" x14ac:dyDescent="0.3">
      <c r="A137" s="3" t="s">
        <v>14</v>
      </c>
      <c r="B137" s="40">
        <v>3629</v>
      </c>
      <c r="C137" s="5">
        <v>156</v>
      </c>
      <c r="D137" s="24">
        <v>1477</v>
      </c>
      <c r="E137" s="27">
        <v>0.82269146712161434</v>
      </c>
      <c r="F137" s="27">
        <v>0.75016337258882582</v>
      </c>
      <c r="G137" s="27">
        <v>310</v>
      </c>
      <c r="H137" s="27">
        <v>110</v>
      </c>
      <c r="I137" s="28">
        <v>44</v>
      </c>
      <c r="J137" s="26">
        <v>1.7509999999999999</v>
      </c>
      <c r="K137" s="13" t="s">
        <v>5</v>
      </c>
      <c r="L137" s="26">
        <v>0.26800000000000002</v>
      </c>
      <c r="M137" s="7"/>
      <c r="N137" s="37">
        <v>2.2236819602107599E-5</v>
      </c>
      <c r="O137" s="24">
        <v>5723</v>
      </c>
      <c r="P137" s="18">
        <v>1.6913580368436223</v>
      </c>
      <c r="Q137" s="13" t="s">
        <v>5</v>
      </c>
    </row>
    <row r="138" spans="1:17" x14ac:dyDescent="0.3">
      <c r="A138" s="3" t="s">
        <v>14</v>
      </c>
      <c r="B138" s="24">
        <v>2788</v>
      </c>
      <c r="C138" s="5">
        <v>159</v>
      </c>
      <c r="D138" s="24">
        <v>933</v>
      </c>
      <c r="E138" s="27">
        <v>0.84155519828510184</v>
      </c>
      <c r="F138" s="27">
        <v>0.76700000000000002</v>
      </c>
      <c r="G138" s="27">
        <v>295</v>
      </c>
      <c r="H138" s="27">
        <v>120</v>
      </c>
      <c r="I138" s="28">
        <v>41.1</v>
      </c>
      <c r="J138" s="26">
        <v>1.488</v>
      </c>
      <c r="K138" s="13" t="s">
        <v>5</v>
      </c>
      <c r="L138" s="26">
        <v>0.40500000000000003</v>
      </c>
      <c r="M138" s="7"/>
      <c r="N138" s="37">
        <v>1.51845007792622E-5</v>
      </c>
      <c r="O138" s="24">
        <v>4765</v>
      </c>
      <c r="P138" s="18">
        <v>1.4520069311395036</v>
      </c>
      <c r="Q138" s="13" t="s">
        <v>5</v>
      </c>
    </row>
    <row r="139" spans="1:17" x14ac:dyDescent="0.3">
      <c r="A139" s="3" t="s">
        <v>14</v>
      </c>
      <c r="B139" s="24">
        <v>3482</v>
      </c>
      <c r="C139" s="5">
        <v>165</v>
      </c>
      <c r="D139" s="24">
        <v>1482</v>
      </c>
      <c r="E139" s="27">
        <v>0.84429487179487173</v>
      </c>
      <c r="F139" s="27">
        <v>0.81499999999999995</v>
      </c>
      <c r="G139" s="27">
        <v>215</v>
      </c>
      <c r="H139" s="27">
        <v>128</v>
      </c>
      <c r="I139" s="28">
        <v>44.3</v>
      </c>
      <c r="J139" s="26">
        <v>1.7769999999999999</v>
      </c>
      <c r="K139" s="13" t="s">
        <v>5</v>
      </c>
      <c r="L139" s="26">
        <v>0.22900000000000001</v>
      </c>
      <c r="M139" s="7"/>
      <c r="N139" s="37">
        <v>2.3223938340288179E-5</v>
      </c>
      <c r="O139" s="24">
        <v>5895</v>
      </c>
      <c r="P139" s="18">
        <v>1.7033367934411385</v>
      </c>
      <c r="Q139" s="13" t="s">
        <v>5</v>
      </c>
    </row>
    <row r="140" spans="1:17" x14ac:dyDescent="0.3">
      <c r="A140" s="3" t="s">
        <v>14</v>
      </c>
      <c r="B140" s="24">
        <v>2976</v>
      </c>
      <c r="C140" s="5">
        <v>157</v>
      </c>
      <c r="D140" s="24">
        <v>1010</v>
      </c>
      <c r="E140" s="27">
        <v>0.84965544554455452</v>
      </c>
      <c r="F140" s="27">
        <v>0.79300000000000004</v>
      </c>
      <c r="G140" s="27">
        <v>169</v>
      </c>
      <c r="H140" s="27">
        <v>103</v>
      </c>
      <c r="I140" s="28">
        <v>42.2</v>
      </c>
      <c r="J140" s="26">
        <v>1.5229999999999999</v>
      </c>
      <c r="K140" s="13" t="s">
        <v>5</v>
      </c>
      <c r="L140" s="26">
        <v>0.32</v>
      </c>
      <c r="M140" s="7"/>
      <c r="N140" s="37">
        <v>1.6717036604450702E-5</v>
      </c>
      <c r="O140" s="24">
        <v>4420</v>
      </c>
      <c r="P140" s="18">
        <v>1.4927313190414608</v>
      </c>
      <c r="Q140" s="13" t="s">
        <v>5</v>
      </c>
    </row>
    <row r="141" spans="1:17" x14ac:dyDescent="0.3">
      <c r="A141" s="3" t="s">
        <v>14</v>
      </c>
      <c r="B141" s="24">
        <v>2814.6959999999999</v>
      </c>
      <c r="C141" s="5">
        <v>159</v>
      </c>
      <c r="D141" s="25">
        <v>872</v>
      </c>
      <c r="E141" s="27">
        <f>(811*0.799+61*1.333)/(872)</f>
        <v>0.83635550458715602</v>
      </c>
      <c r="F141" s="27">
        <v>0.79900000000000004</v>
      </c>
      <c r="G141" s="27">
        <v>141</v>
      </c>
      <c r="H141" s="27">
        <v>110</v>
      </c>
      <c r="I141" s="29">
        <v>42.44</v>
      </c>
      <c r="J141" s="26">
        <v>1.4717</v>
      </c>
      <c r="K141" s="13" t="s">
        <v>5</v>
      </c>
      <c r="L141" s="26">
        <v>0.48099999999999998</v>
      </c>
      <c r="M141" s="7"/>
      <c r="N141" s="37">
        <v>1.6554155313336402E-5</v>
      </c>
      <c r="O141" s="24">
        <v>4264.6959999999999</v>
      </c>
      <c r="P141" s="18">
        <v>1.4417672892184066</v>
      </c>
      <c r="Q141" s="13" t="s">
        <v>5</v>
      </c>
    </row>
    <row r="142" spans="1:17" x14ac:dyDescent="0.3">
      <c r="A142" s="3" t="s">
        <v>14</v>
      </c>
      <c r="B142" s="24">
        <v>2364.6959999999999</v>
      </c>
      <c r="C142" s="5">
        <v>156</v>
      </c>
      <c r="D142" s="25">
        <v>779</v>
      </c>
      <c r="E142" s="27">
        <v>0.83803829145728648</v>
      </c>
      <c r="F142" s="27">
        <v>0.7863</v>
      </c>
      <c r="G142" s="27">
        <v>138</v>
      </c>
      <c r="H142" s="27">
        <v>117</v>
      </c>
      <c r="I142" s="29">
        <v>41.48</v>
      </c>
      <c r="J142" s="26">
        <v>1.4186000000000001</v>
      </c>
      <c r="K142" s="13" t="s">
        <v>5</v>
      </c>
      <c r="L142" s="26">
        <v>0.54900000000000004</v>
      </c>
      <c r="M142" s="7"/>
      <c r="N142" s="37">
        <v>1.64616576832032E-5</v>
      </c>
      <c r="O142" s="24">
        <v>4087.6959999999999</v>
      </c>
      <c r="P142" s="18">
        <v>1.3859980276738082</v>
      </c>
      <c r="Q142" s="13" t="s">
        <v>5</v>
      </c>
    </row>
    <row r="143" spans="1:17" x14ac:dyDescent="0.3">
      <c r="A143" s="3" t="s">
        <v>14</v>
      </c>
      <c r="B143" s="24">
        <v>2988</v>
      </c>
      <c r="C143" s="5">
        <v>165</v>
      </c>
      <c r="D143" s="24">
        <v>1147</v>
      </c>
      <c r="E143" s="27">
        <v>0.87540818768020245</v>
      </c>
      <c r="F143" s="27">
        <v>0.85425078769925555</v>
      </c>
      <c r="G143" s="27">
        <v>115</v>
      </c>
      <c r="H143" s="27">
        <v>114</v>
      </c>
      <c r="I143" s="28">
        <v>44</v>
      </c>
      <c r="J143" s="26">
        <v>1.649</v>
      </c>
      <c r="K143" s="13" t="s">
        <v>5</v>
      </c>
      <c r="L143" s="26">
        <v>0.28399999999999997</v>
      </c>
      <c r="M143" s="7"/>
      <c r="N143" s="37">
        <v>2.2046295793898098E-5</v>
      </c>
      <c r="O143" s="24">
        <v>6566</v>
      </c>
      <c r="P143" s="18">
        <v>1.5684215927998539</v>
      </c>
      <c r="Q143" s="13" t="s">
        <v>5</v>
      </c>
    </row>
    <row r="144" spans="1:17" x14ac:dyDescent="0.3">
      <c r="A144" s="3" t="s">
        <v>14</v>
      </c>
      <c r="B144" s="24">
        <v>2327</v>
      </c>
      <c r="C144" s="5">
        <v>158</v>
      </c>
      <c r="D144" s="24">
        <v>734</v>
      </c>
      <c r="E144" s="27">
        <v>0.8943024523160763</v>
      </c>
      <c r="F144" s="27">
        <v>0.879</v>
      </c>
      <c r="G144" s="27">
        <v>85</v>
      </c>
      <c r="H144" s="27">
        <v>112</v>
      </c>
      <c r="I144" s="28">
        <v>41.7</v>
      </c>
      <c r="J144" s="26">
        <v>1.4</v>
      </c>
      <c r="K144" s="13" t="s">
        <v>5</v>
      </c>
      <c r="L144" s="26">
        <v>0.46</v>
      </c>
      <c r="M144" s="7"/>
      <c r="N144" s="37">
        <v>1.29302315544085E-5</v>
      </c>
      <c r="O144" s="24">
        <v>4740</v>
      </c>
      <c r="P144" s="18">
        <v>1.364527444861539</v>
      </c>
      <c r="Q144" s="13" t="s">
        <v>5</v>
      </c>
    </row>
    <row r="145" spans="1:17" x14ac:dyDescent="0.3">
      <c r="A145" s="3" t="s">
        <v>14</v>
      </c>
      <c r="B145" s="24">
        <v>3841.6959999999999</v>
      </c>
      <c r="C145" s="5">
        <v>161</v>
      </c>
      <c r="D145" s="24">
        <v>1908</v>
      </c>
      <c r="E145" s="27">
        <v>0.83407938415369509</v>
      </c>
      <c r="F145" s="27">
        <v>0.75571980762392088</v>
      </c>
      <c r="G145" s="27">
        <v>605</v>
      </c>
      <c r="H145" s="27">
        <v>138</v>
      </c>
      <c r="I145" s="28">
        <v>45.2</v>
      </c>
      <c r="J145" s="26">
        <v>1.98</v>
      </c>
      <c r="K145" s="13" t="s">
        <v>5</v>
      </c>
      <c r="L145" s="26">
        <v>0.2</v>
      </c>
      <c r="M145" s="7"/>
      <c r="N145" s="37">
        <v>2.6493206666027301E-5</v>
      </c>
      <c r="O145" s="24">
        <v>6914.9960000000001</v>
      </c>
      <c r="P145" s="18">
        <v>1.8716608335340812</v>
      </c>
      <c r="Q145" s="13" t="s">
        <v>5</v>
      </c>
    </row>
    <row r="146" spans="1:17" x14ac:dyDescent="0.3">
      <c r="A146" s="3" t="s">
        <v>14</v>
      </c>
      <c r="B146" s="25">
        <v>3452</v>
      </c>
      <c r="C146" s="5">
        <v>175</v>
      </c>
      <c r="D146" s="24">
        <v>1446</v>
      </c>
      <c r="E146" s="27">
        <v>0.84904356846473017</v>
      </c>
      <c r="F146" s="27">
        <v>0.82599999999999996</v>
      </c>
      <c r="G146" s="27">
        <v>195</v>
      </c>
      <c r="H146" s="27">
        <v>144</v>
      </c>
      <c r="I146" s="28">
        <v>45.4</v>
      </c>
      <c r="J146" s="26">
        <v>1.7769999999999999</v>
      </c>
      <c r="K146" s="13" t="s">
        <v>5</v>
      </c>
      <c r="L146" s="26">
        <v>0.22700000000000001</v>
      </c>
      <c r="M146" s="7"/>
      <c r="N146" s="37">
        <v>2.2901042545076301E-5</v>
      </c>
      <c r="O146" s="24">
        <v>6530</v>
      </c>
      <c r="P146" s="18">
        <v>1.6875706647617661</v>
      </c>
      <c r="Q146" s="13" t="s">
        <v>5</v>
      </c>
    </row>
    <row r="147" spans="1:17" x14ac:dyDescent="0.3">
      <c r="A147" s="3" t="s">
        <v>14</v>
      </c>
      <c r="B147" s="24">
        <v>2774.6959999999999</v>
      </c>
      <c r="C147" s="5">
        <v>183</v>
      </c>
      <c r="D147" s="24">
        <v>1062</v>
      </c>
      <c r="E147" s="26">
        <v>0.88906403013182678</v>
      </c>
      <c r="F147" s="26">
        <v>0.86399999999999999</v>
      </c>
      <c r="G147" s="26">
        <v>65</v>
      </c>
      <c r="H147" s="26">
        <v>71</v>
      </c>
      <c r="I147" s="29">
        <v>43.58</v>
      </c>
      <c r="J147" s="26">
        <v>1.6372</v>
      </c>
      <c r="K147" s="13" t="s">
        <v>5</v>
      </c>
      <c r="L147" s="26">
        <v>0.23200000000000001</v>
      </c>
      <c r="M147" s="7"/>
      <c r="N147" s="39">
        <v>2.3684099999999999E-5</v>
      </c>
      <c r="O147" s="24">
        <v>5314.6959999999999</v>
      </c>
      <c r="P147" s="18">
        <v>1.5641317640000001</v>
      </c>
      <c r="Q147" s="13" t="s">
        <v>5</v>
      </c>
    </row>
    <row r="148" spans="1:17" x14ac:dyDescent="0.3">
      <c r="A148" s="3" t="s">
        <v>14</v>
      </c>
      <c r="B148" s="24">
        <v>2737</v>
      </c>
      <c r="C148" s="5">
        <v>180</v>
      </c>
      <c r="D148" s="24">
        <v>1028</v>
      </c>
      <c r="E148" s="27">
        <f>(923*0.844+105*1.292)/1028</f>
        <v>0.88975875486381317</v>
      </c>
      <c r="F148" s="27">
        <v>0.84399999999999997</v>
      </c>
      <c r="G148" s="27">
        <v>189</v>
      </c>
      <c r="H148" s="27">
        <v>130</v>
      </c>
      <c r="I148" s="29">
        <v>44.1</v>
      </c>
      <c r="J148" s="26">
        <v>1.5669999999999999</v>
      </c>
      <c r="K148" s="13" t="s">
        <v>5</v>
      </c>
      <c r="L148" s="26">
        <v>0.311</v>
      </c>
      <c r="M148" s="7"/>
      <c r="N148" s="39">
        <v>2.03191E-5</v>
      </c>
      <c r="O148" s="24">
        <v>6500</v>
      </c>
      <c r="P148" s="18">
        <v>1.4873964</v>
      </c>
      <c r="Q148" s="13" t="s">
        <v>5</v>
      </c>
    </row>
    <row r="149" spans="1:17" x14ac:dyDescent="0.3">
      <c r="A149" s="3" t="s">
        <v>14</v>
      </c>
      <c r="B149" s="24">
        <v>2665</v>
      </c>
      <c r="C149" s="5">
        <v>190</v>
      </c>
      <c r="D149" s="24">
        <v>875.9778633928637</v>
      </c>
      <c r="E149" s="26">
        <v>0.89860640942942094</v>
      </c>
      <c r="F149" s="26">
        <v>0.86374236481376843</v>
      </c>
      <c r="G149" s="26">
        <v>86</v>
      </c>
      <c r="H149" s="26">
        <v>90</v>
      </c>
      <c r="I149" s="29">
        <v>42.1</v>
      </c>
      <c r="J149" s="26">
        <v>1.5273526321529347</v>
      </c>
      <c r="K149" s="13" t="s">
        <v>5</v>
      </c>
      <c r="L149" s="26">
        <v>0.46200000000000002</v>
      </c>
      <c r="M149" s="7"/>
      <c r="N149" s="37">
        <v>1.8443018807472299E-5</v>
      </c>
      <c r="O149" s="24">
        <v>4915</v>
      </c>
      <c r="P149" s="18">
        <v>1.4758874998425713</v>
      </c>
      <c r="Q149" s="13" t="s">
        <v>5</v>
      </c>
    </row>
    <row r="150" spans="1:17" x14ac:dyDescent="0.3">
      <c r="A150" s="3" t="s">
        <v>14</v>
      </c>
      <c r="B150" s="24">
        <v>2665</v>
      </c>
      <c r="C150" s="5">
        <v>180</v>
      </c>
      <c r="D150" s="24">
        <v>878.71586985293175</v>
      </c>
      <c r="E150" s="26">
        <v>0.91390951743438698</v>
      </c>
      <c r="F150" s="26">
        <v>0.88666970895435682</v>
      </c>
      <c r="G150" s="26">
        <v>90</v>
      </c>
      <c r="H150" s="26">
        <v>105</v>
      </c>
      <c r="I150" s="29">
        <v>40.200000000000003</v>
      </c>
      <c r="J150" s="26">
        <v>1.5162559439861154</v>
      </c>
      <c r="K150" s="13" t="s">
        <v>5</v>
      </c>
      <c r="L150" s="26">
        <v>0.46899999999999997</v>
      </c>
      <c r="M150" s="7"/>
      <c r="N150" s="37">
        <v>1.7821663936456707E-5</v>
      </c>
      <c r="O150" s="24">
        <v>4845</v>
      </c>
      <c r="P150" s="18">
        <v>1.4687980739335071</v>
      </c>
      <c r="Q150" s="13" t="s">
        <v>5</v>
      </c>
    </row>
    <row r="151" spans="1:17" x14ac:dyDescent="0.3">
      <c r="A151" s="3" t="s">
        <v>14</v>
      </c>
      <c r="B151" s="24">
        <v>2765</v>
      </c>
      <c r="C151" s="5">
        <v>175</v>
      </c>
      <c r="D151" s="24">
        <v>893.50580230451294</v>
      </c>
      <c r="E151" s="26">
        <v>0.91801860641097199</v>
      </c>
      <c r="F151" s="26">
        <v>0.87855566945999986</v>
      </c>
      <c r="G151" s="26">
        <v>83</v>
      </c>
      <c r="H151" s="26">
        <v>103</v>
      </c>
      <c r="I151" s="29">
        <v>39.619999999999997</v>
      </c>
      <c r="J151" s="26">
        <v>1.5156247720052562</v>
      </c>
      <c r="K151" s="13" t="s">
        <v>5</v>
      </c>
      <c r="L151" s="26">
        <v>0.495</v>
      </c>
      <c r="M151" s="7"/>
      <c r="N151" s="37">
        <v>1.7385625622537195E-5</v>
      </c>
      <c r="O151" s="24">
        <v>3360</v>
      </c>
      <c r="P151" s="18">
        <v>1.5010495080908535</v>
      </c>
      <c r="Q151" s="13" t="s">
        <v>5</v>
      </c>
    </row>
    <row r="152" spans="1:17" x14ac:dyDescent="0.3">
      <c r="A152" s="3" t="s">
        <v>14</v>
      </c>
      <c r="B152" s="24">
        <v>2665</v>
      </c>
      <c r="C152" s="5">
        <v>125</v>
      </c>
      <c r="D152" s="24">
        <v>819.2574068129552</v>
      </c>
      <c r="E152" s="26">
        <v>1.0250941951674821</v>
      </c>
      <c r="F152" s="26">
        <v>1.0173537280551725</v>
      </c>
      <c r="G152" s="26">
        <v>80</v>
      </c>
      <c r="H152" s="26">
        <v>110</v>
      </c>
      <c r="I152" s="29">
        <v>37.68</v>
      </c>
      <c r="J152" s="26">
        <v>1.4500573550223188</v>
      </c>
      <c r="K152" s="13" t="s">
        <v>5</v>
      </c>
      <c r="L152" s="26">
        <v>0.51600000000000001</v>
      </c>
      <c r="M152" s="7"/>
      <c r="N152" s="37">
        <v>1.3357795032580605E-5</v>
      </c>
      <c r="O152" s="24">
        <v>3615</v>
      </c>
      <c r="P152" s="18">
        <v>1.4336871668987603</v>
      </c>
      <c r="Q152" s="13" t="s">
        <v>5</v>
      </c>
    </row>
    <row r="153" spans="1:17" x14ac:dyDescent="0.3">
      <c r="A153" s="3" t="s">
        <v>14</v>
      </c>
      <c r="B153" s="24">
        <v>2865</v>
      </c>
      <c r="C153" s="5">
        <v>152</v>
      </c>
      <c r="D153" s="24">
        <v>1014.8050338327058</v>
      </c>
      <c r="E153" s="26">
        <v>0.88702597887453039</v>
      </c>
      <c r="F153" s="26">
        <v>0.87881445386206902</v>
      </c>
      <c r="G153" s="26">
        <v>79</v>
      </c>
      <c r="H153" s="26">
        <v>123</v>
      </c>
      <c r="I153" s="29">
        <v>41.82</v>
      </c>
      <c r="J153" s="26">
        <v>1.5479636439197559</v>
      </c>
      <c r="K153" s="13" t="s">
        <v>5</v>
      </c>
      <c r="L153" s="26">
        <v>0.498</v>
      </c>
      <c r="M153" s="7"/>
      <c r="N153" s="37">
        <v>1.70987450903575E-5</v>
      </c>
      <c r="O153" s="24">
        <v>4757</v>
      </c>
      <c r="P153" s="18">
        <v>1.5067920862808049</v>
      </c>
      <c r="Q153" s="13" t="s">
        <v>5</v>
      </c>
    </row>
    <row r="154" spans="1:17" x14ac:dyDescent="0.3">
      <c r="A154" s="3" t="s">
        <v>14</v>
      </c>
      <c r="B154" s="24">
        <v>3265</v>
      </c>
      <c r="C154" s="5">
        <v>155</v>
      </c>
      <c r="D154" s="24">
        <v>1316.8520531613119</v>
      </c>
      <c r="E154" s="26">
        <v>0.91363998027137561</v>
      </c>
      <c r="F154" s="26">
        <v>0.90262671652242887</v>
      </c>
      <c r="G154" s="26">
        <v>81</v>
      </c>
      <c r="H154" s="26">
        <v>124</v>
      </c>
      <c r="I154" s="29">
        <v>41.4</v>
      </c>
      <c r="J154" s="26">
        <v>1.7046470189183824</v>
      </c>
      <c r="K154" s="13" t="s">
        <v>5</v>
      </c>
      <c r="L154" s="26">
        <v>0.42099999999999999</v>
      </c>
      <c r="M154" s="7"/>
      <c r="N154" s="37">
        <v>1.9787751654380518E-5</v>
      </c>
      <c r="O154" s="24">
        <v>4694</v>
      </c>
      <c r="P154" s="18">
        <v>1.6637045819994651</v>
      </c>
      <c r="Q154" s="13" t="s">
        <v>5</v>
      </c>
    </row>
    <row r="155" spans="1:17" x14ac:dyDescent="0.3">
      <c r="A155" s="3" t="s">
        <v>14</v>
      </c>
      <c r="B155" s="24">
        <v>3165</v>
      </c>
      <c r="C155" s="5">
        <v>159</v>
      </c>
      <c r="D155" s="24">
        <v>1309.5712971320097</v>
      </c>
      <c r="E155" s="26">
        <v>0.86290875140960577</v>
      </c>
      <c r="F155" s="26">
        <v>0.85244671271594452</v>
      </c>
      <c r="G155" s="26">
        <v>80</v>
      </c>
      <c r="H155" s="26">
        <v>127</v>
      </c>
      <c r="I155" s="29">
        <v>44.21</v>
      </c>
      <c r="J155" s="26">
        <v>1.69395136437296</v>
      </c>
      <c r="K155" s="13" t="s">
        <v>5</v>
      </c>
      <c r="L155" s="26">
        <v>0.38500000000000001</v>
      </c>
      <c r="M155" s="7"/>
      <c r="N155" s="37">
        <v>1.9085300895267958E-5</v>
      </c>
      <c r="O155" s="24">
        <v>5162</v>
      </c>
      <c r="P155" s="18">
        <v>1.6414422741091423</v>
      </c>
      <c r="Q155" s="13" t="s">
        <v>5</v>
      </c>
    </row>
    <row r="156" spans="1:17" x14ac:dyDescent="0.3">
      <c r="A156" s="3" t="s">
        <v>14</v>
      </c>
      <c r="B156" s="24">
        <v>3215</v>
      </c>
      <c r="C156" s="5">
        <v>155</v>
      </c>
      <c r="D156" s="24">
        <v>1255.9824334889472</v>
      </c>
      <c r="E156" s="26">
        <v>0.90748600249209299</v>
      </c>
      <c r="F156" s="26">
        <v>0.89791666314753904</v>
      </c>
      <c r="G156" s="26">
        <v>80</v>
      </c>
      <c r="H156" s="26">
        <v>128</v>
      </c>
      <c r="I156" s="29">
        <v>40.6</v>
      </c>
      <c r="J156" s="26">
        <v>1.6861166770295233</v>
      </c>
      <c r="K156" s="13" t="s">
        <v>5</v>
      </c>
      <c r="L156" s="26">
        <v>0.46</v>
      </c>
      <c r="M156" s="7"/>
      <c r="N156" s="37">
        <v>1.9201447032173494E-5</v>
      </c>
      <c r="O156" s="24">
        <v>5265</v>
      </c>
      <c r="P156" s="18">
        <v>1.6328121426723283</v>
      </c>
      <c r="Q156" s="13" t="s">
        <v>5</v>
      </c>
    </row>
    <row r="157" spans="1:17" x14ac:dyDescent="0.3">
      <c r="A157" s="3" t="s">
        <v>14</v>
      </c>
      <c r="B157" s="24">
        <v>3259</v>
      </c>
      <c r="C157" s="5">
        <v>188</v>
      </c>
      <c r="D157" s="24">
        <v>1662.9066039752083</v>
      </c>
      <c r="E157" s="27">
        <v>0.9249433431781553</v>
      </c>
      <c r="F157" s="27">
        <v>0.9249433431781553</v>
      </c>
      <c r="G157" s="27">
        <v>107</v>
      </c>
      <c r="H157" s="27">
        <v>116</v>
      </c>
      <c r="I157" s="28">
        <v>45.1</v>
      </c>
      <c r="J157" s="26">
        <v>1.9659859874729206</v>
      </c>
      <c r="K157" s="13" t="s">
        <v>5</v>
      </c>
      <c r="L157" s="26">
        <v>0.20191961820953788</v>
      </c>
      <c r="M157" s="7"/>
      <c r="N157" s="37">
        <v>2.6210067208930697E-5</v>
      </c>
      <c r="O157" s="24">
        <v>5915</v>
      </c>
      <c r="P157" s="18">
        <v>1.8588954904135278</v>
      </c>
      <c r="Q157" s="13" t="s">
        <v>5</v>
      </c>
    </row>
    <row r="158" spans="1:17" x14ac:dyDescent="0.3">
      <c r="A158" s="3" t="s">
        <v>14</v>
      </c>
      <c r="B158" s="24">
        <v>2290</v>
      </c>
      <c r="C158" s="5">
        <v>147</v>
      </c>
      <c r="D158" s="24">
        <v>926.67416705051619</v>
      </c>
      <c r="E158" s="27">
        <v>0.92190427125757779</v>
      </c>
      <c r="F158" s="27">
        <v>0.92190427125757779</v>
      </c>
      <c r="G158" s="27">
        <v>235</v>
      </c>
      <c r="H158" s="27">
        <v>134</v>
      </c>
      <c r="I158" s="28">
        <v>41.9</v>
      </c>
      <c r="J158" s="26">
        <v>1.5015039137706185</v>
      </c>
      <c r="K158" s="13" t="s">
        <v>5</v>
      </c>
      <c r="L158" s="26">
        <v>0.39057227416700002</v>
      </c>
      <c r="M158" s="7"/>
      <c r="N158" s="37">
        <v>1.6974429799297654E-5</v>
      </c>
      <c r="O158" s="24">
        <v>2870</v>
      </c>
      <c r="P158" s="18">
        <v>1.4871518886211128</v>
      </c>
      <c r="Q158" s="13" t="s">
        <v>5</v>
      </c>
    </row>
    <row r="159" spans="1:17" x14ac:dyDescent="0.3">
      <c r="A159" s="3" t="s">
        <v>14</v>
      </c>
      <c r="B159" s="24">
        <v>3478</v>
      </c>
      <c r="C159" s="5">
        <v>189</v>
      </c>
      <c r="D159" s="24">
        <v>1669.824655779699</v>
      </c>
      <c r="E159" s="27">
        <v>0.90878470942589007</v>
      </c>
      <c r="F159" s="27">
        <v>0.90878470942589007</v>
      </c>
      <c r="G159" s="27">
        <v>125</v>
      </c>
      <c r="H159" s="27">
        <v>118</v>
      </c>
      <c r="I159" s="28">
        <v>45.1</v>
      </c>
      <c r="J159" s="26">
        <v>1.9542207314204327</v>
      </c>
      <c r="K159" s="13" t="s">
        <v>5</v>
      </c>
      <c r="L159" s="26">
        <v>0.20485782312828002</v>
      </c>
      <c r="M159" s="7"/>
      <c r="N159" s="37">
        <v>2.6294128418684509E-5</v>
      </c>
      <c r="O159" s="24">
        <v>5685</v>
      </c>
      <c r="P159" s="18">
        <v>1.8652054877412294</v>
      </c>
      <c r="Q159" s="13" t="s">
        <v>5</v>
      </c>
    </row>
    <row r="160" spans="1:17" x14ac:dyDescent="0.3">
      <c r="A160" s="3" t="s">
        <v>14</v>
      </c>
      <c r="B160" s="24">
        <v>2656.22</v>
      </c>
      <c r="C160" s="5">
        <v>161</v>
      </c>
      <c r="D160" s="24">
        <v>1078.8275574104816</v>
      </c>
      <c r="E160" s="26">
        <v>0.92547543459989179</v>
      </c>
      <c r="F160" s="26">
        <v>0.87227859335670743</v>
      </c>
      <c r="G160" s="26">
        <v>120</v>
      </c>
      <c r="H160" s="26">
        <v>115</v>
      </c>
      <c r="I160" s="28">
        <v>42.825489712948126</v>
      </c>
      <c r="J160" s="26">
        <v>1.60545129758015</v>
      </c>
      <c r="K160" s="13" t="s">
        <v>5</v>
      </c>
      <c r="L160" s="27">
        <v>0.29699999999999999</v>
      </c>
      <c r="M160" s="7"/>
      <c r="N160" s="37">
        <v>5.9445437070084502E-5</v>
      </c>
      <c r="O160" s="25">
        <v>5064</v>
      </c>
      <c r="P160" s="18">
        <v>1.5489326936445311</v>
      </c>
      <c r="Q160" s="13" t="s">
        <v>5</v>
      </c>
    </row>
    <row r="161" spans="1:17" x14ac:dyDescent="0.3">
      <c r="A161" s="3" t="s">
        <v>14</v>
      </c>
      <c r="B161" s="24">
        <v>2265</v>
      </c>
      <c r="C161" s="5">
        <v>165</v>
      </c>
      <c r="D161" s="24">
        <v>656</v>
      </c>
      <c r="E161" s="27">
        <v>0.92645137195121963</v>
      </c>
      <c r="F161" s="27">
        <v>0.90239999999999998</v>
      </c>
      <c r="G161" s="27">
        <v>77</v>
      </c>
      <c r="H161" s="27">
        <v>123</v>
      </c>
      <c r="I161" s="29">
        <v>37.130000000000003</v>
      </c>
      <c r="J161" s="26">
        <v>1.3793</v>
      </c>
      <c r="K161" s="13" t="s">
        <v>5</v>
      </c>
      <c r="L161" s="38">
        <v>0.63100000000000001</v>
      </c>
      <c r="M161" s="7"/>
      <c r="N161" s="37">
        <v>1.5636799999999999E-5</v>
      </c>
      <c r="O161" s="24">
        <v>4015</v>
      </c>
      <c r="P161" s="18">
        <v>1.3487071260000001</v>
      </c>
      <c r="Q161" s="13" t="s">
        <v>5</v>
      </c>
    </row>
    <row r="162" spans="1:17" x14ac:dyDescent="0.3">
      <c r="A162" s="3" t="s">
        <v>14</v>
      </c>
      <c r="B162" s="24">
        <v>2465</v>
      </c>
      <c r="C162" s="5">
        <v>168</v>
      </c>
      <c r="D162" s="24">
        <v>823.73431227968342</v>
      </c>
      <c r="E162" s="27">
        <v>0.91584800152624912</v>
      </c>
      <c r="F162" s="27">
        <v>0.89411934835353579</v>
      </c>
      <c r="G162" s="27">
        <v>88</v>
      </c>
      <c r="H162" s="27">
        <v>109</v>
      </c>
      <c r="I162" s="29">
        <v>41.91</v>
      </c>
      <c r="J162" s="26">
        <v>1.4738065436421499</v>
      </c>
      <c r="K162" s="13" t="s">
        <v>5</v>
      </c>
      <c r="L162" s="26">
        <v>0.46700000000000003</v>
      </c>
      <c r="M162" s="7"/>
      <c r="N162" s="37">
        <v>1.6734514334405401E-5</v>
      </c>
      <c r="O162" s="24">
        <v>4800</v>
      </c>
      <c r="P162" s="18">
        <v>1.4259612340545507</v>
      </c>
      <c r="Q162" s="13" t="s">
        <v>5</v>
      </c>
    </row>
    <row r="163" spans="1:17" x14ac:dyDescent="0.3">
      <c r="A163" s="3" t="s">
        <v>14</v>
      </c>
      <c r="B163" s="24">
        <v>4351</v>
      </c>
      <c r="C163" s="5">
        <v>180</v>
      </c>
      <c r="D163" s="24">
        <v>2874.0369504306136</v>
      </c>
      <c r="E163" s="27">
        <v>0.82847649538926704</v>
      </c>
      <c r="F163" s="27">
        <v>0.82099999999999995</v>
      </c>
      <c r="G163" s="27">
        <v>79</v>
      </c>
      <c r="H163" s="27">
        <v>108</v>
      </c>
      <c r="I163" s="29">
        <v>45.732652958876628</v>
      </c>
      <c r="J163" s="26">
        <v>2.5973680925760738</v>
      </c>
      <c r="K163" s="13" t="s">
        <v>5</v>
      </c>
      <c r="L163" s="26">
        <v>0.13660673200649998</v>
      </c>
      <c r="M163" s="7"/>
      <c r="N163" s="37">
        <v>3.74495582490891E-5</v>
      </c>
      <c r="O163" s="24">
        <v>6142</v>
      </c>
      <c r="P163" s="18">
        <v>2.4543456859738626</v>
      </c>
      <c r="Q163" s="13" t="s">
        <v>5</v>
      </c>
    </row>
    <row r="164" spans="1:17" x14ac:dyDescent="0.3">
      <c r="A164" s="3" t="s">
        <v>14</v>
      </c>
      <c r="B164" s="24">
        <v>2707</v>
      </c>
      <c r="C164" s="5">
        <v>172</v>
      </c>
      <c r="D164" s="24">
        <v>965.80814578860452</v>
      </c>
      <c r="E164" s="27">
        <v>0.87942346355003664</v>
      </c>
      <c r="F164" s="27">
        <v>0.83599999999999997</v>
      </c>
      <c r="G164" s="27">
        <v>104</v>
      </c>
      <c r="H164" s="27">
        <v>113</v>
      </c>
      <c r="I164" s="29">
        <v>42.50389463318561</v>
      </c>
      <c r="J164" s="26">
        <v>1.5441713353073947</v>
      </c>
      <c r="K164" s="13" t="s">
        <v>5</v>
      </c>
      <c r="L164" s="26">
        <v>0.32231833334311</v>
      </c>
      <c r="M164" s="7"/>
      <c r="N164" s="37">
        <v>1.61353263368389E-5</v>
      </c>
      <c r="O164" s="24">
        <v>3500</v>
      </c>
      <c r="P164" s="18">
        <v>1.5244131785341593</v>
      </c>
      <c r="Q164" s="13" t="s">
        <v>5</v>
      </c>
    </row>
    <row r="165" spans="1:17" x14ac:dyDescent="0.3">
      <c r="A165" s="3" t="s">
        <v>13</v>
      </c>
      <c r="B165" s="5">
        <v>3280</v>
      </c>
      <c r="C165" s="5">
        <v>280</v>
      </c>
      <c r="D165" s="30">
        <v>1454</v>
      </c>
      <c r="E165" s="18">
        <v>0.87214580467675373</v>
      </c>
      <c r="F165" s="18">
        <v>0.85099999999999998</v>
      </c>
      <c r="G165" s="18">
        <v>95</v>
      </c>
      <c r="H165" s="18">
        <v>85</v>
      </c>
      <c r="I165" s="17">
        <v>43.3</v>
      </c>
      <c r="J165" s="18">
        <v>2.008</v>
      </c>
      <c r="K165" s="13" t="s">
        <v>5</v>
      </c>
      <c r="L165" s="18">
        <v>0.13900000000000001</v>
      </c>
      <c r="M165" s="7"/>
      <c r="N165" s="21">
        <v>5.2865999999999998E-5</v>
      </c>
      <c r="O165" s="5">
        <v>8192</v>
      </c>
      <c r="P165" s="18">
        <v>1.78</v>
      </c>
      <c r="Q165" s="13" t="s">
        <v>5</v>
      </c>
    </row>
    <row r="166" spans="1:17" x14ac:dyDescent="0.3">
      <c r="A166" s="3" t="s">
        <v>13</v>
      </c>
      <c r="B166" s="5">
        <v>3722</v>
      </c>
      <c r="C166" s="5">
        <v>270</v>
      </c>
      <c r="D166" s="30">
        <v>2205.9741313164527</v>
      </c>
      <c r="E166" s="18">
        <v>0.9681445936820593</v>
      </c>
      <c r="F166" s="18">
        <v>0.9681445936820593</v>
      </c>
      <c r="G166" s="18">
        <v>160</v>
      </c>
      <c r="H166" s="18">
        <v>162</v>
      </c>
      <c r="I166" s="17">
        <v>44.4</v>
      </c>
      <c r="J166" s="18">
        <v>2.4543779368789083</v>
      </c>
      <c r="K166" s="13" t="s">
        <v>5</v>
      </c>
      <c r="L166" s="18">
        <v>0.127</v>
      </c>
      <c r="M166" s="7"/>
      <c r="N166" s="21">
        <v>5.24157793085684E-5</v>
      </c>
      <c r="O166" s="5">
        <v>8200</v>
      </c>
      <c r="P166" s="18">
        <v>2.1447051970846669</v>
      </c>
      <c r="Q166" s="13" t="s">
        <v>5</v>
      </c>
    </row>
    <row r="167" spans="1:17" x14ac:dyDescent="0.3">
      <c r="A167" s="3" t="s">
        <v>13</v>
      </c>
      <c r="B167" s="5">
        <v>3697</v>
      </c>
      <c r="C167" s="5">
        <v>270</v>
      </c>
      <c r="D167" s="30">
        <v>2185.1652241112824</v>
      </c>
      <c r="E167" s="18">
        <v>0.98172449597075817</v>
      </c>
      <c r="F167" s="18">
        <v>0.98172449597075817</v>
      </c>
      <c r="G167" s="18">
        <v>141</v>
      </c>
      <c r="H167" s="18">
        <v>170</v>
      </c>
      <c r="I167" s="17">
        <v>44.2</v>
      </c>
      <c r="J167" s="18">
        <v>2.6244769978515015</v>
      </c>
      <c r="K167" s="13" t="s">
        <v>5</v>
      </c>
      <c r="L167" s="18">
        <v>8.9899999999999994E-2</v>
      </c>
      <c r="M167" s="7"/>
      <c r="N167" s="21">
        <v>5.6315497084457199E-5</v>
      </c>
      <c r="O167" s="5">
        <v>8260</v>
      </c>
      <c r="P167" s="18">
        <v>2.2977123139010298</v>
      </c>
      <c r="Q167" s="13" t="s">
        <v>5</v>
      </c>
    </row>
    <row r="168" spans="1:17" x14ac:dyDescent="0.3">
      <c r="A168" s="3" t="s">
        <v>13</v>
      </c>
      <c r="B168" s="5">
        <v>3066</v>
      </c>
      <c r="C168" s="5">
        <v>270</v>
      </c>
      <c r="D168" s="30">
        <v>1317.9111629386198</v>
      </c>
      <c r="E168" s="18">
        <v>0.97099999999999997</v>
      </c>
      <c r="F168" s="18">
        <v>0.97099999999999997</v>
      </c>
      <c r="G168" s="18">
        <v>91</v>
      </c>
      <c r="H168" s="18">
        <v>142</v>
      </c>
      <c r="I168" s="17">
        <v>41.8</v>
      </c>
      <c r="J168" s="18">
        <v>1.9114061086963996</v>
      </c>
      <c r="K168" s="13" t="s">
        <v>5</v>
      </c>
      <c r="L168" s="18">
        <v>0.15531206651272</v>
      </c>
      <c r="M168" s="7"/>
      <c r="N168" s="21">
        <v>3.0711608145691098E-5</v>
      </c>
      <c r="O168" s="5">
        <v>8100</v>
      </c>
      <c r="P168" s="18">
        <v>1.7229050776838599</v>
      </c>
      <c r="Q168" s="13" t="s">
        <v>5</v>
      </c>
    </row>
    <row r="169" spans="1:17" x14ac:dyDescent="0.3">
      <c r="A169" s="3" t="s">
        <v>13</v>
      </c>
      <c r="B169" s="5">
        <v>2944</v>
      </c>
      <c r="C169" s="5">
        <v>270</v>
      </c>
      <c r="D169" s="30">
        <v>1300.3197900526727</v>
      </c>
      <c r="E169" s="18">
        <v>0.99283819657972716</v>
      </c>
      <c r="F169" s="18">
        <v>0.99283819657972716</v>
      </c>
      <c r="G169" s="18">
        <v>108</v>
      </c>
      <c r="H169" s="18">
        <v>150</v>
      </c>
      <c r="I169" s="17">
        <v>42.5</v>
      </c>
      <c r="J169" s="18">
        <v>1.9198054319023261</v>
      </c>
      <c r="K169" s="13" t="s">
        <v>5</v>
      </c>
      <c r="L169" s="18">
        <v>0.1363</v>
      </c>
      <c r="M169" s="7"/>
      <c r="N169" s="21">
        <v>3.66317661139909E-5</v>
      </c>
      <c r="O169" s="5">
        <v>8150</v>
      </c>
      <c r="P169" s="18">
        <v>1.7065076919342763</v>
      </c>
      <c r="Q169" s="13" t="s">
        <v>5</v>
      </c>
    </row>
    <row r="170" spans="1:17" x14ac:dyDescent="0.3">
      <c r="A170" s="3" t="s">
        <v>13</v>
      </c>
      <c r="B170" s="5">
        <v>2923</v>
      </c>
      <c r="C170" s="5">
        <v>270</v>
      </c>
      <c r="D170" s="30">
        <v>1220.3824306769673</v>
      </c>
      <c r="E170" s="18">
        <v>0.95694427106172286</v>
      </c>
      <c r="F170" s="18">
        <v>0.95694427106172286</v>
      </c>
      <c r="G170" s="18">
        <v>112</v>
      </c>
      <c r="H170" s="18">
        <v>150</v>
      </c>
      <c r="I170" s="17">
        <v>42.6</v>
      </c>
      <c r="J170" s="18">
        <v>1.8679349568299397</v>
      </c>
      <c r="K170" s="13" t="s">
        <v>5</v>
      </c>
      <c r="L170" s="18">
        <v>0.183</v>
      </c>
      <c r="M170" s="7"/>
      <c r="N170" s="21">
        <v>3.5836299846315902E-5</v>
      </c>
      <c r="O170" s="5">
        <v>8200</v>
      </c>
      <c r="P170" s="18">
        <v>1.6671422130787923</v>
      </c>
      <c r="Q170" s="13" t="s">
        <v>5</v>
      </c>
    </row>
    <row r="171" spans="1:17" x14ac:dyDescent="0.3">
      <c r="A171" s="3" t="s">
        <v>13</v>
      </c>
      <c r="B171" s="5">
        <v>3789</v>
      </c>
      <c r="C171" s="5">
        <v>270</v>
      </c>
      <c r="D171" s="30">
        <v>2716.0284119008852</v>
      </c>
      <c r="E171" s="18">
        <v>0.91100000000000003</v>
      </c>
      <c r="F171" s="18">
        <v>0.88627798820620207</v>
      </c>
      <c r="G171" s="18">
        <v>135</v>
      </c>
      <c r="H171" s="18">
        <v>138.47</v>
      </c>
      <c r="I171" s="17">
        <v>46.088188442211049</v>
      </c>
      <c r="J171" s="18">
        <v>2.8817680081356842</v>
      </c>
      <c r="K171" s="13" t="s">
        <v>5</v>
      </c>
      <c r="L171" s="18">
        <v>0.16739999999999999</v>
      </c>
      <c r="M171" s="7"/>
      <c r="N171" s="21">
        <v>6.0317517366866591E-5</v>
      </c>
      <c r="O171" s="5">
        <v>6691</v>
      </c>
      <c r="P171" s="18">
        <v>2.5504739334005579</v>
      </c>
      <c r="Q171" s="13" t="s">
        <v>5</v>
      </c>
    </row>
    <row r="172" spans="1:17" x14ac:dyDescent="0.3">
      <c r="A172" s="3" t="s">
        <v>13</v>
      </c>
      <c r="B172" s="5">
        <v>2356</v>
      </c>
      <c r="C172" s="5">
        <v>234</v>
      </c>
      <c r="D172" s="30">
        <v>997</v>
      </c>
      <c r="E172" s="18">
        <v>1.05</v>
      </c>
      <c r="F172" s="18">
        <v>0.93221274657225028</v>
      </c>
      <c r="G172" s="18">
        <v>236</v>
      </c>
      <c r="H172" s="18">
        <v>134.41999999999999</v>
      </c>
      <c r="I172" s="17">
        <v>42.5</v>
      </c>
      <c r="J172" s="18">
        <v>1.6846951018052452</v>
      </c>
      <c r="K172" s="13" t="s">
        <v>5</v>
      </c>
      <c r="L172" s="18">
        <v>0.23200000000000001</v>
      </c>
      <c r="M172" s="7"/>
      <c r="N172" s="21">
        <v>2.6910915673748293E-5</v>
      </c>
      <c r="O172" s="5">
        <v>7500</v>
      </c>
      <c r="P172" s="18">
        <v>1.547083293592789</v>
      </c>
      <c r="Q172" s="13" t="s">
        <v>5</v>
      </c>
    </row>
    <row r="173" spans="1:17" x14ac:dyDescent="0.3">
      <c r="A173" s="3" t="s">
        <v>13</v>
      </c>
      <c r="B173" s="5">
        <v>2212</v>
      </c>
      <c r="C173" s="5">
        <v>234</v>
      </c>
      <c r="D173" s="30">
        <v>847.10507033279407</v>
      </c>
      <c r="E173" s="18">
        <v>1.042</v>
      </c>
      <c r="F173" s="18">
        <v>0.93311757336945045</v>
      </c>
      <c r="G173" s="18">
        <v>240</v>
      </c>
      <c r="H173" s="18">
        <v>150.47</v>
      </c>
      <c r="I173" s="17">
        <v>41.8</v>
      </c>
      <c r="J173" s="18">
        <v>1.5865404013686017</v>
      </c>
      <c r="K173" s="13" t="s">
        <v>5</v>
      </c>
      <c r="L173" s="18">
        <v>0.245</v>
      </c>
      <c r="M173" s="7"/>
      <c r="N173" s="21">
        <v>2.0657461797034198E-5</v>
      </c>
      <c r="O173" s="5">
        <v>7500</v>
      </c>
      <c r="P173" s="18">
        <v>1.4710532679434376</v>
      </c>
      <c r="Q173" s="13" t="s">
        <v>5</v>
      </c>
    </row>
    <row r="174" spans="1:17" x14ac:dyDescent="0.3">
      <c r="A174" s="3" t="s">
        <v>13</v>
      </c>
      <c r="B174" s="5">
        <v>3310</v>
      </c>
      <c r="C174" s="5">
        <v>240</v>
      </c>
      <c r="D174" s="30">
        <v>1471.8214907124384</v>
      </c>
      <c r="E174" s="18">
        <v>0.84899999999999998</v>
      </c>
      <c r="F174" s="18">
        <v>0.84899999999999998</v>
      </c>
      <c r="G174" s="18">
        <v>200</v>
      </c>
      <c r="H174" s="18">
        <v>46</v>
      </c>
      <c r="I174" s="17">
        <v>44.7</v>
      </c>
      <c r="J174" s="18">
        <v>1.93272514077489</v>
      </c>
      <c r="K174" s="13" t="s">
        <v>5</v>
      </c>
      <c r="L174" s="18">
        <v>0.128</v>
      </c>
      <c r="M174" s="7"/>
      <c r="N174" s="21">
        <v>3.481969076520409E-5</v>
      </c>
      <c r="O174" s="5">
        <v>5500</v>
      </c>
      <c r="P174" s="18">
        <v>1.8178851069538626</v>
      </c>
      <c r="Q174" s="13" t="s">
        <v>5</v>
      </c>
    </row>
    <row r="175" spans="1:17" x14ac:dyDescent="0.3">
      <c r="A175" s="3" t="s">
        <v>13</v>
      </c>
      <c r="B175" s="5">
        <v>3067</v>
      </c>
      <c r="C175" s="5">
        <v>242</v>
      </c>
      <c r="D175" s="30">
        <v>1195.9951434878585</v>
      </c>
      <c r="E175" s="18">
        <v>0.91600000000000004</v>
      </c>
      <c r="F175" s="18">
        <v>0.91600000000000004</v>
      </c>
      <c r="G175" s="18">
        <v>155</v>
      </c>
      <c r="H175" s="18">
        <v>82</v>
      </c>
      <c r="I175" s="17">
        <v>40.9</v>
      </c>
      <c r="J175" s="18">
        <v>1.7486462426644702</v>
      </c>
      <c r="K175" s="13" t="s">
        <v>5</v>
      </c>
      <c r="L175" s="18">
        <v>0.17599999999999999</v>
      </c>
      <c r="M175" s="7"/>
      <c r="N175" s="21">
        <v>2.6646440917223094E-5</v>
      </c>
      <c r="O175" s="5">
        <v>7528</v>
      </c>
      <c r="P175" s="18">
        <v>1.6073638122571077</v>
      </c>
      <c r="Q175" s="13" t="s">
        <v>5</v>
      </c>
    </row>
    <row r="176" spans="1:17" x14ac:dyDescent="0.3">
      <c r="A176" s="3" t="s">
        <v>13</v>
      </c>
      <c r="B176" s="5">
        <v>3149</v>
      </c>
      <c r="C176" s="5">
        <v>241</v>
      </c>
      <c r="D176" s="30">
        <v>1302.9698972755696</v>
      </c>
      <c r="E176" s="18">
        <v>0.88902905853998426</v>
      </c>
      <c r="F176" s="18">
        <v>0.88902905853998426</v>
      </c>
      <c r="G176" s="18">
        <v>143</v>
      </c>
      <c r="H176" s="18">
        <v>51</v>
      </c>
      <c r="I176" s="17">
        <v>42.8</v>
      </c>
      <c r="J176" s="18">
        <v>1.8582176927835234</v>
      </c>
      <c r="K176" s="13" t="s">
        <v>5</v>
      </c>
      <c r="L176" s="18">
        <v>0.156</v>
      </c>
      <c r="M176" s="7"/>
      <c r="N176" s="21">
        <v>3.3405927508536401E-5</v>
      </c>
      <c r="O176" s="5">
        <v>6840</v>
      </c>
      <c r="P176" s="18">
        <v>1.7148134475218746</v>
      </c>
      <c r="Q176" s="13" t="s">
        <v>5</v>
      </c>
    </row>
    <row r="177" spans="1:17" x14ac:dyDescent="0.3">
      <c r="A177" s="3" t="s">
        <v>13</v>
      </c>
      <c r="B177" s="5">
        <v>3005</v>
      </c>
      <c r="C177" s="5">
        <v>242</v>
      </c>
      <c r="D177" s="30">
        <v>1290.7743124026983</v>
      </c>
      <c r="E177" s="18">
        <v>0.90783856762258497</v>
      </c>
      <c r="F177" s="18">
        <v>0.90783856762258497</v>
      </c>
      <c r="G177" s="18">
        <v>72</v>
      </c>
      <c r="H177" s="18">
        <v>58</v>
      </c>
      <c r="I177" s="17">
        <v>44.9</v>
      </c>
      <c r="J177" s="18">
        <v>1.8594969644768309</v>
      </c>
      <c r="K177" s="13" t="s">
        <v>5</v>
      </c>
      <c r="L177" s="18">
        <v>0.14699999999999999</v>
      </c>
      <c r="M177" s="7"/>
      <c r="N177" s="21">
        <v>2.9842397655878901E-5</v>
      </c>
      <c r="O177" s="5">
        <v>6577</v>
      </c>
      <c r="P177" s="18">
        <v>2.1945895929954657</v>
      </c>
      <c r="Q177" s="13" t="s">
        <v>5</v>
      </c>
    </row>
    <row r="178" spans="1:17" x14ac:dyDescent="0.3">
      <c r="A178" s="3" t="s">
        <v>13</v>
      </c>
      <c r="B178" s="5">
        <v>3609</v>
      </c>
      <c r="C178" s="5">
        <v>240</v>
      </c>
      <c r="D178" s="30">
        <v>1830</v>
      </c>
      <c r="E178" s="18">
        <v>0.99679574727810316</v>
      </c>
      <c r="F178" s="18">
        <v>0.9955455160008424</v>
      </c>
      <c r="G178" s="18">
        <v>128</v>
      </c>
      <c r="H178" s="18">
        <v>178</v>
      </c>
      <c r="I178" s="17">
        <v>41.4</v>
      </c>
      <c r="J178" s="18">
        <v>2.2355892603576124</v>
      </c>
      <c r="K178" s="13" t="s">
        <v>5</v>
      </c>
      <c r="L178" s="18">
        <v>0.13567425546815229</v>
      </c>
      <c r="M178" s="7"/>
      <c r="N178" s="21">
        <v>4.0392901023486177E-5</v>
      </c>
      <c r="O178" s="5">
        <v>6815</v>
      </c>
      <c r="P178" s="18">
        <v>2.0624873723608794</v>
      </c>
      <c r="Q178" s="13" t="s">
        <v>5</v>
      </c>
    </row>
  </sheetData>
  <autoFilter ref="C2:Q105" xr:uid="{00000000-0009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2023-05-25T19:35:29Z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201611520</vt:i4>
  </property>
  <property fmtid="{D5CDD505-2E9C-101B-9397-08002B2CF9AE}" pid="3" name="_NewReviewCycle">
    <vt:lpwstr/>
  </property>
  <property fmtid="{D5CDD505-2E9C-101B-9397-08002B2CF9AE}" pid="4" name="_EmailSubject">
    <vt:lpwstr>Updated data for MM project</vt:lpwstr>
  </property>
  <property fmtid="{D5CDD505-2E9C-101B-9397-08002B2CF9AE}" pid="5" name="_AuthorEmail">
    <vt:lpwstr>edward.c.wanat@exxonmobil.com</vt:lpwstr>
  </property>
  <property fmtid="{D5CDD505-2E9C-101B-9397-08002B2CF9AE}" pid="6" name="_AuthorEmailDisplayName">
    <vt:lpwstr>Wanat, Edward C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