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bookViews>
    <workbookView xWindow="0" yWindow="0" windowWidth="20490" windowHeight="7650" firstSheet="9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Assign.1" sheetId="9" r:id="rId9"/>
    <sheet name="Assignment1.excel" sheetId="10" r:id="rId10"/>
    <sheet name="Sheet10" sheetId="11" r:id="rId11"/>
    <sheet name="Sheet11" sheetId="12" r:id="rId12"/>
    <sheet name="ASSIGN.VLOOKUP" sheetId="15" r:id="rId13"/>
    <sheet name="ASSIGN.HLOOKUP.excel" sheetId="13" r:id="rId14"/>
    <sheet name="Sheet13" sheetId="14" r:id="rId15"/>
  </sheets>
  <definedNames>
    <definedName name="_xlnm._FilterDatabase" localSheetId="8" hidden="1">Assign.1!$G$61:$K$61</definedName>
    <definedName name="_xlnm._FilterDatabase" localSheetId="0" hidden="1">Sheet1!$A$4:$D$8</definedName>
    <definedName name="_xlnm._FilterDatabase" localSheetId="1" hidden="1">Sheet2!$M$18:$M$20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0" l="1"/>
  <c r="G15" i="10"/>
  <c r="G23" i="10" s="1"/>
  <c r="H42" i="15"/>
  <c r="G32" i="15"/>
  <c r="G33" i="15"/>
  <c r="G34" i="15"/>
  <c r="G35" i="15"/>
  <c r="G31" i="15"/>
  <c r="E22" i="15"/>
  <c r="G24" i="10" l="1"/>
  <c r="G25" i="10"/>
  <c r="G26" i="10"/>
  <c r="G27" i="10" s="1"/>
  <c r="E11" i="13"/>
  <c r="E17" i="13"/>
  <c r="E14" i="13"/>
  <c r="G28" i="10" l="1"/>
  <c r="I69" i="7"/>
  <c r="P7" i="11" l="1"/>
  <c r="K7" i="12"/>
  <c r="H7" i="12"/>
  <c r="H8" i="12"/>
  <c r="H9" i="12"/>
  <c r="H10" i="12"/>
  <c r="H6" i="12"/>
  <c r="G7" i="12"/>
  <c r="G8" i="12"/>
  <c r="G9" i="12"/>
  <c r="G10" i="12"/>
  <c r="G6" i="12"/>
  <c r="J7" i="12"/>
  <c r="E81" i="7"/>
  <c r="F8" i="7" l="1"/>
  <c r="D3" i="11" l="1"/>
  <c r="D2" i="11"/>
  <c r="H3" i="11"/>
  <c r="I6" i="11"/>
  <c r="H9" i="11"/>
  <c r="H8" i="11"/>
  <c r="C1" i="11"/>
  <c r="B2" i="11"/>
  <c r="B3" i="11"/>
  <c r="B1" i="11"/>
  <c r="G44" i="10" l="1"/>
  <c r="G45" i="10"/>
  <c r="H45" i="10" s="1"/>
  <c r="F44" i="10"/>
  <c r="F45" i="10"/>
  <c r="E44" i="10"/>
  <c r="E45" i="10"/>
  <c r="G36" i="10"/>
  <c r="H36" i="10" s="1"/>
  <c r="G37" i="10"/>
  <c r="H37" i="10" s="1"/>
  <c r="F36" i="10"/>
  <c r="F37" i="10"/>
  <c r="E36" i="10"/>
  <c r="E37" i="10"/>
  <c r="D43" i="10"/>
  <c r="F43" i="10" s="1"/>
  <c r="D35" i="10"/>
  <c r="G35" i="10" s="1"/>
  <c r="H35" i="10" s="1"/>
  <c r="C15" i="10"/>
  <c r="C23" i="10" s="1"/>
  <c r="C26" i="10" s="1"/>
  <c r="C27" i="10" s="1"/>
  <c r="I37" i="10" l="1"/>
  <c r="I36" i="10"/>
  <c r="I45" i="10"/>
  <c r="I44" i="10"/>
  <c r="C25" i="10"/>
  <c r="C28" i="10" s="1"/>
  <c r="C24" i="10"/>
  <c r="F35" i="10"/>
  <c r="G43" i="10"/>
  <c r="H43" i="10" s="1"/>
  <c r="H44" i="10"/>
  <c r="E35" i="10"/>
  <c r="E43" i="10"/>
  <c r="J32" i="9"/>
  <c r="L32" i="9"/>
  <c r="M32" i="9" s="1"/>
  <c r="N32" i="9" s="1"/>
  <c r="L44" i="9"/>
  <c r="M44" i="9" s="1"/>
  <c r="L45" i="9"/>
  <c r="M45" i="9" s="1"/>
  <c r="K44" i="9"/>
  <c r="K45" i="9"/>
  <c r="N45" i="9" s="1"/>
  <c r="J44" i="9"/>
  <c r="J45" i="9"/>
  <c r="K32" i="9"/>
  <c r="K33" i="9"/>
  <c r="I35" i="10" l="1"/>
  <c r="I43" i="10"/>
  <c r="N44" i="9"/>
  <c r="J33" i="9"/>
  <c r="L33" i="9"/>
  <c r="M33" i="9" s="1"/>
  <c r="N33" i="9" s="1"/>
  <c r="I43" i="9"/>
  <c r="I31" i="9"/>
  <c r="J43" i="9" l="1"/>
  <c r="K43" i="9"/>
  <c r="L43" i="9"/>
  <c r="M43" i="9" s="1"/>
  <c r="N43" i="9"/>
  <c r="J31" i="9"/>
  <c r="K31" i="9"/>
  <c r="L31" i="9"/>
  <c r="M31" i="9" s="1"/>
  <c r="K52" i="9"/>
  <c r="K50" i="9"/>
  <c r="K51" i="9"/>
  <c r="J34" i="9"/>
  <c r="I52" i="9"/>
  <c r="I51" i="9"/>
  <c r="I50" i="9"/>
  <c r="L21" i="9"/>
  <c r="L11" i="9"/>
  <c r="L23" i="9" s="1"/>
  <c r="I53" i="9" l="1"/>
  <c r="N31" i="9"/>
  <c r="K53" i="9"/>
  <c r="K54" i="9"/>
  <c r="I54" i="9"/>
  <c r="N25" i="9"/>
  <c r="N24" i="9"/>
  <c r="N13" i="9"/>
  <c r="L12" i="9"/>
  <c r="N6" i="9"/>
  <c r="N8" i="9"/>
  <c r="L13" i="9"/>
  <c r="L14" i="9" s="1"/>
  <c r="L24" i="9"/>
  <c r="L25" i="9" s="1"/>
  <c r="D24" i="6"/>
  <c r="B24" i="6"/>
  <c r="F81" i="7" l="1"/>
  <c r="I68" i="7"/>
  <c r="D64" i="7"/>
  <c r="S4" i="7"/>
  <c r="G81" i="7" l="1"/>
  <c r="H81" i="7" s="1"/>
  <c r="C42" i="7"/>
  <c r="D42" i="7" s="1"/>
  <c r="E42" i="7" s="1"/>
  <c r="C43" i="7"/>
  <c r="D43" i="7" s="1"/>
  <c r="E43" i="7" s="1"/>
  <c r="C44" i="7"/>
  <c r="D44" i="7" s="1"/>
  <c r="E44" i="7" s="1"/>
  <c r="C45" i="7"/>
  <c r="D45" i="7" s="1"/>
  <c r="E45" i="7" s="1"/>
  <c r="C46" i="7"/>
  <c r="D46" i="7" s="1"/>
  <c r="E46" i="7" s="1"/>
  <c r="C41" i="7"/>
  <c r="D41" i="7" s="1"/>
  <c r="E41" i="7" s="1"/>
  <c r="F34" i="7"/>
  <c r="G34" i="7"/>
  <c r="H34" i="7"/>
  <c r="I34" i="7"/>
  <c r="J34" i="7"/>
  <c r="F35" i="7"/>
  <c r="G35" i="7"/>
  <c r="H35" i="7"/>
  <c r="I35" i="7"/>
  <c r="J35" i="7"/>
  <c r="F36" i="7"/>
  <c r="G36" i="7"/>
  <c r="H36" i="7"/>
  <c r="I36" i="7"/>
  <c r="J36" i="7"/>
  <c r="F37" i="7"/>
  <c r="G37" i="7"/>
  <c r="H37" i="7"/>
  <c r="I37" i="7"/>
  <c r="J37" i="7"/>
  <c r="F38" i="7"/>
  <c r="G38" i="7"/>
  <c r="H38" i="7"/>
  <c r="I38" i="7"/>
  <c r="J38" i="7"/>
  <c r="G33" i="7"/>
  <c r="H33" i="7"/>
  <c r="I33" i="7"/>
  <c r="J33" i="7"/>
  <c r="F33" i="7"/>
  <c r="F45" i="7" l="1"/>
  <c r="G45" i="7" s="1"/>
  <c r="H45" i="7" s="1"/>
  <c r="I45" i="7" s="1"/>
  <c r="J45" i="7" s="1"/>
  <c r="F41" i="7"/>
  <c r="G41" i="7" s="1"/>
  <c r="H41" i="7" s="1"/>
  <c r="I41" i="7" s="1"/>
  <c r="J41" i="7" s="1"/>
  <c r="F42" i="7"/>
  <c r="G42" i="7" s="1"/>
  <c r="H42" i="7" s="1"/>
  <c r="I42" i="7" s="1"/>
  <c r="J42" i="7" s="1"/>
  <c r="F46" i="7"/>
  <c r="G46" i="7" s="1"/>
  <c r="H46" i="7" s="1"/>
  <c r="I46" i="7" s="1"/>
  <c r="J46" i="7" s="1"/>
  <c r="F44" i="7"/>
  <c r="G44" i="7" s="1"/>
  <c r="H44" i="7" s="1"/>
  <c r="I44" i="7" s="1"/>
  <c r="J44" i="7" s="1"/>
  <c r="F43" i="7"/>
  <c r="G43" i="7" s="1"/>
  <c r="H43" i="7" s="1"/>
  <c r="I43" i="7" s="1"/>
  <c r="J43" i="7" s="1"/>
  <c r="K36" i="7"/>
  <c r="L36" i="7" s="1"/>
  <c r="M36" i="7" s="1"/>
  <c r="K38" i="7"/>
  <c r="L38" i="7" s="1"/>
  <c r="M38" i="7" s="1"/>
  <c r="K35" i="7"/>
  <c r="L35" i="7" s="1"/>
  <c r="M35" i="7" s="1"/>
  <c r="K34" i="7"/>
  <c r="L34" i="7" s="1"/>
  <c r="M34" i="7" s="1"/>
  <c r="K37" i="7"/>
  <c r="L37" i="7" s="1"/>
  <c r="M37" i="7" s="1"/>
  <c r="K33" i="7"/>
  <c r="C25" i="7"/>
  <c r="D25" i="7" s="1"/>
  <c r="E25" i="7" s="1"/>
  <c r="C26" i="7"/>
  <c r="D26" i="7"/>
  <c r="E26" i="7" s="1"/>
  <c r="C27" i="7"/>
  <c r="D27" i="7" s="1"/>
  <c r="E27" i="7" s="1"/>
  <c r="C28" i="7"/>
  <c r="D28" i="7" s="1"/>
  <c r="E28" i="7" s="1"/>
  <c r="C24" i="7"/>
  <c r="D24" i="7" s="1"/>
  <c r="E24" i="7" s="1"/>
  <c r="L2" i="7"/>
  <c r="L3" i="7"/>
  <c r="L4" i="7"/>
  <c r="L5" i="7"/>
  <c r="L1" i="7"/>
  <c r="F17" i="7"/>
  <c r="G17" i="7"/>
  <c r="H17" i="7"/>
  <c r="I17" i="7"/>
  <c r="J17" i="7"/>
  <c r="F18" i="7"/>
  <c r="G18" i="7"/>
  <c r="H18" i="7"/>
  <c r="I18" i="7"/>
  <c r="J18" i="7"/>
  <c r="F19" i="7"/>
  <c r="G19" i="7"/>
  <c r="H19" i="7"/>
  <c r="I19" i="7"/>
  <c r="J19" i="7"/>
  <c r="F20" i="7"/>
  <c r="G20" i="7"/>
  <c r="H20" i="7"/>
  <c r="I20" i="7"/>
  <c r="J20" i="7"/>
  <c r="G16" i="7"/>
  <c r="H16" i="7"/>
  <c r="I16" i="7"/>
  <c r="J16" i="7"/>
  <c r="F16" i="7"/>
  <c r="I2" i="7"/>
  <c r="H2" i="7"/>
  <c r="G6" i="7"/>
  <c r="C3" i="7"/>
  <c r="G8" i="7" s="1"/>
  <c r="C4" i="7"/>
  <c r="C5" i="7"/>
  <c r="C6" i="7"/>
  <c r="C2" i="7"/>
  <c r="H19" i="4"/>
  <c r="K43" i="7" l="1"/>
  <c r="L43" i="7" s="1"/>
  <c r="M43" i="7" s="1"/>
  <c r="K46" i="7"/>
  <c r="L46" i="7" s="1"/>
  <c r="M46" i="7" s="1"/>
  <c r="K41" i="7"/>
  <c r="K42" i="7"/>
  <c r="L42" i="7" s="1"/>
  <c r="M42" i="7" s="1"/>
  <c r="K45" i="7"/>
  <c r="L45" i="7" s="1"/>
  <c r="M45" i="7" s="1"/>
  <c r="K44" i="7"/>
  <c r="L44" i="7" s="1"/>
  <c r="M44" i="7" s="1"/>
  <c r="L33" i="7"/>
  <c r="M33" i="7" s="1"/>
  <c r="F27" i="7"/>
  <c r="G27" i="7" s="1"/>
  <c r="H27" i="7" s="1"/>
  <c r="I27" i="7" s="1"/>
  <c r="J27" i="7" s="1"/>
  <c r="F26" i="7"/>
  <c r="G26" i="7" s="1"/>
  <c r="H26" i="7" s="1"/>
  <c r="I26" i="7" s="1"/>
  <c r="J26" i="7" s="1"/>
  <c r="F28" i="7"/>
  <c r="G28" i="7" s="1"/>
  <c r="H28" i="7" s="1"/>
  <c r="I28" i="7" s="1"/>
  <c r="J28" i="7" s="1"/>
  <c r="F25" i="7"/>
  <c r="G25" i="7" s="1"/>
  <c r="H25" i="7" s="1"/>
  <c r="I25" i="7" s="1"/>
  <c r="J25" i="7" s="1"/>
  <c r="F24" i="7"/>
  <c r="G24" i="7" s="1"/>
  <c r="H24" i="7" s="1"/>
  <c r="I24" i="7" s="1"/>
  <c r="J24" i="7" s="1"/>
  <c r="K18" i="7"/>
  <c r="L18" i="7" s="1"/>
  <c r="M18" i="7" s="1"/>
  <c r="K17" i="7"/>
  <c r="L17" i="7" s="1"/>
  <c r="M17" i="7" s="1"/>
  <c r="K19" i="7"/>
  <c r="L19" i="7" s="1"/>
  <c r="M19" i="7" s="1"/>
  <c r="K20" i="7"/>
  <c r="L20" i="7" s="1"/>
  <c r="M20" i="7" s="1"/>
  <c r="K16" i="7"/>
  <c r="L16" i="7" s="1"/>
  <c r="M16" i="7" s="1"/>
  <c r="I5" i="7"/>
  <c r="F6" i="7"/>
  <c r="C70" i="6"/>
  <c r="B64" i="6"/>
  <c r="C64" i="6" s="1"/>
  <c r="B65" i="6"/>
  <c r="C65" i="6" s="1"/>
  <c r="B66" i="6"/>
  <c r="C66" i="6" s="1"/>
  <c r="B67" i="6"/>
  <c r="C67" i="6" s="1"/>
  <c r="B68" i="6"/>
  <c r="C68" i="6" s="1"/>
  <c r="B63" i="6"/>
  <c r="C63" i="6" s="1"/>
  <c r="C69" i="6"/>
  <c r="F53" i="6"/>
  <c r="F54" i="6"/>
  <c r="F55" i="6"/>
  <c r="F56" i="6"/>
  <c r="F57" i="6"/>
  <c r="F58" i="6"/>
  <c r="F52" i="6"/>
  <c r="E53" i="6"/>
  <c r="E54" i="6"/>
  <c r="E55" i="6"/>
  <c r="E56" i="6"/>
  <c r="E57" i="6"/>
  <c r="E58" i="6"/>
  <c r="E52" i="6"/>
  <c r="E43" i="6"/>
  <c r="E44" i="6"/>
  <c r="E45" i="6"/>
  <c r="E46" i="6"/>
  <c r="E47" i="6"/>
  <c r="E48" i="6"/>
  <c r="E42" i="6"/>
  <c r="L41" i="7" l="1"/>
  <c r="M41" i="7" s="1"/>
  <c r="K25" i="7"/>
  <c r="L25" i="7" s="1"/>
  <c r="K27" i="7"/>
  <c r="L27" i="7" s="1"/>
  <c r="K28" i="7"/>
  <c r="L28" i="7" s="1"/>
  <c r="K26" i="7"/>
  <c r="L26" i="7" s="1"/>
  <c r="K24" i="7"/>
  <c r="L24" i="7" s="1"/>
  <c r="F30" i="6"/>
  <c r="C30" i="6"/>
  <c r="A31" i="6"/>
  <c r="C31" i="6" s="1"/>
  <c r="A32" i="6"/>
  <c r="C32" i="6" s="1"/>
  <c r="A33" i="6"/>
  <c r="C33" i="6" s="1"/>
  <c r="A34" i="6"/>
  <c r="C34" i="6" s="1"/>
  <c r="A35" i="6"/>
  <c r="C35" i="6" s="1"/>
  <c r="A36" i="6"/>
  <c r="C36" i="6" s="1"/>
  <c r="A37" i="6"/>
  <c r="C37" i="6" s="1"/>
  <c r="A16" i="6"/>
  <c r="D16" i="6" s="1"/>
  <c r="A17" i="6"/>
  <c r="B17" i="6" s="1"/>
  <c r="A18" i="6"/>
  <c r="D18" i="6" s="1"/>
  <c r="A19" i="6"/>
  <c r="B19" i="6" s="1"/>
  <c r="A20" i="6"/>
  <c r="D20" i="6" s="1"/>
  <c r="A21" i="6"/>
  <c r="B21" i="6" s="1"/>
  <c r="A22" i="6"/>
  <c r="B22" i="6" s="1"/>
  <c r="A23" i="6"/>
  <c r="B23" i="6" s="1"/>
  <c r="A15" i="6"/>
  <c r="E3" i="6"/>
  <c r="E4" i="6"/>
  <c r="E5" i="6"/>
  <c r="E6" i="6"/>
  <c r="E7" i="6"/>
  <c r="E8" i="6"/>
  <c r="E2" i="6"/>
  <c r="C3" i="6"/>
  <c r="C4" i="6"/>
  <c r="C5" i="6"/>
  <c r="C6" i="6"/>
  <c r="C7" i="6"/>
  <c r="C8" i="6"/>
  <c r="C2" i="6"/>
  <c r="B15" i="6" l="1"/>
  <c r="D15" i="6"/>
  <c r="F34" i="6"/>
  <c r="F37" i="6"/>
  <c r="F33" i="6"/>
  <c r="F36" i="6"/>
  <c r="F32" i="6"/>
  <c r="F35" i="6"/>
  <c r="F31" i="6"/>
  <c r="B18" i="6"/>
  <c r="B16" i="6"/>
  <c r="B20" i="6"/>
  <c r="D21" i="6"/>
  <c r="D17" i="6"/>
  <c r="D23" i="6"/>
  <c r="D19" i="6"/>
  <c r="D22" i="6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24" i="5"/>
  <c r="B24" i="5" s="1"/>
  <c r="O10" i="5"/>
  <c r="M10" i="5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14" i="5"/>
  <c r="M14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2" i="5"/>
  <c r="M2" i="5" s="1"/>
  <c r="B7" i="5"/>
  <c r="B6" i="5"/>
  <c r="B5" i="5"/>
  <c r="B4" i="5"/>
  <c r="O6" i="5" l="1"/>
  <c r="O9" i="5"/>
  <c r="O5" i="5"/>
  <c r="O8" i="5"/>
  <c r="O4" i="5"/>
  <c r="O7" i="5"/>
  <c r="O3" i="5"/>
  <c r="O2" i="5"/>
  <c r="N14" i="5"/>
  <c r="O14" i="5" s="1"/>
  <c r="Q20" i="5"/>
  <c r="Q16" i="5"/>
  <c r="Q19" i="5"/>
  <c r="Q15" i="5"/>
  <c r="Q22" i="5"/>
  <c r="Q18" i="5"/>
  <c r="Q21" i="5"/>
  <c r="Q17" i="5"/>
  <c r="Q14" i="5"/>
  <c r="N22" i="5"/>
  <c r="O22" i="5" s="1"/>
  <c r="N21" i="5"/>
  <c r="O21" i="5" s="1"/>
  <c r="N17" i="5"/>
  <c r="O17" i="5" s="1"/>
  <c r="N20" i="5"/>
  <c r="O20" i="5" s="1"/>
  <c r="N16" i="5"/>
  <c r="O16" i="5" s="1"/>
  <c r="N18" i="5"/>
  <c r="O18" i="5" s="1"/>
  <c r="N19" i="5"/>
  <c r="O19" i="5" s="1"/>
  <c r="N15" i="5"/>
  <c r="O15" i="5" s="1"/>
  <c r="J21" i="4"/>
  <c r="M33" i="4" l="1"/>
  <c r="I36" i="4"/>
  <c r="I37" i="4"/>
  <c r="I38" i="4"/>
  <c r="I39" i="4"/>
  <c r="J39" i="4" s="1"/>
  <c r="I40" i="4"/>
  <c r="I41" i="4"/>
  <c r="I42" i="4"/>
  <c r="I43" i="4"/>
  <c r="J43" i="4" s="1"/>
  <c r="I44" i="4"/>
  <c r="I35" i="4"/>
  <c r="J44" i="4"/>
  <c r="J36" i="4"/>
  <c r="J37" i="4"/>
  <c r="J38" i="4"/>
  <c r="J40" i="4"/>
  <c r="J41" i="4"/>
  <c r="J42" i="4"/>
  <c r="J35" i="4"/>
  <c r="H20" i="4"/>
  <c r="H21" i="4"/>
  <c r="H22" i="4"/>
  <c r="H23" i="4"/>
  <c r="H24" i="4"/>
  <c r="H25" i="4"/>
  <c r="H26" i="4"/>
  <c r="H27" i="4"/>
  <c r="N8" i="4"/>
  <c r="N7" i="4"/>
  <c r="N6" i="4"/>
  <c r="N5" i="4"/>
  <c r="N4" i="4"/>
  <c r="N3" i="4"/>
  <c r="C32" i="4"/>
  <c r="H36" i="4" l="1"/>
  <c r="H37" i="4"/>
  <c r="H38" i="4"/>
  <c r="H39" i="4"/>
  <c r="H40" i="4"/>
  <c r="H41" i="4"/>
  <c r="H42" i="4"/>
  <c r="H43" i="4"/>
  <c r="H44" i="4"/>
  <c r="H35" i="4"/>
  <c r="D20" i="4"/>
  <c r="D21" i="4"/>
  <c r="D22" i="4"/>
  <c r="D23" i="4"/>
  <c r="D24" i="4"/>
  <c r="D25" i="4"/>
  <c r="D26" i="4"/>
  <c r="D27" i="4"/>
  <c r="G20" i="4"/>
  <c r="G21" i="4"/>
  <c r="G22" i="4"/>
  <c r="G23" i="4"/>
  <c r="G24" i="4"/>
  <c r="G25" i="4"/>
  <c r="G26" i="4"/>
  <c r="G27" i="4"/>
  <c r="G19" i="4"/>
  <c r="F20" i="4"/>
  <c r="F21" i="4"/>
  <c r="F22" i="4"/>
  <c r="F23" i="4"/>
  <c r="F24" i="4"/>
  <c r="F25" i="4"/>
  <c r="F26" i="4"/>
  <c r="F27" i="4"/>
  <c r="F19" i="4"/>
  <c r="D19" i="4"/>
  <c r="B15" i="4"/>
  <c r="B14" i="4"/>
  <c r="B13" i="4"/>
  <c r="B12" i="4"/>
  <c r="C8" i="4"/>
  <c r="C7" i="4"/>
  <c r="C6" i="4"/>
  <c r="C5" i="4"/>
  <c r="C4" i="4"/>
  <c r="C3" i="4"/>
  <c r="C23" i="3"/>
  <c r="C13" i="3" l="1"/>
  <c r="C22" i="3"/>
  <c r="B19" i="3"/>
  <c r="B18" i="3"/>
  <c r="B17" i="3"/>
  <c r="M25" i="2"/>
  <c r="K25" i="2"/>
  <c r="I25" i="2"/>
  <c r="G25" i="2"/>
  <c r="E25" i="2"/>
  <c r="C25" i="2"/>
  <c r="A25" i="2"/>
  <c r="C9" i="1" l="1"/>
  <c r="B12" i="1" l="1"/>
  <c r="C12" i="1" s="1"/>
  <c r="D9" i="1"/>
  <c r="B9" i="1"/>
  <c r="E5" i="1"/>
  <c r="E6" i="1"/>
  <c r="E7" i="1"/>
  <c r="E8" i="1"/>
  <c r="E4" i="1"/>
  <c r="F6" i="1" l="1"/>
  <c r="G12" i="1"/>
  <c r="E9" i="1"/>
  <c r="F9" i="1" s="1"/>
  <c r="F5" i="1"/>
  <c r="F7" i="1" l="1"/>
  <c r="F4" i="1"/>
  <c r="F8" i="1"/>
</calcChain>
</file>

<file path=xl/sharedStrings.xml><?xml version="1.0" encoding="utf-8"?>
<sst xmlns="http://schemas.openxmlformats.org/spreadsheetml/2006/main" count="752" uniqueCount="401">
  <si>
    <t>Bills</t>
  </si>
  <si>
    <t>Rent</t>
  </si>
  <si>
    <t>Phone</t>
  </si>
  <si>
    <t>Credit card</t>
  </si>
  <si>
    <t>Food</t>
  </si>
  <si>
    <t>Candy</t>
  </si>
  <si>
    <t>Total</t>
  </si>
  <si>
    <t>Jan</t>
  </si>
  <si>
    <t>Feb</t>
  </si>
  <si>
    <t>Mar</t>
  </si>
  <si>
    <t>Monthly Budget</t>
  </si>
  <si>
    <t>sharan555</t>
  </si>
  <si>
    <t>%</t>
  </si>
  <si>
    <t>denominator-&gt;absolute refrencing</t>
  </si>
  <si>
    <t>Monday</t>
  </si>
  <si>
    <t>Tuesday</t>
  </si>
  <si>
    <t>Wednesday</t>
  </si>
  <si>
    <t>Thursday</t>
  </si>
  <si>
    <t>Friday</t>
  </si>
  <si>
    <t>Saturday</t>
  </si>
  <si>
    <t>Sunday</t>
  </si>
  <si>
    <t>#fill concept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</si>
  <si>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</si>
  <si>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</si>
  <si>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</si>
  <si>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</si>
  <si>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</si>
  <si>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</si>
  <si>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</si>
  <si>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</si>
  <si>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</si>
  <si>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</si>
  <si>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</si>
  <si>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</si>
  <si>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india</t>
  </si>
  <si>
    <t>pakistan</t>
  </si>
  <si>
    <t>nepal</t>
  </si>
  <si>
    <t>china</t>
  </si>
  <si>
    <t>bhutan</t>
  </si>
  <si>
    <t>bangladesh</t>
  </si>
  <si>
    <t>sum</t>
  </si>
  <si>
    <t>count()</t>
  </si>
  <si>
    <t>max()</t>
  </si>
  <si>
    <t>min()</t>
  </si>
  <si>
    <t>average()</t>
  </si>
  <si>
    <t>countblank()</t>
  </si>
  <si>
    <t>sharan</t>
  </si>
  <si>
    <t>consider all cell</t>
  </si>
  <si>
    <t>consider only blank cell</t>
  </si>
  <si>
    <t>sample</t>
  </si>
  <si>
    <t>month</t>
  </si>
  <si>
    <t>rainfall(mm)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</si>
  <si>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</si>
  <si>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</si>
  <si>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</si>
  <si>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</si>
  <si>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</si>
  <si>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</si>
  <si>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</si>
  <si>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</si>
  <si>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</si>
  <si>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average</t>
  </si>
  <si>
    <t>WITHOUT USING AVERAGE FN., ONLY USE SUM AND COUNT FN.</t>
  </si>
  <si>
    <t>logical tests</t>
  </si>
  <si>
    <t>=</t>
  </si>
  <si>
    <t>&gt;</t>
  </si>
  <si>
    <t>&lt;</t>
  </si>
  <si>
    <t>&gt;=</t>
  </si>
  <si>
    <t>&lt;=</t>
  </si>
  <si>
    <t>&lt;&gt;</t>
  </si>
  <si>
    <t>boolean variable</t>
  </si>
  <si>
    <t>boolean</t>
  </si>
  <si>
    <t>yes/no</t>
  </si>
  <si>
    <t>1/0</t>
  </si>
  <si>
    <t>pass/fail</t>
  </si>
  <si>
    <t>if statement</t>
  </si>
  <si>
    <t>if(logical test,true value, false value)</t>
  </si>
  <si>
    <t>total</t>
  </si>
  <si>
    <t>type 1</t>
  </si>
  <si>
    <t>grass</t>
  </si>
  <si>
    <t>fire</t>
  </si>
  <si>
    <t>water</t>
  </si>
  <si>
    <t>more than 500 seats</t>
  </si>
  <si>
    <t>mathematical operator</t>
  </si>
  <si>
    <t>10% discount if sum is greater than 50</t>
  </si>
  <si>
    <t>a</t>
  </si>
  <si>
    <t>b</t>
  </si>
  <si>
    <t>c</t>
  </si>
  <si>
    <t>d</t>
  </si>
  <si>
    <t>e</t>
  </si>
  <si>
    <t>english</t>
  </si>
  <si>
    <t>science</t>
  </si>
  <si>
    <t>social st.</t>
  </si>
  <si>
    <t>f</t>
  </si>
  <si>
    <t>g</t>
  </si>
  <si>
    <t>h</t>
  </si>
  <si>
    <t>i</t>
  </si>
  <si>
    <t>j</t>
  </si>
  <si>
    <t>manpreet.b@asms.edu.in</t>
  </si>
  <si>
    <t>mathematics</t>
  </si>
  <si>
    <t>remarks</t>
  </si>
  <si>
    <t>hindi</t>
  </si>
  <si>
    <t>if a=b</t>
  </si>
  <si>
    <t>if a&gt;b</t>
  </si>
  <si>
    <t>ifa&lt;b</t>
  </si>
  <si>
    <t>if a&gt;=b</t>
  </si>
  <si>
    <t>if a&lt;=b</t>
  </si>
  <si>
    <t>ifa&lt;&gt;b</t>
  </si>
  <si>
    <t>dragging-&gt;cell refrencing</t>
  </si>
  <si>
    <t>consider only integers</t>
  </si>
  <si>
    <t>#  functions in excel</t>
  </si>
  <si>
    <t>delta</t>
  </si>
  <si>
    <t>nature of roots</t>
  </si>
  <si>
    <t>root1</t>
  </si>
  <si>
    <t>root2</t>
  </si>
  <si>
    <t>income</t>
  </si>
  <si>
    <t>&gt;20000,10%</t>
  </si>
  <si>
    <t>&gt;50000,20%</t>
  </si>
  <si>
    <t>&gt;100000,30%</t>
  </si>
  <si>
    <t>tax</t>
  </si>
  <si>
    <t>unit sale</t>
  </si>
  <si>
    <t>sale price</t>
  </si>
  <si>
    <t>discount</t>
  </si>
  <si>
    <t>payable amount</t>
  </si>
  <si>
    <t>sales</t>
  </si>
  <si>
    <t>commission</t>
  </si>
  <si>
    <t>payable tax</t>
  </si>
  <si>
    <t>marks %</t>
  </si>
  <si>
    <t>attendence %</t>
  </si>
  <si>
    <t>Q. 1</t>
  </si>
  <si>
    <t>number</t>
  </si>
  <si>
    <t>Q.  2</t>
  </si>
  <si>
    <t>AGE</t>
  </si>
  <si>
    <t>person</t>
  </si>
  <si>
    <t>indian</t>
  </si>
  <si>
    <t>yes</t>
  </si>
  <si>
    <t>no</t>
  </si>
  <si>
    <t>Q.  3</t>
  </si>
  <si>
    <t>Person</t>
  </si>
  <si>
    <t>student</t>
  </si>
  <si>
    <t>senior citizen</t>
  </si>
  <si>
    <t>Q.  4</t>
  </si>
  <si>
    <t>Probation</t>
  </si>
  <si>
    <t xml:space="preserve">no </t>
  </si>
  <si>
    <t>working from (years)</t>
  </si>
  <si>
    <t>PERFORMING 3 CONDITIONS AT A TIME</t>
  </si>
  <si>
    <t>employee(full time)</t>
  </si>
  <si>
    <t>Q.  5</t>
  </si>
  <si>
    <t>member</t>
  </si>
  <si>
    <t>purchase</t>
  </si>
  <si>
    <t>offer avalabililty</t>
  </si>
  <si>
    <t>name</t>
  </si>
  <si>
    <t>age</t>
  </si>
  <si>
    <t>country</t>
  </si>
  <si>
    <t>japan</t>
  </si>
  <si>
    <t>uk</t>
  </si>
  <si>
    <t>s. no.</t>
  </si>
  <si>
    <t>usa</t>
  </si>
  <si>
    <t>s.no.</t>
  </si>
  <si>
    <t>NAME</t>
  </si>
  <si>
    <t>ROLL NO.</t>
  </si>
  <si>
    <t>FATHER'S NAME</t>
  </si>
  <si>
    <t>CITY</t>
  </si>
  <si>
    <t>A</t>
  </si>
  <si>
    <t>B</t>
  </si>
  <si>
    <t>C</t>
  </si>
  <si>
    <t>D</t>
  </si>
  <si>
    <t>E</t>
  </si>
  <si>
    <t>AA</t>
  </si>
  <si>
    <t>BB</t>
  </si>
  <si>
    <t>CC</t>
  </si>
  <si>
    <t>DD</t>
  </si>
  <si>
    <t>EE</t>
  </si>
  <si>
    <t>DELHI</t>
  </si>
  <si>
    <t>JAIPUR</t>
  </si>
  <si>
    <t>GURGAON</t>
  </si>
  <si>
    <t>JALANDHAR</t>
  </si>
  <si>
    <t>PATIALA</t>
  </si>
  <si>
    <t>ENGLISH</t>
  </si>
  <si>
    <t>HINDI</t>
  </si>
  <si>
    <t>SCIENCE</t>
  </si>
  <si>
    <t>SOCIAL</t>
  </si>
  <si>
    <t>MATH</t>
  </si>
  <si>
    <t>TOTAL</t>
  </si>
  <si>
    <t>S.NO.</t>
  </si>
  <si>
    <t>FATHERS NAME</t>
  </si>
  <si>
    <t>COURSE</t>
  </si>
  <si>
    <t>COURSE ID</t>
  </si>
  <si>
    <t>ADDRESS</t>
  </si>
  <si>
    <t>PYTHON</t>
  </si>
  <si>
    <t>SQL</t>
  </si>
  <si>
    <t>EXCEL</t>
  </si>
  <si>
    <t>JAWA</t>
  </si>
  <si>
    <t>STORY TELLING</t>
  </si>
  <si>
    <t>GRADE</t>
  </si>
  <si>
    <t>BOB</t>
  </si>
  <si>
    <t>JOSUA</t>
  </si>
  <si>
    <t>DAVID</t>
  </si>
  <si>
    <t>TIM</t>
  </si>
  <si>
    <t>KANE</t>
  </si>
  <si>
    <t>MATT</t>
  </si>
  <si>
    <t>BACHAELOR'S</t>
  </si>
  <si>
    <t>MASTER'S</t>
  </si>
  <si>
    <t>DIPLOMA</t>
  </si>
  <si>
    <t>B1</t>
  </si>
  <si>
    <t>M1</t>
  </si>
  <si>
    <t>D1</t>
  </si>
  <si>
    <t>UK</t>
  </si>
  <si>
    <t>USA</t>
  </si>
  <si>
    <t>JAPAN</t>
  </si>
  <si>
    <t>CHINA</t>
  </si>
  <si>
    <t>CANADA</t>
  </si>
  <si>
    <t>FRANCE</t>
  </si>
  <si>
    <t>PRACTICE QUESTION</t>
  </si>
  <si>
    <t>employee</t>
  </si>
  <si>
    <t>location</t>
  </si>
  <si>
    <t>salary</t>
  </si>
  <si>
    <t># hlookup</t>
  </si>
  <si>
    <t xml:space="preserve">name </t>
  </si>
  <si>
    <t xml:space="preserve">salary </t>
  </si>
  <si>
    <t>delhi</t>
  </si>
  <si>
    <t>mumbai</t>
  </si>
  <si>
    <t>noida</t>
  </si>
  <si>
    <t>gurgaon</t>
  </si>
  <si>
    <t>jaipur</t>
  </si>
  <si>
    <t>raipur</t>
  </si>
  <si>
    <t>chennai</t>
  </si>
  <si>
    <t>udaipur</t>
  </si>
  <si>
    <t>jodhpur</t>
  </si>
  <si>
    <t>solan</t>
  </si>
  <si>
    <t># for approx values</t>
  </si>
  <si>
    <t>update y1 set subject ="math"  where id = 22;</t>
  </si>
  <si>
    <t>update y1 set subject ="math"  where id = 11;</t>
  </si>
  <si>
    <t>update y1 set subject ="math"  where id = 33;</t>
  </si>
  <si>
    <t>update y1 set subject ="math"  where id = 44;</t>
  </si>
  <si>
    <t>counta()</t>
  </si>
  <si>
    <t>house property</t>
  </si>
  <si>
    <t>business</t>
  </si>
  <si>
    <t>profession</t>
  </si>
  <si>
    <t>capital gains</t>
  </si>
  <si>
    <t>source of  income</t>
  </si>
  <si>
    <t>deduction</t>
  </si>
  <si>
    <t>exemption</t>
  </si>
  <si>
    <t>tax %</t>
  </si>
  <si>
    <t>income after tax</t>
  </si>
  <si>
    <t>taxable income</t>
  </si>
  <si>
    <t>old regime</t>
  </si>
  <si>
    <t>new regime</t>
  </si>
  <si>
    <t>tax amount</t>
  </si>
  <si>
    <t xml:space="preserve"> tax amount</t>
  </si>
  <si>
    <t>Capital Gains</t>
  </si>
  <si>
    <t>Others Sources</t>
  </si>
  <si>
    <t>Salary</t>
  </si>
  <si>
    <t>House Property</t>
  </si>
  <si>
    <t>Businessa and Profession</t>
  </si>
  <si>
    <t>Total Income</t>
  </si>
  <si>
    <t>Deduction</t>
  </si>
  <si>
    <t>Exemption</t>
  </si>
  <si>
    <t>Taxable Income</t>
  </si>
  <si>
    <t>Tax amount</t>
  </si>
  <si>
    <t>surcharge</t>
  </si>
  <si>
    <t>Tax  %</t>
  </si>
  <si>
    <t xml:space="preserve">source of income   </t>
  </si>
  <si>
    <t>cess</t>
  </si>
  <si>
    <t>Taxes</t>
  </si>
  <si>
    <t>Old</t>
  </si>
  <si>
    <t>New</t>
  </si>
  <si>
    <t>Column1</t>
  </si>
  <si>
    <t>Taxes2</t>
  </si>
  <si>
    <t>source of income</t>
  </si>
  <si>
    <t>business &amp; profession</t>
  </si>
  <si>
    <t>other sources</t>
  </si>
  <si>
    <t>total income</t>
  </si>
  <si>
    <t>Column2</t>
  </si>
  <si>
    <t>OLD TAX REGIME</t>
  </si>
  <si>
    <t>AMOUNT</t>
  </si>
  <si>
    <r>
      <rPr>
        <sz val="26"/>
        <color theme="1"/>
        <rFont val="Copperplate Gothic Bold"/>
        <family val="2"/>
      </rPr>
      <t>Taxes</t>
    </r>
    <r>
      <rPr>
        <sz val="16"/>
        <color theme="1"/>
        <rFont val="Copperplate Gothic Bold"/>
        <family val="2"/>
      </rPr>
      <t xml:space="preserve"> as per</t>
    </r>
    <r>
      <rPr>
        <sz val="20"/>
        <color theme="1"/>
        <rFont val="Copperplate Gothic Bold"/>
        <family val="2"/>
      </rPr>
      <t xml:space="preserve"> OLD TAX REGIME</t>
    </r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</si>
  <si>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</si>
  <si>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</si>
  <si>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</si>
  <si>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</si>
  <si>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</si>
  <si>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</si>
  <si>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</si>
  <si>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</si>
  <si>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</si>
  <si>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</si>
  <si>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</si>
  <si>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</si>
  <si>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net income</t>
  </si>
  <si>
    <t>taxes as per new regime</t>
  </si>
  <si>
    <t xml:space="preserve">  taxes as per old regime</t>
  </si>
  <si>
    <t>old</t>
  </si>
  <si>
    <t>taxes</t>
  </si>
  <si>
    <t>new</t>
  </si>
  <si>
    <t>taxable amount</t>
  </si>
  <si>
    <t>tax   %</t>
  </si>
  <si>
    <t>taxes2</t>
  </si>
  <si>
    <t>dept.</t>
  </si>
  <si>
    <t>produce</t>
  </si>
  <si>
    <t>meat</t>
  </si>
  <si>
    <t>bakery</t>
  </si>
  <si>
    <t>banana</t>
  </si>
  <si>
    <t>apple</t>
  </si>
  <si>
    <t>suman</t>
  </si>
  <si>
    <t>Employee ID</t>
  </si>
  <si>
    <t>Name</t>
  </si>
  <si>
    <t>Department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</si>
  <si>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</si>
  <si>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</si>
  <si>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</si>
  <si>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</si>
  <si>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</si>
  <si>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</si>
  <si>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</si>
  <si>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</si>
  <si>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</si>
  <si>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</si>
  <si>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</si>
  <si>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Bob jones</t>
  </si>
  <si>
    <t>Q2. bonus</t>
  </si>
  <si>
    <t>Income Threshold</t>
  </si>
  <si>
    <t>Tax Rate</t>
  </si>
  <si>
    <t>Q3.Tax</t>
  </si>
  <si>
    <t>Task1. name</t>
  </si>
  <si>
    <t xml:space="preserve"> Tax  rate</t>
  </si>
  <si>
    <t>Data</t>
  </si>
  <si>
    <t>Employee Name</t>
  </si>
  <si>
    <t>Bonus</t>
  </si>
  <si>
    <t>Total Pay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</si>
  <si>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</si>
  <si>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</si>
  <si>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</si>
  <si>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</si>
  <si>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</si>
  <si>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</si>
  <si>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</si>
  <si>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</si>
  <si>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</si>
  <si>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</si>
  <si>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Q1.what is department of employee with id 102</t>
  </si>
  <si>
    <t>Q2.what is the salary of employee with id 105?</t>
  </si>
  <si>
    <t>Q3.what is the total pay ofemployee with id 107?</t>
  </si>
  <si>
    <t>whole number</t>
  </si>
  <si>
    <t>text length</t>
  </si>
  <si>
    <t xml:space="preserve">date </t>
  </si>
  <si>
    <t>drop down list</t>
  </si>
  <si>
    <t>data vallidation</t>
  </si>
  <si>
    <t>date</t>
  </si>
  <si>
    <t>abc</t>
  </si>
  <si>
    <t>fdgh</t>
  </si>
  <si>
    <t>beijing</t>
  </si>
  <si>
    <t>hong kong</t>
  </si>
  <si>
    <t>*whole number</t>
  </si>
  <si>
    <t>*text length</t>
  </si>
  <si>
    <t>*date</t>
  </si>
  <si>
    <t>*drop down list</t>
  </si>
  <si>
    <t>*input message</t>
  </si>
  <si>
    <t>*error message</t>
  </si>
  <si>
    <r>
      <rPr>
        <sz val="24"/>
        <color theme="1"/>
        <rFont val="Copperplate Gothic Bold"/>
        <family val="2"/>
      </rPr>
      <t>Taxes</t>
    </r>
    <r>
      <rPr>
        <sz val="16"/>
        <color theme="1"/>
        <rFont val="Copperplate Gothic Bold"/>
        <family val="2"/>
      </rPr>
      <t xml:space="preserve">    as   per </t>
    </r>
    <r>
      <rPr>
        <sz val="20"/>
        <color theme="1"/>
        <rFont val="Copperplate Gothic Bold"/>
        <family val="2"/>
      </rPr>
      <t xml:space="preserve">  NEW    TAX     REGIME</t>
    </r>
  </si>
  <si>
    <t xml:space="preserve">source      of    income   </t>
  </si>
  <si>
    <t>1. Creating the Dataset: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</si>
  <si>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</si>
  <si>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</si>
  <si>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</si>
  <si>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</si>
  <si>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</si>
  <si>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</si>
  <si>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</si>
  <si>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</si>
  <si>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</si>
  <si>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</si>
  <si>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</si>
  <si>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</si>
  <si>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SALARY</t>
  </si>
  <si>
    <t>BONUS</t>
  </si>
  <si>
    <t>EMPLOYEE</t>
  </si>
  <si>
    <t>TAX RATE</t>
  </si>
  <si>
    <t>VLOOKUP ASSIGNMENT</t>
  </si>
  <si>
    <t>NEW TAX REGIME</t>
  </si>
  <si>
    <t>SERIAL NUMBER</t>
  </si>
  <si>
    <t>* HERE  S. NO. 2,3    IS TAKEN AS EXAMPLE FOR SURCHARGE AND CESS CALCULATION</t>
  </si>
  <si>
    <t>Income Tax Slab (old Tax Regime)</t>
  </si>
  <si>
    <t>Up to Rs.2.50 Lakhs</t>
  </si>
  <si>
    <t>Nil</t>
  </si>
  <si>
    <t>1000001 and above</t>
  </si>
  <si>
    <t>Income Tax Slab (New Tax Regime)</t>
  </si>
  <si>
    <t>Up to Rs.3 Lakhs</t>
  </si>
  <si>
    <t>1500001 and above</t>
  </si>
  <si>
    <t>exemption   (IF ANY)</t>
  </si>
  <si>
    <t>BASIC DEDUCTION</t>
  </si>
  <si>
    <t>Sec 80CCD (1b) (NPS):</t>
  </si>
  <si>
    <t>Sec 80D (Medical premium)</t>
  </si>
  <si>
    <t>Sec 80E (Education loan):</t>
  </si>
  <si>
    <t>Sec 80G (Donations):</t>
  </si>
  <si>
    <t>DETAILS</t>
  </si>
  <si>
    <t>AGE  GROUP</t>
  </si>
  <si>
    <t>ABOVE 60</t>
  </si>
  <si>
    <t>AGE GROUP</t>
  </si>
  <si>
    <t>0-60</t>
  </si>
  <si>
    <t>INCOME   TAX  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</si>
</sst>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 tint="-0.249977111117893"/>
      <name val="Copperplate Gothic Bold"/>
      <family val="2"/>
    </font>
    <font>
      <sz val="11"/>
      <color theme="1"/>
      <name val="Copperplate Gothic Bold"/>
      <family val="2"/>
    </font>
    <font>
      <sz val="20"/>
      <color theme="3" tint="-0.249977111117893"/>
      <name val="Copperplate Gothic Bold"/>
      <family val="2"/>
    </font>
    <font>
      <sz val="12"/>
      <color theme="1"/>
      <name val="Copperplate Gothic Bold"/>
      <family val="2"/>
    </font>
    <font>
      <sz val="16"/>
      <color theme="1"/>
      <name val="Copperplate Gothic Bold"/>
      <family val="2"/>
    </font>
    <font>
      <sz val="16"/>
      <color theme="3" tint="-0.249977111117893"/>
      <name val="Copperplate Gothic Bold"/>
      <family val="2"/>
    </font>
    <font>
      <b/>
      <i/>
      <sz val="20"/>
      <color theme="2" tint="-0.89999084444715716"/>
      <name val="Copperplate Gothic Bold"/>
      <family val="2"/>
    </font>
    <font>
      <sz val="26"/>
      <color theme="1"/>
      <name val="Copperplate Gothic Bold"/>
      <family val="2"/>
    </font>
    <font>
      <sz val="20"/>
      <color theme="1"/>
      <name val="Copperplate Gothic Bold"/>
      <family val="2"/>
    </font>
    <font>
      <sz val="8"/>
      <color theme="1"/>
      <name val="Copperplate Gothic Bold"/>
      <family val="2"/>
    </font>
    <font>
      <sz val="11"/>
      <color theme="8" tint="-0.249977111117893"/>
      <name val="Copperplate Gothic Bold"/>
      <family val="2"/>
    </font>
    <font>
      <sz val="8"/>
      <color theme="8" tint="-0.249977111117893"/>
      <name val="Copperplate Gothic Bold"/>
      <family val="2"/>
    </font>
    <font>
      <sz val="10"/>
      <color theme="8" tint="-0.249977111117893"/>
      <name val="Copperplate Gothic Bold"/>
      <family val="2"/>
    </font>
    <font>
      <sz val="24"/>
      <color theme="1"/>
      <name val="Copperplate Gothic Bold"/>
      <family val="2"/>
    </font>
    <font>
      <sz val="28"/>
      <color theme="1"/>
      <name val="Copperplate Gothic Bold"/>
      <family val="2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sz val="9"/>
      <color theme="1"/>
      <name val="Copperplate Gothic Bold"/>
      <family val="2"/>
    </font>
    <font>
      <sz val="20"/>
      <color theme="8" tint="-0.249977111117893"/>
      <name val="Calibri"/>
      <family val="2"/>
      <scheme val="minor"/>
    </font>
    <font>
      <sz val="18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15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2" fillId="0" borderId="0" xfId="0" applyFont="1"/>
    <xf numFmtId="17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2"/>
    <xf numFmtId="9" fontId="0" fillId="0" borderId="0" xfId="0" applyNumberFormat="1"/>
    <xf numFmtId="0" fontId="0" fillId="0" borderId="1" xfId="0" applyBorder="1"/>
    <xf numFmtId="0" fontId="0" fillId="4" borderId="1" xfId="0" applyFill="1" applyBorder="1"/>
    <xf numFmtId="164" fontId="0" fillId="0" borderId="0" xfId="0" applyNumberFormat="1"/>
    <xf numFmtId="164" fontId="0" fillId="0" borderId="0" xfId="3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/>
    <xf numFmtId="0" fontId="11" fillId="0" borderId="0" xfId="0" applyFont="1"/>
    <xf numFmtId="0" fontId="11" fillId="0" borderId="0" xfId="0" applyFont="1" applyBorder="1"/>
    <xf numFmtId="22" fontId="0" fillId="0" borderId="0" xfId="0" applyNumberFormat="1"/>
    <xf numFmtId="14" fontId="0" fillId="0" borderId="0" xfId="0" applyNumberFormat="1"/>
    <xf numFmtId="0" fontId="25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 vertical="center" inden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left" vertical="center" inden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6" fillId="0" borderId="0" xfId="0" applyFont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/>
    <xf numFmtId="0" fontId="11" fillId="0" borderId="1" xfId="0" applyFont="1" applyFill="1" applyBorder="1"/>
    <xf numFmtId="0" fontId="13" fillId="0" borderId="1" xfId="0" applyFont="1" applyFill="1" applyBorder="1"/>
    <xf numFmtId="0" fontId="9" fillId="0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7" xfId="0" applyFont="1" applyBorder="1"/>
    <xf numFmtId="0" fontId="19" fillId="0" borderId="6" xfId="0" applyFont="1" applyBorder="1"/>
    <xf numFmtId="0" fontId="19" fillId="0" borderId="1" xfId="0" applyFont="1" applyBorder="1"/>
    <xf numFmtId="0" fontId="19" fillId="0" borderId="1" xfId="0" applyFont="1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22" fillId="0" borderId="1" xfId="0" applyFont="1" applyFill="1" applyBorder="1"/>
    <xf numFmtId="0" fontId="11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6" borderId="0" xfId="0" applyFill="1" applyBorder="1"/>
    <xf numFmtId="0" fontId="0" fillId="5" borderId="0" xfId="0" applyFill="1" applyBorder="1"/>
    <xf numFmtId="0" fontId="0" fillId="0" borderId="0" xfId="0"/>
    <xf numFmtId="0" fontId="0" fillId="0" borderId="0" xfId="0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7" borderId="1" xfId="0" applyFill="1" applyBorder="1"/>
    <xf numFmtId="0" fontId="2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right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/>
    <xf numFmtId="0" fontId="0" fillId="0" borderId="0" xfId="0" applyAlignment="1">
      <alignment vertical="center"/>
    </xf>
    <xf numFmtId="0" fontId="0" fillId="7" borderId="1" xfId="0" applyFill="1" applyBorder="1" applyAlignment="1">
      <alignment vertical="center"/>
    </xf>
    <xf numFmtId="0" fontId="12" fillId="0" borderId="1" xfId="0" applyFont="1" applyBorder="1"/>
    <xf numFmtId="0" fontId="25" fillId="0" borderId="1" xfId="0" applyFont="1" applyBorder="1" applyAlignment="1">
      <alignment vertical="center"/>
    </xf>
    <xf numFmtId="0" fontId="30" fillId="0" borderId="1" xfId="0" applyFont="1" applyBorder="1"/>
    <xf numFmtId="0" fontId="33" fillId="0" borderId="1" xfId="0" applyFont="1" applyBorder="1"/>
    <xf numFmtId="0" fontId="28" fillId="0" borderId="1" xfId="0" applyFont="1" applyBorder="1"/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21" xfId="0" applyNumberFormat="1" applyBorder="1" applyAlignment="1">
      <alignment horizontal="center" vertical="center" wrapText="1"/>
    </xf>
    <xf numFmtId="9" fontId="0" fillId="0" borderId="25" xfId="0" applyNumberFormat="1" applyBorder="1" applyAlignment="1">
      <alignment horizontal="center" vertical="center" wrapText="1"/>
    </xf>
    <xf numFmtId="0" fontId="11" fillId="0" borderId="9" xfId="0" applyFont="1" applyBorder="1"/>
    <xf numFmtId="0" fontId="11" fillId="0" borderId="4" xfId="0" applyFont="1" applyBorder="1"/>
    <xf numFmtId="0" fontId="0" fillId="4" borderId="1" xfId="0" applyFill="1" applyBorder="1" applyAlignment="1">
      <alignment wrapText="1"/>
    </xf>
    <xf numFmtId="0" fontId="32" fillId="0" borderId="1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39" fillId="9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6" fillId="0" borderId="14" xfId="0" applyFont="1" applyBorder="1" applyAlignment="1">
      <alignment horizontal="center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G49:K54" totalsRowShown="0">
  <autoFilter ref="G49:K54"/>
  <tableColumns count="5">
    <tableColumn id="1" name="Column1"/>
    <tableColumn id="2" name="Old"/>
    <tableColumn id="3" name="Taxes"/>
    <tableColumn id="4" name="New"/>
    <tableColumn id="5" name="Taxes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6:N33" totalsRowShown="0" headerRowDxfId="22" headerRowBorderDxfId="21" tableBorderDxfId="20" totalsRowBorderDxfId="19">
  <autoFilter ref="A26:N33"/>
  <sortState ref="A27:N33">
    <sortCondition sortBy="cellColor" ref="C32"/>
  </sortState>
  <tableColumns count="14">
    <tableColumn id="1" name="Column1" dataDxfId="18"/>
    <tableColumn id="2" name="Column2" dataDxfId="17"/>
    <tableColumn id="3" name="Column3" dataDxfId="16"/>
    <tableColumn id="4" name="Column4" dataDxfId="15"/>
    <tableColumn id="5" name="Column5" dataDxfId="14"/>
    <tableColumn id="6" name="Column6" dataDxfId="13"/>
    <tableColumn id="7" name="Column7" dataDxfId="12"/>
    <tableColumn id="8" name="Column8" dataDxfId="11"/>
    <tableColumn id="9" name="Column9" dataDxfId="10"/>
    <tableColumn id="10" name="Column10" dataDxfId="9"/>
    <tableColumn id="11" name="Column11" dataDxfId="8"/>
    <tableColumn id="12" name="Column12" dataDxfId="7"/>
    <tableColumn id="13" name="Column13" dataDxfId="6"/>
    <tableColumn id="14" name="Column14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G58:K67" totalsRowShown="0">
  <autoFilter ref="G58:K67"/>
  <tableColumns count="5">
    <tableColumn id="1" name="Column1"/>
    <tableColumn id="2" name="old"/>
    <tableColumn id="3" name="taxes"/>
    <tableColumn id="4" name="new"/>
    <tableColumn id="5" name="taxes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B54:B57" totalsRowShown="0">
  <autoFilter ref="B54:B57"/>
  <tableColumns count="1">
    <tableColumn id="1" name="dept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npreet.b@asms.edu.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2" sqref="G12"/>
    </sheetView>
  </sheetViews>
  <sheetFormatPr defaultRowHeight="15"/>
  <cols>
    <col min="8" max="8" width="9.7109375" bestFit="1" customWidth="1"/>
    <col min="10" max="10" width="32.5703125" customWidth="1"/>
  </cols>
  <sheetData>
    <row r="1" spans="1:10">
      <c r="A1" t="s">
        <v>10</v>
      </c>
      <c r="J1" s="1">
        <v>45538</v>
      </c>
    </row>
    <row r="2" spans="1:10">
      <c r="J2" s="1">
        <v>45538</v>
      </c>
    </row>
    <row r="3" spans="1:10">
      <c r="A3" t="s">
        <v>0</v>
      </c>
      <c r="B3" t="s">
        <v>7</v>
      </c>
      <c r="C3" t="s">
        <v>8</v>
      </c>
      <c r="D3" t="s">
        <v>9</v>
      </c>
      <c r="E3" t="s">
        <v>6</v>
      </c>
      <c r="F3" t="s">
        <v>12</v>
      </c>
      <c r="J3" t="s">
        <v>11</v>
      </c>
    </row>
    <row r="4" spans="1:10">
      <c r="A4" t="s">
        <v>5</v>
      </c>
      <c r="B4">
        <v>100</v>
      </c>
      <c r="C4">
        <v>100</v>
      </c>
      <c r="D4">
        <v>125</v>
      </c>
      <c r="E4">
        <f>B4+C4+D4</f>
        <v>325</v>
      </c>
      <c r="F4" s="2">
        <f t="shared" ref="F4:F9" si="0">E4/$E$9</f>
        <v>6.3725490196078427E-2</v>
      </c>
      <c r="J4" t="s">
        <v>108</v>
      </c>
    </row>
    <row r="5" spans="1:10">
      <c r="A5" t="s">
        <v>3</v>
      </c>
      <c r="B5">
        <v>150</v>
      </c>
      <c r="C5">
        <v>200</v>
      </c>
      <c r="D5">
        <v>175</v>
      </c>
      <c r="E5">
        <f>B5+C5+D5</f>
        <v>525</v>
      </c>
      <c r="F5" s="2">
        <f t="shared" si="0"/>
        <v>0.10294117647058823</v>
      </c>
      <c r="I5" s="1"/>
      <c r="J5" t="s">
        <v>13</v>
      </c>
    </row>
    <row r="6" spans="1:10">
      <c r="A6" t="s">
        <v>4</v>
      </c>
      <c r="B6">
        <v>300</v>
      </c>
      <c r="C6">
        <v>275</v>
      </c>
      <c r="D6">
        <v>350</v>
      </c>
      <c r="E6">
        <f>B6+C6+D6</f>
        <v>925</v>
      </c>
      <c r="F6" s="2">
        <f t="shared" si="0"/>
        <v>0.18137254901960784</v>
      </c>
    </row>
    <row r="7" spans="1:10">
      <c r="A7" t="s">
        <v>2</v>
      </c>
      <c r="B7">
        <v>100</v>
      </c>
      <c r="C7">
        <v>125</v>
      </c>
      <c r="D7">
        <v>100</v>
      </c>
      <c r="E7">
        <f>B7+C7+D7</f>
        <v>325</v>
      </c>
      <c r="F7" s="2">
        <f t="shared" si="0"/>
        <v>6.3725490196078427E-2</v>
      </c>
    </row>
    <row r="8" spans="1:10">
      <c r="A8" t="s">
        <v>1</v>
      </c>
      <c r="B8">
        <v>1000</v>
      </c>
      <c r="C8">
        <v>1000</v>
      </c>
      <c r="D8">
        <v>1000</v>
      </c>
      <c r="E8">
        <f>B8+C8+D8</f>
        <v>3000</v>
      </c>
      <c r="F8" s="2">
        <f t="shared" si="0"/>
        <v>0.58823529411764708</v>
      </c>
    </row>
    <row r="9" spans="1:10">
      <c r="A9" t="s">
        <v>6</v>
      </c>
      <c r="B9">
        <f>B4+B5+B6+B7+B8</f>
        <v>1650</v>
      </c>
      <c r="C9">
        <f>SUM(C4:C8)</f>
        <v>1700</v>
      </c>
      <c r="D9">
        <f>D4+D5+D6+D7+D8</f>
        <v>1750</v>
      </c>
      <c r="E9">
        <f>SUM(E4:E8)</f>
        <v>5100</v>
      </c>
      <c r="F9" s="2">
        <f t="shared" si="0"/>
        <v>1</v>
      </c>
    </row>
    <row r="12" spans="1:10">
      <c r="B12">
        <f>SUM(C5:C8)</f>
        <v>1600</v>
      </c>
      <c r="C12">
        <f>SUM(B12)</f>
        <v>1600</v>
      </c>
      <c r="G12">
        <f>SUM(E6:E8)</f>
        <v>4250</v>
      </c>
    </row>
    <row r="13" spans="1:10">
      <c r="B13" s="2"/>
      <c r="C13" s="2"/>
      <c r="D13" s="2"/>
      <c r="E13" s="2"/>
      <c r="F13" s="10"/>
    </row>
  </sheetData>
  <sortState ref="A4:D8">
    <sortCondition ref="A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4" zoomScaleNormal="100" workbookViewId="0">
      <selection activeCell="I30" sqref="I30"/>
    </sheetView>
  </sheetViews>
  <sheetFormatPr defaultRowHeight="15"/>
  <cols>
    <col min="1" max="1" width="20.5703125" customWidth="1"/>
    <col min="2" max="2" width="16.140625" customWidth="1"/>
    <col min="3" max="3" width="13" customWidth="1"/>
    <col min="4" max="4" width="18.85546875" customWidth="1"/>
    <col min="5" max="5" width="16.28515625" customWidth="1"/>
    <col min="6" max="6" width="29.5703125" customWidth="1"/>
    <col min="7" max="7" width="18.28515625" customWidth="1"/>
    <col min="9" max="9" width="14.5703125" customWidth="1"/>
  </cols>
  <sheetData>
    <row r="1" spans="1:7" s="65" customFormat="1">
      <c r="B1" s="135" t="s">
        <v>400</v>
      </c>
      <c r="C1" s="135"/>
      <c r="D1" s="135"/>
      <c r="E1" s="135"/>
      <c r="F1" s="135"/>
    </row>
    <row r="2" spans="1:7" s="65" customFormat="1">
      <c r="B2" s="135"/>
      <c r="C2" s="135"/>
      <c r="D2" s="135"/>
      <c r="E2" s="135"/>
      <c r="F2" s="135"/>
    </row>
    <row r="3" spans="1:7" s="65" customFormat="1">
      <c r="B3" s="135"/>
      <c r="C3" s="135"/>
      <c r="D3" s="135"/>
      <c r="E3" s="135"/>
      <c r="F3" s="135"/>
    </row>
    <row r="4" spans="1:7" ht="22.5" customHeight="1">
      <c r="A4" s="121" t="s">
        <v>274</v>
      </c>
      <c r="B4" s="122"/>
      <c r="C4" s="123"/>
      <c r="E4" s="124" t="s">
        <v>379</v>
      </c>
      <c r="F4" s="122"/>
      <c r="G4" s="128"/>
    </row>
    <row r="5" spans="1:7" s="65" customFormat="1" ht="22.5" customHeight="1">
      <c r="A5" s="124"/>
      <c r="B5" s="122"/>
      <c r="C5" s="123"/>
      <c r="E5" s="124"/>
      <c r="F5" s="122"/>
      <c r="G5" s="123"/>
    </row>
    <row r="6" spans="1:7" ht="16.5" customHeight="1">
      <c r="A6" s="125"/>
      <c r="B6" s="126"/>
      <c r="C6" s="127"/>
      <c r="E6" s="125"/>
      <c r="F6" s="126"/>
      <c r="G6" s="127"/>
    </row>
    <row r="7" spans="1:7" s="65" customFormat="1" ht="16.5" customHeight="1">
      <c r="A7" s="107" t="s">
        <v>395</v>
      </c>
      <c r="B7" s="95"/>
      <c r="C7" s="96"/>
      <c r="E7" s="109" t="s">
        <v>395</v>
      </c>
      <c r="F7" s="95"/>
      <c r="G7" s="96"/>
    </row>
    <row r="8" spans="1:7" s="65" customFormat="1" ht="16.5" customHeight="1">
      <c r="A8" s="108"/>
      <c r="B8" s="97" t="s">
        <v>396</v>
      </c>
      <c r="C8" s="99" t="s">
        <v>397</v>
      </c>
      <c r="E8" s="110"/>
      <c r="F8" s="97" t="s">
        <v>398</v>
      </c>
      <c r="G8" s="98" t="s">
        <v>399</v>
      </c>
    </row>
    <row r="9" spans="1:7" ht="25.5" customHeight="1">
      <c r="A9" s="119" t="s">
        <v>269</v>
      </c>
      <c r="B9" s="119"/>
      <c r="C9" s="84" t="s">
        <v>275</v>
      </c>
      <c r="E9" s="119" t="s">
        <v>269</v>
      </c>
      <c r="F9" s="119"/>
      <c r="G9" s="83" t="s">
        <v>275</v>
      </c>
    </row>
    <row r="10" spans="1:7" ht="15" customHeight="1">
      <c r="A10" s="35" t="s">
        <v>216</v>
      </c>
      <c r="B10" s="35"/>
      <c r="C10" s="11">
        <v>2000000</v>
      </c>
      <c r="E10" s="35" t="s">
        <v>216</v>
      </c>
      <c r="F10" s="35"/>
      <c r="G10" s="11">
        <v>2000000</v>
      </c>
    </row>
    <row r="11" spans="1:7">
      <c r="A11" s="35" t="s">
        <v>236</v>
      </c>
      <c r="B11" s="35"/>
      <c r="C11" s="11">
        <v>50000</v>
      </c>
      <c r="E11" s="35" t="s">
        <v>236</v>
      </c>
      <c r="F11" s="35"/>
      <c r="G11" s="11">
        <v>50000</v>
      </c>
    </row>
    <row r="12" spans="1:7">
      <c r="A12" s="35" t="s">
        <v>270</v>
      </c>
      <c r="B12" s="35"/>
      <c r="C12" s="11">
        <v>0</v>
      </c>
      <c r="E12" s="35" t="s">
        <v>270</v>
      </c>
      <c r="F12" s="35"/>
      <c r="G12" s="11"/>
    </row>
    <row r="13" spans="1:7">
      <c r="A13" s="35" t="s">
        <v>239</v>
      </c>
      <c r="B13" s="35"/>
      <c r="C13" s="11">
        <v>25000</v>
      </c>
      <c r="E13" s="35" t="s">
        <v>239</v>
      </c>
      <c r="F13" s="35"/>
      <c r="G13" s="11">
        <v>25000</v>
      </c>
    </row>
    <row r="14" spans="1:7">
      <c r="A14" s="35" t="s">
        <v>271</v>
      </c>
      <c r="B14" s="35"/>
      <c r="C14" s="11">
        <v>4000</v>
      </c>
      <c r="E14" s="35" t="s">
        <v>271</v>
      </c>
      <c r="F14" s="35"/>
      <c r="G14" s="11">
        <v>4000</v>
      </c>
    </row>
    <row r="15" spans="1:7" ht="25.5">
      <c r="A15" s="82" t="s">
        <v>272</v>
      </c>
      <c r="B15" s="35"/>
      <c r="C15" s="11">
        <f>SUM(C10:C14)</f>
        <v>2079000</v>
      </c>
      <c r="E15" s="82" t="s">
        <v>272</v>
      </c>
      <c r="F15" s="35"/>
      <c r="G15" s="11">
        <f>SUM(G10:G14)</f>
        <v>2079000</v>
      </c>
    </row>
    <row r="16" spans="1:7">
      <c r="A16" s="35" t="s">
        <v>241</v>
      </c>
      <c r="B16" s="92"/>
      <c r="C16" s="11">
        <f>SUM(C17:C21)</f>
        <v>70000</v>
      </c>
      <c r="E16" s="35" t="s">
        <v>241</v>
      </c>
      <c r="F16" s="35"/>
      <c r="G16" s="11">
        <v>70000</v>
      </c>
    </row>
    <row r="17" spans="1:14" s="65" customFormat="1" ht="30">
      <c r="A17" s="46"/>
      <c r="B17" s="94" t="s">
        <v>390</v>
      </c>
      <c r="C17" s="42">
        <v>70000</v>
      </c>
      <c r="E17" s="35"/>
      <c r="F17" s="94" t="s">
        <v>390</v>
      </c>
      <c r="G17" s="11">
        <v>70000</v>
      </c>
    </row>
    <row r="18" spans="1:14" s="65" customFormat="1" ht="30">
      <c r="A18" s="46"/>
      <c r="B18" s="94" t="s">
        <v>391</v>
      </c>
      <c r="C18" s="42">
        <v>0</v>
      </c>
      <c r="E18" s="35"/>
      <c r="F18" s="94" t="s">
        <v>391</v>
      </c>
      <c r="G18" s="11"/>
    </row>
    <row r="19" spans="1:14" s="65" customFormat="1" ht="30">
      <c r="A19" s="46"/>
      <c r="B19" s="94" t="s">
        <v>392</v>
      </c>
      <c r="C19" s="42">
        <v>0</v>
      </c>
      <c r="E19" s="35"/>
      <c r="F19" s="94" t="s">
        <v>392</v>
      </c>
      <c r="G19" s="11"/>
    </row>
    <row r="20" spans="1:14" s="65" customFormat="1" ht="30">
      <c r="A20" s="46"/>
      <c r="B20" s="94" t="s">
        <v>393</v>
      </c>
      <c r="C20" s="42">
        <v>0</v>
      </c>
      <c r="E20" s="35"/>
      <c r="F20" s="94" t="s">
        <v>393</v>
      </c>
      <c r="G20" s="11"/>
    </row>
    <row r="21" spans="1:14" s="65" customFormat="1" ht="30">
      <c r="A21" s="46"/>
      <c r="B21" s="94" t="s">
        <v>394</v>
      </c>
      <c r="C21" s="42">
        <v>0</v>
      </c>
      <c r="E21" s="35"/>
      <c r="F21" s="94" t="s">
        <v>394</v>
      </c>
      <c r="G21" s="11"/>
    </row>
    <row r="22" spans="1:14">
      <c r="A22" s="35" t="s">
        <v>389</v>
      </c>
      <c r="B22" s="93"/>
      <c r="C22" s="11">
        <v>50000</v>
      </c>
      <c r="E22" s="105" t="s">
        <v>389</v>
      </c>
      <c r="F22" s="106"/>
      <c r="G22" s="11">
        <v>50000</v>
      </c>
    </row>
    <row r="23" spans="1:14" ht="20.25">
      <c r="A23" s="120" t="s">
        <v>245</v>
      </c>
      <c r="B23" s="120"/>
      <c r="C23" s="11">
        <f>C15-(C16+C22)</f>
        <v>1959000</v>
      </c>
      <c r="E23" s="120" t="s">
        <v>245</v>
      </c>
      <c r="F23" s="120"/>
      <c r="G23" s="11">
        <f>G15-G16</f>
        <v>2009000</v>
      </c>
    </row>
    <row r="24" spans="1:14">
      <c r="A24" s="35" t="s">
        <v>243</v>
      </c>
      <c r="B24" s="11"/>
      <c r="C24" s="11">
        <f>IF(C23&lt;=2500000,0,IF(C23&lt;500000,5%,IF(C23&lt;1000000,20%,30%)))</f>
        <v>0</v>
      </c>
      <c r="E24" s="35" t="s">
        <v>243</v>
      </c>
      <c r="F24" s="11"/>
      <c r="G24" s="11">
        <f>IF(G23&lt;=2500000,0,IF(G23&lt;500000,5%,IF(G23&lt;1000000,20%,30%)))</f>
        <v>0</v>
      </c>
    </row>
    <row r="25" spans="1:14">
      <c r="A25" s="35" t="s">
        <v>248</v>
      </c>
      <c r="B25" s="11"/>
      <c r="C25" s="11">
        <f>IF(C23&lt;=250000,nil,IF(C23&lt;=500000,(C23-250000)*0.05,IF(C23&lt;=1000000,12500+(C23-500000)*0.2,12500+100000+(C23-1000000)*0.3)))</f>
        <v>400200</v>
      </c>
      <c r="E25" s="35" t="s">
        <v>248</v>
      </c>
      <c r="F25" s="11"/>
      <c r="G25" s="11">
        <f>IF(G23&lt;=250000,nil,IF(G23&lt;=500000,(G23-250000)*0.05,IF(G23&lt;=1000000,12500+(G23-500000)*0.2,12500+100000+(G23-1000000)*0.3)))</f>
        <v>415200</v>
      </c>
    </row>
    <row r="26" spans="1:14">
      <c r="A26" s="35" t="s">
        <v>260</v>
      </c>
      <c r="B26" s="11"/>
      <c r="C26" s="11">
        <f>IF(C23&lt;5000000,0,IF(AND(C23&gt;5000000,C23&lt;=10000000),C23*0.1,IF(AND(C23&gt;10000000,C23&lt;=20000000),C23*0.15,IF(AND(C23&gt;20000000,C23&lt;=50000000),C23*0.25,C23*0.37))))</f>
        <v>0</v>
      </c>
      <c r="E26" s="35" t="s">
        <v>260</v>
      </c>
      <c r="F26" s="11"/>
      <c r="G26" s="11">
        <f>IF(G23&lt;5000000,0,IF(AND(G23&gt;5000000,G23&lt;=10000000),G23*0.1,IF(AND(G23&gt;10000000,G23&lt;=20000000),G23*0.15,IF(AND(G23&gt;20000000,G23&lt;=50000000),G23*0.25,G23*0.37))))</f>
        <v>0</v>
      </c>
    </row>
    <row r="27" spans="1:14">
      <c r="A27" s="35" t="s">
        <v>263</v>
      </c>
      <c r="B27" s="11"/>
      <c r="C27" s="11">
        <f>C26*0.04</f>
        <v>0</v>
      </c>
      <c r="E27" s="35" t="s">
        <v>263</v>
      </c>
      <c r="F27" s="11"/>
      <c r="G27" s="11">
        <f>G26*0.04</f>
        <v>0</v>
      </c>
    </row>
    <row r="28" spans="1:14">
      <c r="A28" s="35" t="s">
        <v>244</v>
      </c>
      <c r="B28" s="11"/>
      <c r="C28" s="11">
        <f>C23-(C25+C26+C27)</f>
        <v>1558800</v>
      </c>
      <c r="E28" s="35" t="s">
        <v>244</v>
      </c>
      <c r="F28" s="11"/>
      <c r="G28" s="11">
        <f>G23-(G25+G26+G27)</f>
        <v>1593800</v>
      </c>
    </row>
    <row r="29" spans="1:14">
      <c r="A29" s="18"/>
    </row>
    <row r="30" spans="1:14">
      <c r="A30" s="18"/>
    </row>
    <row r="31" spans="1:14" ht="15.75" thickBot="1"/>
    <row r="32" spans="1:14" ht="37.5" customHeight="1" thickTop="1" thickBot="1">
      <c r="A32" s="129" t="s">
        <v>291</v>
      </c>
      <c r="B32" s="130"/>
      <c r="C32" s="130"/>
      <c r="D32" s="130"/>
      <c r="E32" s="130"/>
      <c r="F32" s="130"/>
      <c r="G32" s="130"/>
      <c r="H32" s="130"/>
      <c r="I32" s="131"/>
      <c r="L32" s="114" t="s">
        <v>382</v>
      </c>
      <c r="M32" s="115"/>
      <c r="N32" s="116"/>
    </row>
    <row r="33" spans="1:14" ht="15" customHeight="1" thickBot="1">
      <c r="A33" s="132"/>
      <c r="B33" s="133"/>
      <c r="C33" s="133"/>
      <c r="D33" s="133"/>
      <c r="E33" s="133"/>
      <c r="F33" s="133"/>
      <c r="G33" s="133"/>
      <c r="H33" s="133"/>
      <c r="I33" s="134"/>
      <c r="L33" s="117" t="s">
        <v>383</v>
      </c>
      <c r="M33" s="118"/>
      <c r="N33" s="87" t="s">
        <v>384</v>
      </c>
    </row>
    <row r="34" spans="1:14" ht="22.5" customHeight="1" thickBot="1">
      <c r="A34" s="86" t="s">
        <v>380</v>
      </c>
      <c r="B34" s="35" t="s">
        <v>272</v>
      </c>
      <c r="C34" s="85" t="s">
        <v>241</v>
      </c>
      <c r="D34" s="35" t="s">
        <v>245</v>
      </c>
      <c r="E34" s="35" t="s">
        <v>243</v>
      </c>
      <c r="F34" s="35" t="s">
        <v>248</v>
      </c>
      <c r="G34" s="35" t="s">
        <v>260</v>
      </c>
      <c r="H34" s="35" t="s">
        <v>263</v>
      </c>
      <c r="I34" s="35" t="s">
        <v>289</v>
      </c>
      <c r="L34" s="88">
        <v>250001</v>
      </c>
      <c r="M34" s="89">
        <v>500000</v>
      </c>
      <c r="N34" s="90">
        <v>0.05</v>
      </c>
    </row>
    <row r="35" spans="1:14" ht="15.75" thickBot="1">
      <c r="A35" s="11">
        <v>1</v>
      </c>
      <c r="B35" s="11">
        <v>2000000</v>
      </c>
      <c r="C35" s="11">
        <v>70000</v>
      </c>
      <c r="D35" s="11" t="e">
        <f>B35-(#REF!+C35)</f>
        <v>#REF!</v>
      </c>
      <c r="E35" s="11" t="e">
        <f>IF(D35&lt;250000,nil,IF(D35&lt;=500000,5%,IF(D35&lt;=1000000,20%,30%)))</f>
        <v>#REF!</v>
      </c>
      <c r="F35" s="11" t="e">
        <f>IF(D35&lt;=250000,nil,IF(D35&lt;=500000,(D35-250000)*0.05,IF(D35&lt;=1000000,12500+(D35-500000)*0.2,12500+100000+(D35-1000000)*0.3)))</f>
        <v>#REF!</v>
      </c>
      <c r="G35" s="11" t="e">
        <f>IF(D35&lt;5000000,0,IF(AND(D35&gt;5000000,D35&lt;=10000000),D35*0.1,IF(AND(D35&gt;10000000,D35&lt;=20000000),D35*0.15,IF(AND(D35&gt;20000000,D35&lt;=50000000),D35*0.25,D35*0.37))))</f>
        <v>#REF!</v>
      </c>
      <c r="H35" s="11" t="e">
        <f>G35*0.04</f>
        <v>#REF!</v>
      </c>
      <c r="I35" s="11" t="e">
        <f>D35-SUM(E35:H35)</f>
        <v>#REF!</v>
      </c>
      <c r="L35" s="88">
        <v>500001</v>
      </c>
      <c r="M35" s="89">
        <v>1000000</v>
      </c>
      <c r="N35" s="90">
        <v>0.2</v>
      </c>
    </row>
    <row r="36" spans="1:14" ht="15.75" thickBot="1">
      <c r="A36" s="11">
        <v>2</v>
      </c>
      <c r="B36" s="11">
        <v>550000000</v>
      </c>
      <c r="C36" s="11"/>
      <c r="D36" s="11">
        <v>550000000</v>
      </c>
      <c r="E36" s="11">
        <f>IF(D36&lt;250000,nil,IF(D36&lt;=500000,5%,IF(D36&lt;=1000000,20%,30%)))</f>
        <v>0.3</v>
      </c>
      <c r="F36" s="11">
        <f>IF(D36&lt;=250000,nil,IF(D36&lt;=500000,(D36-250000)*0.05,IF(D36&lt;=1000000,12500+(D36-500000)*0.2,12500+100000+(D36-1000000)*0.3)))</f>
        <v>164812500</v>
      </c>
      <c r="G36" s="11">
        <f t="shared" ref="G36:G37" si="0">IF(D36&lt;5000000,0,IF(AND(D36&gt;5000000,D36&lt;=10000000),D36*0.1,IF(AND(D36&gt;10000000,D36&lt;=20000000),D36*0.15,IF(AND(D36&gt;20000000,D36&lt;=50000000),D36*0.25,D36*0.37))))</f>
        <v>203500000</v>
      </c>
      <c r="H36" s="11">
        <f t="shared" ref="H36:H37" si="1">G36*0.04</f>
        <v>8140000</v>
      </c>
      <c r="I36" s="11">
        <f t="shared" ref="I36:I37" si="2">D36-SUM(E36:H36)</f>
        <v>173547499.69999999</v>
      </c>
      <c r="L36" s="103" t="s">
        <v>385</v>
      </c>
      <c r="M36" s="104"/>
      <c r="N36" s="91">
        <v>0.3</v>
      </c>
    </row>
    <row r="37" spans="1:14" ht="15.75" thickTop="1">
      <c r="A37" s="11">
        <v>3</v>
      </c>
      <c r="B37" s="11">
        <v>6000000</v>
      </c>
      <c r="C37" s="11"/>
      <c r="D37" s="11">
        <v>6000000</v>
      </c>
      <c r="E37" s="11">
        <f>IF(D37&lt;250000,nil,IF(D37&lt;=500000,5%,IF(D37&lt;=1000000,20%,30%)))</f>
        <v>0.3</v>
      </c>
      <c r="F37" s="11">
        <f>IF(D37&lt;=250000,nil,IF(D37&lt;=500000,(D37-250000)*0.05,IF(D37&lt;=1000000,12500+(D37-500000)*0.2,12500+100000+(D37-1000000)*0.3)))</f>
        <v>1612500</v>
      </c>
      <c r="G37" s="11">
        <f t="shared" si="0"/>
        <v>600000</v>
      </c>
      <c r="H37" s="11">
        <f t="shared" si="1"/>
        <v>24000</v>
      </c>
      <c r="I37" s="11">
        <f t="shared" si="2"/>
        <v>3763499.7</v>
      </c>
    </row>
    <row r="38" spans="1:14">
      <c r="B38" s="111" t="s">
        <v>381</v>
      </c>
      <c r="C38" s="112"/>
      <c r="D38" s="112"/>
      <c r="E38" s="112"/>
      <c r="F38" s="113"/>
    </row>
    <row r="40" spans="1:14" ht="15" customHeight="1">
      <c r="A40" s="129" t="s">
        <v>290</v>
      </c>
      <c r="B40" s="130"/>
      <c r="C40" s="130"/>
      <c r="D40" s="130"/>
      <c r="E40" s="130"/>
      <c r="F40" s="130"/>
      <c r="G40" s="130"/>
      <c r="H40" s="130"/>
      <c r="I40" s="131"/>
    </row>
    <row r="41" spans="1:14" ht="15" customHeight="1" thickBot="1">
      <c r="A41" s="132"/>
      <c r="B41" s="133"/>
      <c r="C41" s="133"/>
      <c r="D41" s="133"/>
      <c r="E41" s="133"/>
      <c r="F41" s="133"/>
      <c r="G41" s="133"/>
      <c r="H41" s="133"/>
      <c r="I41" s="134"/>
    </row>
    <row r="42" spans="1:14" ht="37.5" customHeight="1" thickTop="1" thickBot="1">
      <c r="A42" s="86" t="s">
        <v>380</v>
      </c>
      <c r="B42" s="35" t="s">
        <v>272</v>
      </c>
      <c r="C42" s="85" t="s">
        <v>241</v>
      </c>
      <c r="D42" s="35" t="s">
        <v>245</v>
      </c>
      <c r="E42" s="35" t="s">
        <v>243</v>
      </c>
      <c r="F42" s="35" t="s">
        <v>248</v>
      </c>
      <c r="G42" s="35" t="s">
        <v>260</v>
      </c>
      <c r="H42" s="35" t="s">
        <v>263</v>
      </c>
      <c r="I42" s="35" t="s">
        <v>289</v>
      </c>
      <c r="L42" s="114" t="s">
        <v>386</v>
      </c>
      <c r="M42" s="115"/>
      <c r="N42" s="116"/>
    </row>
    <row r="43" spans="1:14" ht="15.75" thickBot="1">
      <c r="A43" s="11">
        <v>1</v>
      </c>
      <c r="B43" s="11">
        <v>2000000</v>
      </c>
      <c r="C43" s="11">
        <v>70000</v>
      </c>
      <c r="D43" s="11">
        <f>B43-C43</f>
        <v>1930000</v>
      </c>
      <c r="E43" s="11">
        <f>IF(D43&lt;300000,nil,IF(AND(D43&gt;300000,D43&lt;=600000),5%,IF(AND(D43&gt;600000,D43&lt;=900000),10%,IF(AND(D43&gt;900000,D43&lt;=1200000),15%,IF(AND(D43&gt;1200000,D43&lt;=1500000),20%,30%)))))</f>
        <v>0.3</v>
      </c>
      <c r="F43" s="11">
        <f>IF(D43&lt;=300000,nil,IF(D43&lt;=600000,(D43-300000)*0.05,IF(D43&lt;=900000,15000+(D43-600000)*0.1,IF(D43&lt;=1200000,15000+30000+(D43-900000)*0.15,IF(D43&lt;=1500000,15000+30000+45000+(D43-1200000)*0.2,15000+30000+45000+60000+(D43-1500000)*0.3)))))</f>
        <v>279000</v>
      </c>
      <c r="G43" s="11">
        <f>IF(D43&lt;5000000,0,IF(AND(D43&gt;=50000000,D43&lt;=10000000),D43*0.1,IF(AND(D43&gt;10000000,D43&lt;=20000000),D43*0.15,IF(AND(D43&gt;20000000,D43&lt;=50000000),D43*0.25,D43*0.37))))</f>
        <v>0</v>
      </c>
      <c r="H43" s="11">
        <f>G43*0.04</f>
        <v>0</v>
      </c>
      <c r="I43" s="11">
        <f>D43-SUM(F43:H43)</f>
        <v>1651000</v>
      </c>
      <c r="L43" s="117" t="s">
        <v>387</v>
      </c>
      <c r="M43" s="118"/>
      <c r="N43" s="87" t="s">
        <v>384</v>
      </c>
    </row>
    <row r="44" spans="1:14" ht="15.75" thickBot="1">
      <c r="A44" s="11">
        <v>2</v>
      </c>
      <c r="B44" s="11"/>
      <c r="C44" s="11"/>
      <c r="D44" s="11">
        <v>550000000</v>
      </c>
      <c r="E44" s="11">
        <f>IF(D44&lt;300000,nil,IF(AND(D44&gt;300000,D44&lt;=600000),5%,IF(AND(D44&gt;600000,D44&lt;=900000),10%,IF(AND(D44&gt;900000,D44&lt;=1200000),15%,IF(AND(D44&gt;1200000,D44&lt;=1500000),20%,30%)))))</f>
        <v>0.3</v>
      </c>
      <c r="F44" s="11">
        <f>IF(D44&lt;=300000,nil,IF(D44&lt;=600000,(D44-300000)*0.05,IF(D44&lt;=900000,15000+(D44-600000)*0.1,IF(D44&lt;=1200000,15000+30000+(D44-900000)*0.15,IF(D44&lt;=1500000,15000+30000+45000+(D44-1200000)*0.2,15000+30000+45000+60000+(D44-1500000)*0.3)))))</f>
        <v>164700000</v>
      </c>
      <c r="G44" s="11">
        <f t="shared" ref="G44:G45" si="3">IF(D44&lt;5000000,0,IF(AND(D44&gt;=50000000,D44&lt;=10000000),D44*0.1,IF(AND(D44&gt;10000000,D44&lt;=20000000),D44*0.15,IF(AND(D44&gt;20000000,D44&lt;=50000000),D44*0.25,D44*0.37))))</f>
        <v>203500000</v>
      </c>
      <c r="H44" s="11">
        <f t="shared" ref="H44:H45" si="4">G44*0.04</f>
        <v>8140000</v>
      </c>
      <c r="I44" s="11">
        <f t="shared" ref="I44:I45" si="5">D44-SUM(F44:H44)</f>
        <v>173660000</v>
      </c>
      <c r="L44" s="88">
        <v>300001</v>
      </c>
      <c r="M44" s="89">
        <v>600000</v>
      </c>
      <c r="N44" s="90">
        <v>0.05</v>
      </c>
    </row>
    <row r="45" spans="1:14" ht="15.75" thickBot="1">
      <c r="A45" s="11">
        <v>3</v>
      </c>
      <c r="B45" s="11"/>
      <c r="C45" s="11"/>
      <c r="D45" s="11">
        <v>6000000</v>
      </c>
      <c r="E45" s="11">
        <f>IF(D45&lt;300000,nil,IF(AND(D45&gt;300000,D45&lt;=600000),5%,IF(AND(D45&gt;600000,D45&lt;=900000),10%,IF(AND(D45&gt;900000,D45&lt;=1200000),15%,IF(AND(D45&gt;1200000,D45&lt;=1500000),20%,30%)))))</f>
        <v>0.3</v>
      </c>
      <c r="F45" s="11">
        <f>IF(D45&lt;=300000,nil,IF(D45&lt;=600000,(D45-300000)*0.05,IF(D45&lt;=900000,15000+(D45-600000)*0.1,IF(D45&lt;=1200000,15000+30000+(D45-900000)*0.15,IF(D45&lt;=1500000,15000+30000+45000+(D45-1200000)*0.2,15000+30000+45000+60000+(D45-1500000)*0.3)))))</f>
        <v>1500000</v>
      </c>
      <c r="G45" s="11">
        <f t="shared" si="3"/>
        <v>2220000</v>
      </c>
      <c r="H45" s="11">
        <f t="shared" si="4"/>
        <v>88800</v>
      </c>
      <c r="I45" s="11">
        <f t="shared" si="5"/>
        <v>2191200</v>
      </c>
      <c r="L45" s="88">
        <v>600001</v>
      </c>
      <c r="M45" s="89">
        <v>900000</v>
      </c>
      <c r="N45" s="90">
        <v>0.1</v>
      </c>
    </row>
    <row r="46" spans="1:14" ht="15.75" thickBot="1">
      <c r="B46" s="111" t="s">
        <v>381</v>
      </c>
      <c r="C46" s="112"/>
      <c r="D46" s="112"/>
      <c r="E46" s="112"/>
      <c r="F46" s="113"/>
      <c r="L46" s="88">
        <v>900001</v>
      </c>
      <c r="M46" s="89">
        <v>1200000</v>
      </c>
      <c r="N46" s="90">
        <v>0.15</v>
      </c>
    </row>
    <row r="47" spans="1:14" ht="15.75" thickBot="1">
      <c r="L47" s="88">
        <v>1200001</v>
      </c>
      <c r="M47" s="89">
        <v>1500000</v>
      </c>
      <c r="N47" s="90">
        <v>0.2</v>
      </c>
    </row>
    <row r="48" spans="1:14" ht="15.75" thickBot="1">
      <c r="L48" s="103" t="s">
        <v>388</v>
      </c>
      <c r="M48" s="104"/>
      <c r="N48" s="91">
        <v>0.3</v>
      </c>
    </row>
    <row r="49" ht="15.75" thickTop="1"/>
  </sheetData>
  <mergeCells count="20">
    <mergeCell ref="A4:C6"/>
    <mergeCell ref="E4:G6"/>
    <mergeCell ref="A32:I33"/>
    <mergeCell ref="A40:I41"/>
    <mergeCell ref="B1:F3"/>
    <mergeCell ref="L48:M48"/>
    <mergeCell ref="E22:F22"/>
    <mergeCell ref="A7:A8"/>
    <mergeCell ref="E7:E8"/>
    <mergeCell ref="B46:F46"/>
    <mergeCell ref="B38:F38"/>
    <mergeCell ref="L32:N32"/>
    <mergeCell ref="L33:M33"/>
    <mergeCell ref="L36:M36"/>
    <mergeCell ref="L42:N42"/>
    <mergeCell ref="L43:M43"/>
    <mergeCell ref="A9:B9"/>
    <mergeCell ref="A23:B23"/>
    <mergeCell ref="E9:F9"/>
    <mergeCell ref="E23:F23"/>
  </mergeCells>
  <dataValidations count="1">
    <dataValidation type="list" allowBlank="1" showInputMessage="1" showErrorMessage="1" sqref="D49">
      <formula1>"old,new"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2" sqref="D2"/>
    </sheetView>
  </sheetViews>
  <sheetFormatPr defaultRowHeight="15"/>
  <cols>
    <col min="1" max="2" width="11" customWidth="1"/>
    <col min="4" max="4" width="15.5703125" bestFit="1" customWidth="1"/>
  </cols>
  <sheetData>
    <row r="1" spans="1:16">
      <c r="A1">
        <v>50</v>
      </c>
      <c r="B1" t="str">
        <f>IF(A1&gt;40,"yes","no")</f>
        <v>yes</v>
      </c>
      <c r="C1">
        <f>COUNTIF(A1:A3,"&gt;40")</f>
        <v>2</v>
      </c>
    </row>
    <row r="2" spans="1:16">
      <c r="A2">
        <v>30</v>
      </c>
      <c r="B2" t="str">
        <f t="shared" ref="B2:B3" si="0">IF(A2&gt;40,"yes","no")</f>
        <v>no</v>
      </c>
      <c r="D2" s="20">
        <f ca="1">NOW()</f>
        <v>45623.549139351853</v>
      </c>
    </row>
    <row r="3" spans="1:16">
      <c r="A3">
        <v>80</v>
      </c>
      <c r="B3" t="str">
        <f t="shared" si="0"/>
        <v>yes</v>
      </c>
      <c r="D3" s="21">
        <f ca="1">TODAY()</f>
        <v>45623</v>
      </c>
      <c r="G3" t="s">
        <v>304</v>
      </c>
      <c r="H3">
        <f>LEN(G3)</f>
        <v>5</v>
      </c>
    </row>
    <row r="5" spans="1:16">
      <c r="G5" t="s">
        <v>303</v>
      </c>
      <c r="H5">
        <v>30</v>
      </c>
    </row>
    <row r="6" spans="1:16" ht="45">
      <c r="G6" t="s">
        <v>302</v>
      </c>
      <c r="H6">
        <v>44</v>
      </c>
      <c r="I6" t="str">
        <f>CONCATENATE(G6,"  ",H6)</f>
        <v>banana  44</v>
      </c>
      <c r="M6" s="30" t="s">
        <v>321</v>
      </c>
      <c r="N6" s="30" t="s">
        <v>322</v>
      </c>
    </row>
    <row r="7" spans="1:16">
      <c r="G7" t="s">
        <v>303</v>
      </c>
      <c r="H7">
        <v>55</v>
      </c>
      <c r="M7" s="31">
        <v>0</v>
      </c>
      <c r="N7" s="32">
        <v>0.05</v>
      </c>
      <c r="P7" t="e">
        <f>VLOOKUP(Sheet11E7,Sheet10!M7:N10,2,1)</f>
        <v>#NAME?</v>
      </c>
    </row>
    <row r="8" spans="1:16">
      <c r="H8">
        <f>SUMIF(G5:G7,"apple",H5:H7)</f>
        <v>85</v>
      </c>
      <c r="M8" s="31">
        <v>50000</v>
      </c>
      <c r="N8" s="32">
        <v>0.1</v>
      </c>
    </row>
    <row r="9" spans="1:16">
      <c r="H9">
        <f>SUMIF(G5:G7,"banana",H5:H7)</f>
        <v>44</v>
      </c>
      <c r="M9" s="31">
        <v>60000</v>
      </c>
      <c r="N9" s="32">
        <v>0.15</v>
      </c>
    </row>
    <row r="10" spans="1:16">
      <c r="M10" s="31">
        <v>70000</v>
      </c>
      <c r="N10" s="32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12"/>
  <sheetViews>
    <sheetView workbookViewId="0">
      <selection activeCell="M1" sqref="M1"/>
    </sheetView>
  </sheetViews>
  <sheetFormatPr defaultRowHeight="15"/>
  <cols>
    <col min="9" max="9" width="11.28515625" customWidth="1"/>
  </cols>
  <sheetData>
    <row r="5" spans="2:19" ht="45">
      <c r="B5" s="25" t="s">
        <v>305</v>
      </c>
      <c r="C5" s="25" t="s">
        <v>306</v>
      </c>
      <c r="D5" s="25" t="s">
        <v>307</v>
      </c>
      <c r="E5" s="25" t="s">
        <v>252</v>
      </c>
      <c r="F5" s="25" t="s">
        <v>308</v>
      </c>
      <c r="G5" s="22" t="s">
        <v>320</v>
      </c>
      <c r="H5" s="22" t="s">
        <v>323</v>
      </c>
    </row>
    <row r="6" spans="2:19" ht="30">
      <c r="B6" s="26">
        <v>1001</v>
      </c>
      <c r="C6" s="26" t="s">
        <v>309</v>
      </c>
      <c r="D6" s="26" t="s">
        <v>310</v>
      </c>
      <c r="E6" s="26">
        <v>50000</v>
      </c>
      <c r="F6" s="27">
        <v>0.1</v>
      </c>
      <c r="G6">
        <f>E6*F6</f>
        <v>5000</v>
      </c>
      <c r="H6">
        <f>IF(E6&lt;=50000,E6*0.05,IF(E6&lt;60000,E6*0.1,IF(E6&lt;70000,E6*0.15,E6*0.2)))</f>
        <v>2500</v>
      </c>
      <c r="I6" t="s">
        <v>324</v>
      </c>
      <c r="J6" t="s">
        <v>216</v>
      </c>
      <c r="K6" t="s">
        <v>325</v>
      </c>
    </row>
    <row r="7" spans="2:19" ht="45">
      <c r="B7" s="26">
        <v>1002</v>
      </c>
      <c r="C7" s="26" t="s">
        <v>311</v>
      </c>
      <c r="D7" s="26" t="s">
        <v>312</v>
      </c>
      <c r="E7" s="26">
        <v>55000</v>
      </c>
      <c r="F7" s="27">
        <v>0.12</v>
      </c>
      <c r="G7" s="23">
        <f t="shared" ref="G7:G10" si="0">E7*F7</f>
        <v>6600</v>
      </c>
      <c r="H7" s="28">
        <f t="shared" ref="H7:H10" si="1">IF(E7&lt;=50000,E7*0.05,IF(E7&lt;60000,E7*0.1,IF(E7&lt;70000,E7*0.15,E7*0.2)))</f>
        <v>5500</v>
      </c>
      <c r="I7" t="s">
        <v>319</v>
      </c>
      <c r="J7">
        <f>VLOOKUP(I7,C6:E11,3,0)</f>
        <v>55000</v>
      </c>
      <c r="K7">
        <f>VLOOKUP(E6,R8:S11,2,1)</f>
        <v>0.1</v>
      </c>
      <c r="R7" s="30" t="s">
        <v>321</v>
      </c>
      <c r="S7" s="30" t="s">
        <v>322</v>
      </c>
    </row>
    <row r="8" spans="2:19" ht="30">
      <c r="B8" s="26">
        <v>1003</v>
      </c>
      <c r="C8" s="26" t="s">
        <v>313</v>
      </c>
      <c r="D8" s="26" t="s">
        <v>314</v>
      </c>
      <c r="E8" s="26">
        <v>62000</v>
      </c>
      <c r="F8" s="27">
        <v>0.15</v>
      </c>
      <c r="G8" s="23">
        <f t="shared" si="0"/>
        <v>9300</v>
      </c>
      <c r="H8" s="28">
        <f t="shared" si="1"/>
        <v>9300</v>
      </c>
      <c r="R8" s="31">
        <v>0</v>
      </c>
      <c r="S8" s="32">
        <v>0.05</v>
      </c>
    </row>
    <row r="9" spans="2:19" ht="30">
      <c r="B9" s="26">
        <v>1004</v>
      </c>
      <c r="C9" s="26" t="s">
        <v>315</v>
      </c>
      <c r="D9" s="26" t="s">
        <v>316</v>
      </c>
      <c r="E9" s="26">
        <v>68000</v>
      </c>
      <c r="F9" s="27">
        <v>0.11</v>
      </c>
      <c r="G9" s="23">
        <f t="shared" si="0"/>
        <v>7480</v>
      </c>
      <c r="H9" s="28">
        <f t="shared" si="1"/>
        <v>10200</v>
      </c>
      <c r="R9" s="31">
        <v>50000</v>
      </c>
      <c r="S9" s="32">
        <v>0.1</v>
      </c>
    </row>
    <row r="10" spans="2:19" ht="30">
      <c r="B10" s="26">
        <v>1005</v>
      </c>
      <c r="C10" s="26" t="s">
        <v>317</v>
      </c>
      <c r="D10" s="26" t="s">
        <v>318</v>
      </c>
      <c r="E10" s="26">
        <v>54000</v>
      </c>
      <c r="F10" s="27">
        <v>0.09</v>
      </c>
      <c r="G10" s="23">
        <f t="shared" si="0"/>
        <v>4860</v>
      </c>
      <c r="H10" s="28">
        <f t="shared" si="1"/>
        <v>5400</v>
      </c>
      <c r="R10" s="31">
        <v>60000</v>
      </c>
      <c r="S10" s="32">
        <v>0.15</v>
      </c>
    </row>
    <row r="11" spans="2:19">
      <c r="B11" s="24"/>
      <c r="C11" s="23"/>
      <c r="D11" s="23"/>
      <c r="E11" s="23"/>
      <c r="F11" s="23"/>
      <c r="R11" s="31">
        <v>70000</v>
      </c>
      <c r="S11" s="32">
        <v>0.2</v>
      </c>
    </row>
    <row r="12" spans="2:19">
      <c r="R12" s="29"/>
      <c r="S12" s="2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abSelected="1" topLeftCell="A38" workbookViewId="0">
      <selection activeCell="I56" sqref="I56"/>
    </sheetView>
  </sheetViews>
  <sheetFormatPr defaultRowHeight="15"/>
  <cols>
    <col min="4" max="4" width="11.42578125" customWidth="1"/>
    <col min="5" max="5" width="11.140625" customWidth="1"/>
    <col min="7" max="7" width="10.7109375" customWidth="1"/>
  </cols>
  <sheetData>
    <row r="2" spans="2:7">
      <c r="C2" s="136" t="s">
        <v>378</v>
      </c>
      <c r="D2" s="136"/>
      <c r="E2" s="136"/>
      <c r="F2" s="136"/>
      <c r="G2" s="136"/>
    </row>
    <row r="3" spans="2:7">
      <c r="C3" s="136"/>
      <c r="D3" s="136"/>
      <c r="E3" s="136"/>
      <c r="F3" s="136"/>
      <c r="G3" s="136"/>
    </row>
    <row r="6" spans="2:7">
      <c r="B6" s="67" t="s">
        <v>361</v>
      </c>
      <c r="C6" s="65"/>
      <c r="D6" s="65"/>
      <c r="E6" s="65"/>
      <c r="F6" s="65"/>
    </row>
    <row r="7" spans="2:7">
      <c r="B7" s="66"/>
      <c r="C7" s="65"/>
      <c r="D7" s="65"/>
      <c r="E7" s="65"/>
      <c r="F7" s="65"/>
    </row>
    <row r="8" spans="2:7" ht="45">
      <c r="B8" s="69" t="s">
        <v>305</v>
      </c>
      <c r="C8" s="69" t="s">
        <v>306</v>
      </c>
      <c r="D8" s="69" t="s">
        <v>307</v>
      </c>
      <c r="E8" s="69" t="s">
        <v>252</v>
      </c>
      <c r="F8" s="69" t="s">
        <v>308</v>
      </c>
    </row>
    <row r="9" spans="2:7" ht="30">
      <c r="B9" s="70">
        <v>1001</v>
      </c>
      <c r="C9" s="70" t="s">
        <v>309</v>
      </c>
      <c r="D9" s="70" t="s">
        <v>310</v>
      </c>
      <c r="E9" s="70">
        <v>50000</v>
      </c>
      <c r="F9" s="71">
        <v>0.1</v>
      </c>
    </row>
    <row r="10" spans="2:7" ht="30">
      <c r="B10" s="70">
        <v>1002</v>
      </c>
      <c r="C10" s="70" t="s">
        <v>311</v>
      </c>
      <c r="D10" s="70" t="s">
        <v>312</v>
      </c>
      <c r="E10" s="70">
        <v>55000</v>
      </c>
      <c r="F10" s="71">
        <v>0.12</v>
      </c>
    </row>
    <row r="11" spans="2:7" ht="30">
      <c r="B11" s="70">
        <v>1003</v>
      </c>
      <c r="C11" s="70" t="s">
        <v>313</v>
      </c>
      <c r="D11" s="70" t="s">
        <v>314</v>
      </c>
      <c r="E11" s="70">
        <v>62000</v>
      </c>
      <c r="F11" s="71">
        <v>0.15</v>
      </c>
    </row>
    <row r="12" spans="2:7" ht="30">
      <c r="B12" s="70">
        <v>1004</v>
      </c>
      <c r="C12" s="70" t="s">
        <v>315</v>
      </c>
      <c r="D12" s="70" t="s">
        <v>316</v>
      </c>
      <c r="E12" s="70">
        <v>68000</v>
      </c>
      <c r="F12" s="71">
        <v>0.11</v>
      </c>
    </row>
    <row r="13" spans="2:7" ht="30">
      <c r="B13" s="70">
        <v>1005</v>
      </c>
      <c r="C13" s="70" t="s">
        <v>317</v>
      </c>
      <c r="D13" s="70" t="s">
        <v>318</v>
      </c>
      <c r="E13" s="70">
        <v>54000</v>
      </c>
      <c r="F13" s="71">
        <v>0.09</v>
      </c>
    </row>
    <row r="14" spans="2:7">
      <c r="B14" s="66"/>
      <c r="C14" s="65"/>
      <c r="D14" s="65"/>
      <c r="E14" s="65"/>
      <c r="F14" s="65"/>
    </row>
    <row r="15" spans="2:7">
      <c r="B15" s="67" t="s">
        <v>362</v>
      </c>
      <c r="C15" s="65"/>
      <c r="D15" s="65"/>
      <c r="E15" s="65"/>
      <c r="F15" s="65"/>
    </row>
    <row r="16" spans="2:7">
      <c r="B16" s="66"/>
      <c r="C16" s="65"/>
      <c r="D16" s="65"/>
      <c r="E16" s="65"/>
      <c r="F16" s="65"/>
    </row>
    <row r="17" spans="2:7">
      <c r="B17" s="66"/>
      <c r="C17" s="65"/>
    </row>
    <row r="18" spans="2:7">
      <c r="B18" s="68" t="s">
        <v>363</v>
      </c>
      <c r="C18" s="65"/>
    </row>
    <row r="19" spans="2:7">
      <c r="B19" s="68" t="s">
        <v>364</v>
      </c>
      <c r="C19" s="65"/>
    </row>
    <row r="20" spans="2:7" s="65" customFormat="1">
      <c r="B20" s="68"/>
    </row>
    <row r="21" spans="2:7" s="65" customFormat="1" ht="18.75" customHeight="1">
      <c r="B21" s="68"/>
      <c r="D21" s="72" t="s">
        <v>159</v>
      </c>
      <c r="E21" s="72" t="s">
        <v>374</v>
      </c>
    </row>
    <row r="22" spans="2:7" s="65" customFormat="1" ht="25.5" customHeight="1">
      <c r="B22" s="68"/>
      <c r="D22" s="11" t="s">
        <v>315</v>
      </c>
      <c r="E22" s="11">
        <f>VLOOKUP(D22,C9:F13,3,0)</f>
        <v>68000</v>
      </c>
    </row>
    <row r="23" spans="2:7">
      <c r="B23" s="66"/>
      <c r="C23" s="65"/>
    </row>
    <row r="24" spans="2:7">
      <c r="B24" s="67" t="s">
        <v>365</v>
      </c>
      <c r="C24" s="65"/>
    </row>
    <row r="25" spans="2:7">
      <c r="B25" s="66"/>
      <c r="C25" s="65"/>
    </row>
    <row r="26" spans="2:7">
      <c r="B26" s="68" t="s">
        <v>366</v>
      </c>
      <c r="C26" s="65"/>
    </row>
    <row r="27" spans="2:7">
      <c r="B27" s="68" t="s">
        <v>367</v>
      </c>
      <c r="C27" s="65"/>
    </row>
    <row r="28" spans="2:7">
      <c r="B28" s="68" t="s">
        <v>368</v>
      </c>
      <c r="C28" s="65"/>
    </row>
    <row r="29" spans="2:7" s="65" customFormat="1">
      <c r="B29" s="68"/>
    </row>
    <row r="30" spans="2:7" s="65" customFormat="1" ht="45">
      <c r="B30" s="69" t="s">
        <v>305</v>
      </c>
      <c r="C30" s="69" t="s">
        <v>306</v>
      </c>
      <c r="D30" s="69" t="s">
        <v>307</v>
      </c>
      <c r="E30" s="69" t="s">
        <v>252</v>
      </c>
      <c r="F30" s="69" t="s">
        <v>308</v>
      </c>
      <c r="G30" s="78" t="s">
        <v>375</v>
      </c>
    </row>
    <row r="31" spans="2:7" s="65" customFormat="1" ht="30">
      <c r="B31" s="70">
        <v>1001</v>
      </c>
      <c r="C31" s="70" t="s">
        <v>309</v>
      </c>
      <c r="D31" s="70" t="s">
        <v>310</v>
      </c>
      <c r="E31" s="70">
        <v>50000</v>
      </c>
      <c r="F31" s="71">
        <v>0.1</v>
      </c>
      <c r="G31" s="79">
        <f>E31*F31</f>
        <v>5000</v>
      </c>
    </row>
    <row r="32" spans="2:7" s="65" customFormat="1" ht="30">
      <c r="B32" s="70">
        <v>1002</v>
      </c>
      <c r="C32" s="70" t="s">
        <v>311</v>
      </c>
      <c r="D32" s="70" t="s">
        <v>312</v>
      </c>
      <c r="E32" s="70">
        <v>55000</v>
      </c>
      <c r="F32" s="71">
        <v>0.12</v>
      </c>
      <c r="G32" s="79">
        <f t="shared" ref="G32:G35" si="0">E32*F32</f>
        <v>6600</v>
      </c>
    </row>
    <row r="33" spans="2:10" s="65" customFormat="1" ht="30">
      <c r="B33" s="70">
        <v>1003</v>
      </c>
      <c r="C33" s="70" t="s">
        <v>313</v>
      </c>
      <c r="D33" s="70" t="s">
        <v>314</v>
      </c>
      <c r="E33" s="70">
        <v>62000</v>
      </c>
      <c r="F33" s="71">
        <v>0.15</v>
      </c>
      <c r="G33" s="79">
        <f t="shared" si="0"/>
        <v>9300</v>
      </c>
    </row>
    <row r="34" spans="2:10" s="65" customFormat="1" ht="30">
      <c r="B34" s="70">
        <v>1004</v>
      </c>
      <c r="C34" s="70" t="s">
        <v>315</v>
      </c>
      <c r="D34" s="70" t="s">
        <v>316</v>
      </c>
      <c r="E34" s="70">
        <v>68000</v>
      </c>
      <c r="F34" s="71">
        <v>0.11</v>
      </c>
      <c r="G34" s="79">
        <f t="shared" si="0"/>
        <v>7480</v>
      </c>
      <c r="H34" s="73"/>
      <c r="I34" s="73"/>
    </row>
    <row r="35" spans="2:10" s="65" customFormat="1" ht="30">
      <c r="B35" s="70">
        <v>1005</v>
      </c>
      <c r="C35" s="70" t="s">
        <v>317</v>
      </c>
      <c r="D35" s="70" t="s">
        <v>318</v>
      </c>
      <c r="E35" s="70">
        <v>54000</v>
      </c>
      <c r="F35" s="71">
        <v>0.09</v>
      </c>
      <c r="G35" s="79">
        <f t="shared" si="0"/>
        <v>4860</v>
      </c>
      <c r="H35" s="73"/>
      <c r="I35" s="73"/>
    </row>
    <row r="36" spans="2:10">
      <c r="B36" s="66"/>
      <c r="C36" s="65"/>
      <c r="D36" s="74"/>
      <c r="E36" s="75"/>
      <c r="F36" s="75"/>
      <c r="G36" s="74"/>
      <c r="H36" s="76"/>
      <c r="I36" s="77"/>
    </row>
    <row r="37" spans="2:10">
      <c r="B37" s="67" t="s">
        <v>369</v>
      </c>
      <c r="C37" s="65"/>
      <c r="D37" s="74"/>
      <c r="E37" s="75"/>
      <c r="F37" s="75"/>
      <c r="G37" s="74"/>
      <c r="H37" s="76"/>
      <c r="I37" s="77"/>
      <c r="J37" s="80"/>
    </row>
    <row r="38" spans="2:10">
      <c r="B38" s="66"/>
      <c r="C38" s="65"/>
      <c r="D38" s="74"/>
      <c r="E38" s="75"/>
      <c r="F38" s="75"/>
      <c r="G38" s="74"/>
      <c r="H38" s="76"/>
      <c r="I38" s="77"/>
    </row>
    <row r="39" spans="2:10">
      <c r="B39" s="66"/>
      <c r="C39" s="65"/>
      <c r="D39" s="74"/>
      <c r="E39" s="75"/>
      <c r="F39" s="75"/>
      <c r="G39" s="74"/>
      <c r="H39" s="76"/>
      <c r="I39" s="77"/>
    </row>
    <row r="40" spans="2:10">
      <c r="B40" s="68" t="s">
        <v>370</v>
      </c>
      <c r="C40" s="65"/>
      <c r="D40" s="74"/>
      <c r="E40" s="75"/>
      <c r="F40" s="75"/>
      <c r="G40" s="74"/>
      <c r="H40" s="76"/>
      <c r="I40" s="77"/>
    </row>
    <row r="41" spans="2:10" ht="45">
      <c r="B41" s="69" t="s">
        <v>321</v>
      </c>
      <c r="C41" s="69" t="s">
        <v>322</v>
      </c>
      <c r="G41" s="81" t="s">
        <v>376</v>
      </c>
      <c r="H41" s="81" t="s">
        <v>377</v>
      </c>
    </row>
    <row r="42" spans="2:10" ht="29.25" customHeight="1">
      <c r="B42" s="70">
        <v>0</v>
      </c>
      <c r="C42" s="71">
        <v>0.05</v>
      </c>
      <c r="G42" s="11" t="s">
        <v>315</v>
      </c>
      <c r="H42" s="11">
        <f>IF(VLOOKUP(G42,C31:G35,3,0)&lt;B43,5,IF(VLOOKUP(G42,C31:G35,3,0)&lt;B44,10,IF(VLOOKUP(G42,C31:G35,3,0)&lt;B45,15,IF(VLOOKUP(G42,C31:G35,3,0)&gt;B45,20))))</f>
        <v>15</v>
      </c>
    </row>
    <row r="43" spans="2:10">
      <c r="B43" s="70">
        <v>50000</v>
      </c>
      <c r="C43" s="71">
        <v>0.1</v>
      </c>
    </row>
    <row r="44" spans="2:10">
      <c r="B44" s="70">
        <v>60000</v>
      </c>
      <c r="C44" s="71">
        <v>0.15</v>
      </c>
    </row>
    <row r="45" spans="2:10">
      <c r="B45" s="70">
        <v>70000</v>
      </c>
      <c r="C45" s="71">
        <v>0.2</v>
      </c>
    </row>
    <row r="46" spans="2:10">
      <c r="B46" s="66"/>
      <c r="C46" s="65"/>
    </row>
    <row r="47" spans="2:10">
      <c r="B47" s="68" t="s">
        <v>371</v>
      </c>
      <c r="C47" s="65"/>
    </row>
    <row r="48" spans="2:10">
      <c r="B48" s="66"/>
      <c r="C48" s="65"/>
    </row>
    <row r="49" spans="2:3">
      <c r="B49" s="67" t="s">
        <v>372</v>
      </c>
      <c r="C49" s="65"/>
    </row>
    <row r="50" spans="2:3">
      <c r="B50" s="66"/>
      <c r="C50" s="65"/>
    </row>
    <row r="51" spans="2:3">
      <c r="B51" s="66"/>
      <c r="C51" s="65"/>
    </row>
    <row r="52" spans="2:3">
      <c r="B52" s="68" t="s">
        <v>373</v>
      </c>
      <c r="C52" s="65"/>
    </row>
  </sheetData>
  <mergeCells count="1">
    <mergeCell ref="C2:G3"/>
  </mergeCells>
  <dataValidations count="2">
    <dataValidation type="list" allowBlank="1" showInputMessage="1" showErrorMessage="1" sqref="D22">
      <formula1>$C$9:$C$13</formula1>
    </dataValidation>
    <dataValidation type="list" allowBlank="1" showInputMessage="1" showErrorMessage="1" sqref="G42">
      <formula1>$C$31:$C$35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K1"/>
    </sheetView>
  </sheetViews>
  <sheetFormatPr defaultRowHeight="15"/>
  <cols>
    <col min="1" max="1" width="15.28515625" style="62" customWidth="1"/>
    <col min="2" max="2" width="9.85546875" style="62" customWidth="1"/>
    <col min="3" max="3" width="10.140625" style="62" customWidth="1"/>
    <col min="4" max="4" width="11.85546875" style="62" customWidth="1"/>
    <col min="5" max="5" width="9.140625" style="62"/>
    <col min="6" max="6" width="9.7109375" style="62" customWidth="1"/>
    <col min="7" max="7" width="11.5703125" style="62" customWidth="1"/>
    <col min="8" max="8" width="14.42578125" style="62" customWidth="1"/>
    <col min="9" max="10" width="12.5703125" style="62" customWidth="1"/>
    <col min="11" max="11" width="13" style="62" customWidth="1"/>
    <col min="12" max="16384" width="9.140625" style="62"/>
  </cols>
  <sheetData>
    <row r="1" spans="1:11" ht="19.5">
      <c r="A1" s="137" t="s">
        <v>326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>
      <c r="A2" s="11" t="s">
        <v>305</v>
      </c>
      <c r="B2" s="11">
        <v>101</v>
      </c>
      <c r="C2" s="11">
        <v>102</v>
      </c>
      <c r="D2" s="11">
        <v>103</v>
      </c>
      <c r="E2" s="11">
        <v>104</v>
      </c>
      <c r="F2" s="11">
        <v>105</v>
      </c>
      <c r="G2" s="11">
        <v>106</v>
      </c>
      <c r="H2" s="11">
        <v>107</v>
      </c>
      <c r="I2" s="11">
        <v>108</v>
      </c>
      <c r="J2" s="11">
        <v>109</v>
      </c>
      <c r="K2" s="11">
        <v>110</v>
      </c>
    </row>
    <row r="3" spans="1:11">
      <c r="A3" s="11" t="s">
        <v>327</v>
      </c>
      <c r="B3" s="11" t="s">
        <v>330</v>
      </c>
      <c r="C3" s="11" t="s">
        <v>331</v>
      </c>
      <c r="D3" s="11" t="s">
        <v>332</v>
      </c>
      <c r="E3" s="11" t="s">
        <v>333</v>
      </c>
      <c r="F3" s="11" t="s">
        <v>334</v>
      </c>
      <c r="G3" s="11" t="s">
        <v>335</v>
      </c>
      <c r="H3" s="11" t="s">
        <v>336</v>
      </c>
      <c r="I3" s="11" t="s">
        <v>337</v>
      </c>
      <c r="J3" s="11" t="s">
        <v>338</v>
      </c>
      <c r="K3" s="11" t="s">
        <v>339</v>
      </c>
    </row>
    <row r="4" spans="1:11">
      <c r="A4" s="11" t="s">
        <v>307</v>
      </c>
      <c r="B4" s="11" t="s">
        <v>310</v>
      </c>
      <c r="C4" s="11" t="s">
        <v>312</v>
      </c>
      <c r="D4" s="11" t="s">
        <v>314</v>
      </c>
      <c r="E4" s="11" t="s">
        <v>316</v>
      </c>
      <c r="F4" s="11" t="s">
        <v>310</v>
      </c>
      <c r="G4" s="11" t="s">
        <v>312</v>
      </c>
      <c r="H4" s="11" t="s">
        <v>314</v>
      </c>
      <c r="I4" s="11" t="s">
        <v>316</v>
      </c>
      <c r="J4" s="11" t="s">
        <v>310</v>
      </c>
      <c r="K4" s="11" t="s">
        <v>312</v>
      </c>
    </row>
    <row r="5" spans="1:11">
      <c r="A5" s="11" t="s">
        <v>252</v>
      </c>
      <c r="B5" s="11">
        <v>50000</v>
      </c>
      <c r="C5" s="11">
        <v>55000</v>
      </c>
      <c r="D5" s="11">
        <v>60000</v>
      </c>
      <c r="E5" s="11">
        <v>65000</v>
      </c>
      <c r="F5" s="11">
        <v>70000</v>
      </c>
      <c r="G5" s="11">
        <v>75000</v>
      </c>
      <c r="H5" s="11">
        <v>80000</v>
      </c>
      <c r="I5" s="11">
        <v>85000</v>
      </c>
      <c r="J5" s="11">
        <v>90000</v>
      </c>
      <c r="K5" s="11">
        <v>95000</v>
      </c>
    </row>
    <row r="6" spans="1:11">
      <c r="A6" s="11" t="s">
        <v>328</v>
      </c>
      <c r="B6" s="11">
        <v>2000</v>
      </c>
      <c r="C6" s="11">
        <v>2500</v>
      </c>
      <c r="D6" s="11">
        <v>3000</v>
      </c>
      <c r="E6" s="11">
        <v>3500</v>
      </c>
      <c r="F6" s="11">
        <v>4000</v>
      </c>
      <c r="G6" s="11">
        <v>4500</v>
      </c>
      <c r="H6" s="11">
        <v>5000</v>
      </c>
      <c r="I6" s="11">
        <v>5500</v>
      </c>
      <c r="J6" s="11">
        <v>6000</v>
      </c>
      <c r="K6" s="11">
        <v>6500</v>
      </c>
    </row>
    <row r="7" spans="1:11">
      <c r="A7" s="11" t="s">
        <v>329</v>
      </c>
      <c r="B7" s="11">
        <v>52000</v>
      </c>
      <c r="C7" s="11">
        <v>57500</v>
      </c>
      <c r="D7" s="11">
        <v>63000</v>
      </c>
      <c r="E7" s="11">
        <v>68500</v>
      </c>
      <c r="F7" s="11">
        <v>74000</v>
      </c>
      <c r="G7" s="11">
        <v>79500</v>
      </c>
      <c r="H7" s="11">
        <v>85000</v>
      </c>
      <c r="I7" s="11">
        <v>90500</v>
      </c>
      <c r="J7" s="11">
        <v>96000</v>
      </c>
      <c r="K7" s="11">
        <v>101500</v>
      </c>
    </row>
    <row r="10" spans="1:11">
      <c r="A10" s="62" t="s">
        <v>340</v>
      </c>
      <c r="E10" s="63">
        <v>102</v>
      </c>
    </row>
    <row r="11" spans="1:11">
      <c r="E11" s="64" t="str">
        <f>HLOOKUP(E10,A2:K7,3,0)</f>
        <v>Marketing</v>
      </c>
    </row>
    <row r="13" spans="1:11">
      <c r="A13" s="62" t="s">
        <v>341</v>
      </c>
      <c r="E13" s="63">
        <v>105</v>
      </c>
    </row>
    <row r="14" spans="1:11">
      <c r="E14" s="64">
        <f>HLOOKUP(E13,A2:K7,4,0)</f>
        <v>70000</v>
      </c>
    </row>
    <row r="16" spans="1:11">
      <c r="A16" s="62" t="s">
        <v>342</v>
      </c>
      <c r="E16" s="63">
        <v>107</v>
      </c>
    </row>
    <row r="17" spans="5:5">
      <c r="E17" s="64">
        <f>HLOOKUP(E16,H2:H7,6,0)</f>
        <v>85000</v>
      </c>
    </row>
  </sheetData>
  <mergeCells count="1">
    <mergeCell ref="A1:K1"/>
  </mergeCells>
  <conditionalFormatting sqref="A2:K7">
    <cfRule type="containsText" dxfId="4" priority="1" operator="containsText" text="emplyee name">
      <formula>NOT(ISERROR(SEARCH("emplyee name",A2)))</formula>
    </cfRule>
    <cfRule type="containsText" dxfId="3" priority="2" operator="containsText" text="Employee ID">
      <formula>NOT(ISERROR(SEARCH("Employee ID",A2)))</formula>
    </cfRule>
    <cfRule type="cellIs" dxfId="2" priority="5" operator="between">
      <formula>50000</formula>
      <formula>76150</formula>
    </cfRule>
  </conditionalFormatting>
  <conditionalFormatting sqref="A6:K6">
    <cfRule type="cellIs" dxfId="1" priority="4" operator="greaterThan">
      <formula>2500</formula>
    </cfRule>
  </conditionalFormatting>
  <conditionalFormatting sqref="A7:K7">
    <cfRule type="cellIs" dxfId="0" priority="3" operator="lessThan">
      <formula>80000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topLeftCell="A2" workbookViewId="0">
      <selection activeCell="G6" sqref="G6"/>
    </sheetView>
  </sheetViews>
  <sheetFormatPr defaultRowHeight="15"/>
  <cols>
    <col min="1" max="1" width="15.42578125" customWidth="1"/>
    <col min="9" max="9" width="14.7109375" customWidth="1"/>
    <col min="10" max="10" width="11.140625" customWidth="1"/>
    <col min="11" max="11" width="10.42578125" bestFit="1" customWidth="1"/>
    <col min="12" max="12" width="13.7109375" customWidth="1"/>
    <col min="13" max="13" width="10.28515625" customWidth="1"/>
  </cols>
  <sheetData>
    <row r="6" spans="1:15">
      <c r="A6" t="s">
        <v>347</v>
      </c>
      <c r="G6" t="s">
        <v>348</v>
      </c>
      <c r="I6" s="11" t="s">
        <v>343</v>
      </c>
      <c r="J6" s="11" t="s">
        <v>344</v>
      </c>
      <c r="K6" s="11" t="s">
        <v>345</v>
      </c>
      <c r="L6" s="11" t="s">
        <v>346</v>
      </c>
      <c r="M6" s="11"/>
      <c r="O6" s="11"/>
    </row>
    <row r="7" spans="1:15">
      <c r="A7" t="s">
        <v>353</v>
      </c>
      <c r="I7" s="11">
        <v>10</v>
      </c>
      <c r="J7" s="11" t="s">
        <v>349</v>
      </c>
      <c r="K7" s="34">
        <v>45292</v>
      </c>
      <c r="L7" s="11" t="s">
        <v>154</v>
      </c>
      <c r="M7" s="11" t="s">
        <v>352</v>
      </c>
      <c r="O7" s="11">
        <v>90</v>
      </c>
    </row>
    <row r="8" spans="1:15">
      <c r="A8" t="s">
        <v>354</v>
      </c>
      <c r="I8" s="11">
        <v>11</v>
      </c>
      <c r="J8" s="11" t="s">
        <v>350</v>
      </c>
      <c r="K8" s="11"/>
      <c r="L8" s="11"/>
      <c r="M8" s="11"/>
      <c r="O8" s="11"/>
    </row>
    <row r="9" spans="1:15">
      <c r="A9" t="s">
        <v>355</v>
      </c>
      <c r="I9" s="11">
        <v>100</v>
      </c>
      <c r="J9" s="11"/>
      <c r="K9" s="11"/>
      <c r="L9" s="11"/>
      <c r="M9" s="11"/>
      <c r="O9" s="11"/>
    </row>
    <row r="10" spans="1:15">
      <c r="A10" t="s">
        <v>356</v>
      </c>
      <c r="I10" s="11"/>
      <c r="J10" s="11"/>
      <c r="K10" s="11"/>
      <c r="L10" s="11"/>
      <c r="M10" s="11"/>
      <c r="O10" s="11">
        <v>8754</v>
      </c>
    </row>
    <row r="11" spans="1:15">
      <c r="A11" t="s">
        <v>357</v>
      </c>
      <c r="I11" s="11"/>
      <c r="J11" s="11"/>
      <c r="K11" s="11"/>
      <c r="L11" s="11"/>
      <c r="M11" s="11"/>
      <c r="O11" s="11"/>
    </row>
    <row r="12" spans="1:15">
      <c r="A12" t="s">
        <v>358</v>
      </c>
      <c r="I12" s="11"/>
      <c r="J12" s="11"/>
      <c r="K12" s="11"/>
      <c r="L12" s="11"/>
      <c r="M12" s="11"/>
      <c r="O12" s="11">
        <v>50</v>
      </c>
    </row>
    <row r="13" spans="1:15">
      <c r="I13" s="11"/>
      <c r="J13" s="11"/>
      <c r="K13" s="11"/>
      <c r="L13" s="11"/>
      <c r="M13" s="11"/>
      <c r="O13" s="11">
        <v>76</v>
      </c>
    </row>
    <row r="14" spans="1:15">
      <c r="I14" s="11"/>
      <c r="J14" s="11"/>
      <c r="K14" s="11"/>
      <c r="L14" s="11"/>
      <c r="M14" s="11" t="s">
        <v>351</v>
      </c>
      <c r="O14" s="11"/>
    </row>
    <row r="15" spans="1:15">
      <c r="I15" s="11"/>
      <c r="J15" s="11"/>
      <c r="K15" s="11"/>
      <c r="L15" s="11"/>
      <c r="M15" s="11"/>
      <c r="O15" s="11">
        <v>986566</v>
      </c>
    </row>
    <row r="16" spans="1:15">
      <c r="I16" s="11"/>
      <c r="J16" s="11"/>
      <c r="K16" s="11"/>
      <c r="L16" s="11"/>
      <c r="M16" s="11"/>
      <c r="O16" s="11"/>
    </row>
    <row r="17" spans="9:15">
      <c r="I17" s="11"/>
      <c r="J17" s="11"/>
      <c r="K17" s="11"/>
      <c r="L17" s="11"/>
      <c r="M17" s="11"/>
      <c r="O17" s="11"/>
    </row>
    <row r="18" spans="9:15">
      <c r="I18" s="11"/>
      <c r="J18" s="11"/>
      <c r="K18" s="11"/>
      <c r="L18" s="11"/>
      <c r="M18" s="11"/>
      <c r="O18" s="11"/>
    </row>
    <row r="19" spans="9:15">
      <c r="I19" s="11"/>
      <c r="J19" s="11"/>
      <c r="K19" s="11"/>
      <c r="L19" s="11"/>
      <c r="M19" s="11"/>
      <c r="O19" s="11"/>
    </row>
    <row r="20" spans="9:15">
      <c r="O20" s="11"/>
    </row>
  </sheetData>
  <dataValidations count="7">
    <dataValidation type="textLength" allowBlank="1" showInputMessage="1" showErrorMessage="1" prompt="3 alphabets atleast_x000a_" sqref="J7:J19">
      <formula1>3</formula1>
      <formula2>5</formula2>
    </dataValidation>
    <dataValidation type="date" allowBlank="1" showInputMessage="1" showErrorMessage="1" sqref="K7:K19">
      <formula1>45292</formula1>
      <formula2>45322</formula2>
    </dataValidation>
    <dataValidation type="list" allowBlank="1" showInputMessage="1" showErrorMessage="1" sqref="L7:L19">
      <formula1>"india,japan,korea,china,taiwan"</formula1>
    </dataValidation>
    <dataValidation type="list" allowBlank="1" showInputMessage="1" showErrorMessage="1" sqref="M7:M19">
      <formula1>"delhi, hong kong,tokyo,seol,beijing"</formula1>
    </dataValidation>
    <dataValidation type="list" allowBlank="1" showInputMessage="1" showErrorMessage="1" sqref="G6">
      <formula1>$A$6:$A$12</formula1>
    </dataValidation>
    <dataValidation type="whole" allowBlank="1" showInputMessage="1" showErrorMessage="1" error="NOT IN RANGE_x000a_" promptTitle="information" prompt="kindly enter valid number between 10 to 100" sqref="I7:I19">
      <formula1>10</formula1>
      <formula2>100</formula2>
    </dataValidation>
    <dataValidation type="whole" allowBlank="1" showInputMessage="1" showErrorMessage="1" sqref="O6:O20">
      <formula1>10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13" workbookViewId="0">
      <selection activeCell="D33" sqref="D33"/>
    </sheetView>
  </sheetViews>
  <sheetFormatPr defaultRowHeight="15"/>
  <cols>
    <col min="4" max="4" width="12.7109375" customWidth="1"/>
    <col min="5" max="5" width="14.85546875" customWidth="1"/>
    <col min="9" max="9" width="19.5703125" customWidth="1"/>
    <col min="10" max="10" width="10.5703125" customWidth="1"/>
    <col min="11" max="11" width="16.140625" customWidth="1"/>
    <col min="13" max="13" width="25.7109375" customWidth="1"/>
  </cols>
  <sheetData>
    <row r="1" spans="1:18">
      <c r="F1" s="11"/>
      <c r="G1" s="11"/>
      <c r="H1" s="11"/>
    </row>
    <row r="2" spans="1:18" ht="18.75">
      <c r="E2" s="5" t="s">
        <v>21</v>
      </c>
      <c r="F2" s="11"/>
      <c r="G2" s="12"/>
      <c r="H2" s="11"/>
    </row>
    <row r="3" spans="1:18">
      <c r="F3" s="11"/>
      <c r="G3" s="11"/>
      <c r="H3" s="11">
        <v>12</v>
      </c>
      <c r="I3">
        <v>22</v>
      </c>
      <c r="J3" t="s">
        <v>33</v>
      </c>
      <c r="L3" t="s">
        <v>25</v>
      </c>
    </row>
    <row r="4" spans="1:18">
      <c r="A4" s="12"/>
      <c r="D4" s="3" t="s">
        <v>14</v>
      </c>
      <c r="E4" s="4" t="s">
        <v>14</v>
      </c>
      <c r="F4" s="7" t="s">
        <v>14</v>
      </c>
      <c r="H4">
        <v>11</v>
      </c>
      <c r="I4">
        <v>20</v>
      </c>
      <c r="J4" t="s">
        <v>32</v>
      </c>
      <c r="L4" t="s">
        <v>29</v>
      </c>
      <c r="P4" t="s">
        <v>34</v>
      </c>
      <c r="R4" t="s">
        <v>37</v>
      </c>
    </row>
    <row r="5" spans="1:18">
      <c r="A5" s="12"/>
      <c r="D5" s="3" t="s">
        <v>15</v>
      </c>
      <c r="E5" s="4"/>
      <c r="F5" s="7" t="s">
        <v>15</v>
      </c>
      <c r="H5">
        <v>10</v>
      </c>
      <c r="I5">
        <v>18</v>
      </c>
      <c r="J5" t="s">
        <v>31</v>
      </c>
      <c r="L5" t="s">
        <v>33</v>
      </c>
      <c r="P5" t="s">
        <v>35</v>
      </c>
      <c r="R5" t="s">
        <v>38</v>
      </c>
    </row>
    <row r="6" spans="1:18">
      <c r="A6" s="12"/>
      <c r="D6" s="3" t="s">
        <v>16</v>
      </c>
      <c r="E6" s="4"/>
      <c r="F6" s="7" t="s">
        <v>16</v>
      </c>
      <c r="H6">
        <v>9</v>
      </c>
      <c r="I6">
        <v>16</v>
      </c>
      <c r="J6" t="s">
        <v>30</v>
      </c>
      <c r="L6" t="s">
        <v>23</v>
      </c>
      <c r="P6" t="s">
        <v>36</v>
      </c>
      <c r="R6" t="s">
        <v>39</v>
      </c>
    </row>
    <row r="7" spans="1:18">
      <c r="A7" s="12"/>
      <c r="D7" s="3" t="s">
        <v>17</v>
      </c>
      <c r="E7" s="4"/>
      <c r="F7" s="7" t="s">
        <v>17</v>
      </c>
      <c r="H7">
        <v>8</v>
      </c>
      <c r="I7">
        <v>14</v>
      </c>
      <c r="J7" t="s">
        <v>29</v>
      </c>
      <c r="L7" t="s">
        <v>22</v>
      </c>
      <c r="P7" t="s">
        <v>37</v>
      </c>
      <c r="R7" t="s">
        <v>34</v>
      </c>
    </row>
    <row r="8" spans="1:18">
      <c r="A8" s="12"/>
      <c r="D8" s="3" t="s">
        <v>18</v>
      </c>
      <c r="E8" s="4"/>
      <c r="F8" s="7" t="s">
        <v>18</v>
      </c>
      <c r="H8">
        <v>7</v>
      </c>
      <c r="I8">
        <v>12</v>
      </c>
      <c r="J8" t="s">
        <v>28</v>
      </c>
      <c r="L8" t="s">
        <v>28</v>
      </c>
      <c r="P8" t="s">
        <v>38</v>
      </c>
      <c r="R8" t="s">
        <v>35</v>
      </c>
    </row>
    <row r="9" spans="1:18">
      <c r="A9" s="12"/>
      <c r="D9" s="3" t="s">
        <v>19</v>
      </c>
      <c r="E9" s="4"/>
      <c r="F9" s="7" t="s">
        <v>14</v>
      </c>
      <c r="H9">
        <v>6</v>
      </c>
      <c r="I9">
        <v>10</v>
      </c>
      <c r="J9" t="s">
        <v>27</v>
      </c>
      <c r="L9" t="s">
        <v>27</v>
      </c>
      <c r="P9" t="s">
        <v>39</v>
      </c>
      <c r="R9" t="s">
        <v>36</v>
      </c>
    </row>
    <row r="10" spans="1:18">
      <c r="A10" s="12"/>
      <c r="D10" s="3" t="s">
        <v>20</v>
      </c>
      <c r="E10" s="4"/>
      <c r="F10" s="7" t="s">
        <v>15</v>
      </c>
      <c r="H10">
        <v>5</v>
      </c>
      <c r="I10">
        <v>8</v>
      </c>
      <c r="J10" t="s">
        <v>26</v>
      </c>
      <c r="L10" t="s">
        <v>24</v>
      </c>
      <c r="P10" t="s">
        <v>34</v>
      </c>
      <c r="R10" t="s">
        <v>37</v>
      </c>
    </row>
    <row r="11" spans="1:18">
      <c r="D11" s="3" t="s">
        <v>14</v>
      </c>
      <c r="E11" s="4"/>
      <c r="F11" s="7"/>
      <c r="H11">
        <v>4</v>
      </c>
      <c r="I11">
        <v>6</v>
      </c>
      <c r="J11" t="s">
        <v>25</v>
      </c>
      <c r="L11" t="s">
        <v>26</v>
      </c>
      <c r="P11" t="s">
        <v>35</v>
      </c>
      <c r="R11" t="s">
        <v>38</v>
      </c>
    </row>
    <row r="12" spans="1:18">
      <c r="H12">
        <v>3</v>
      </c>
      <c r="I12">
        <v>4</v>
      </c>
      <c r="J12" t="s">
        <v>24</v>
      </c>
      <c r="L12" t="s">
        <v>32</v>
      </c>
      <c r="P12" t="s">
        <v>36</v>
      </c>
      <c r="R12" t="s">
        <v>39</v>
      </c>
    </row>
    <row r="13" spans="1:18">
      <c r="H13">
        <v>2</v>
      </c>
      <c r="I13">
        <v>2</v>
      </c>
      <c r="J13" t="s">
        <v>23</v>
      </c>
      <c r="L13" t="s">
        <v>31</v>
      </c>
    </row>
    <row r="14" spans="1:18">
      <c r="H14">
        <v>1</v>
      </c>
      <c r="I14">
        <v>0</v>
      </c>
      <c r="J14" t="s">
        <v>22</v>
      </c>
      <c r="L14" t="s">
        <v>30</v>
      </c>
    </row>
    <row r="17" spans="1:13" ht="18.75">
      <c r="A17" s="100" t="s">
        <v>110</v>
      </c>
      <c r="B17" s="100"/>
      <c r="C17" s="100"/>
      <c r="D17" s="100"/>
    </row>
    <row r="18" spans="1:13">
      <c r="A18" t="s">
        <v>40</v>
      </c>
      <c r="C18" t="s">
        <v>42</v>
      </c>
      <c r="E18" t="s">
        <v>43</v>
      </c>
      <c r="G18" t="s">
        <v>44</v>
      </c>
      <c r="I18" t="s">
        <v>41</v>
      </c>
      <c r="K18" t="s">
        <v>235</v>
      </c>
      <c r="M18" t="s">
        <v>45</v>
      </c>
    </row>
    <row r="19" spans="1:13">
      <c r="A19">
        <v>72</v>
      </c>
      <c r="C19">
        <v>72</v>
      </c>
      <c r="E19">
        <v>72</v>
      </c>
      <c r="G19">
        <v>72</v>
      </c>
      <c r="I19">
        <v>72</v>
      </c>
      <c r="K19">
        <v>72</v>
      </c>
      <c r="M19">
        <v>72</v>
      </c>
    </row>
    <row r="20" spans="1:13">
      <c r="A20">
        <v>5</v>
      </c>
      <c r="C20">
        <v>5</v>
      </c>
      <c r="E20">
        <v>5</v>
      </c>
      <c r="G20">
        <v>5</v>
      </c>
      <c r="I20">
        <v>5</v>
      </c>
      <c r="K20">
        <v>5</v>
      </c>
      <c r="M20">
        <v>5</v>
      </c>
    </row>
    <row r="21" spans="1:13">
      <c r="A21">
        <v>18</v>
      </c>
      <c r="C21">
        <v>18</v>
      </c>
      <c r="E21">
        <v>18</v>
      </c>
      <c r="G21">
        <v>18</v>
      </c>
      <c r="I21" t="s">
        <v>46</v>
      </c>
      <c r="K21" t="s">
        <v>46</v>
      </c>
    </row>
    <row r="22" spans="1:13">
      <c r="A22">
        <v>35</v>
      </c>
      <c r="C22">
        <v>35</v>
      </c>
      <c r="E22">
        <v>35</v>
      </c>
      <c r="G22">
        <v>35</v>
      </c>
      <c r="I22">
        <v>35</v>
      </c>
      <c r="K22">
        <v>35</v>
      </c>
    </row>
    <row r="23" spans="1:13">
      <c r="A23">
        <v>47</v>
      </c>
      <c r="C23">
        <v>47</v>
      </c>
      <c r="E23">
        <v>47</v>
      </c>
      <c r="G23">
        <v>47</v>
      </c>
      <c r="I23">
        <v>47</v>
      </c>
      <c r="K23">
        <v>47</v>
      </c>
      <c r="M23">
        <v>47</v>
      </c>
    </row>
    <row r="24" spans="1:13">
      <c r="A24">
        <v>10</v>
      </c>
      <c r="C24">
        <v>10</v>
      </c>
      <c r="E24">
        <v>10</v>
      </c>
      <c r="G24">
        <v>10</v>
      </c>
      <c r="I24">
        <v>10</v>
      </c>
      <c r="K24">
        <v>10</v>
      </c>
      <c r="M24">
        <v>10</v>
      </c>
    </row>
    <row r="25" spans="1:13">
      <c r="A25">
        <f>SUM(A19:A24)</f>
        <v>187</v>
      </c>
      <c r="C25">
        <f>MAX(C19:C24)</f>
        <v>72</v>
      </c>
      <c r="E25">
        <f>MIN(E19:E24)</f>
        <v>5</v>
      </c>
      <c r="G25">
        <f>AVERAGE(G19:G24)</f>
        <v>31.166666666666668</v>
      </c>
      <c r="I25">
        <f>COUNT(I19:I24)</f>
        <v>5</v>
      </c>
      <c r="K25">
        <f>COUNTA(K19:K24)</f>
        <v>6</v>
      </c>
      <c r="M25">
        <f>COUNTBLANK(M19:M24)</f>
        <v>2</v>
      </c>
    </row>
    <row r="26" spans="1:13">
      <c r="I26" t="s">
        <v>109</v>
      </c>
      <c r="M26" t="s">
        <v>48</v>
      </c>
    </row>
    <row r="27" spans="1:13">
      <c r="K27" t="s">
        <v>47</v>
      </c>
    </row>
  </sheetData>
  <sortState ref="H3:J14">
    <sortCondition descending="1" ref="I3"/>
  </sortState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opLeftCell="A4" workbookViewId="0">
      <selection activeCell="C23" sqref="C23"/>
    </sheetView>
  </sheetViews>
  <sheetFormatPr defaultRowHeight="15"/>
  <cols>
    <col min="3" max="3" width="15" customWidth="1"/>
  </cols>
  <sheetData>
    <row r="3" spans="1:3">
      <c r="A3" t="s">
        <v>49</v>
      </c>
      <c r="B3" t="s">
        <v>50</v>
      </c>
      <c r="C3" t="s">
        <v>51</v>
      </c>
    </row>
    <row r="4" spans="1:3">
      <c r="A4" t="s">
        <v>52</v>
      </c>
      <c r="B4" s="6">
        <v>43101</v>
      </c>
      <c r="C4">
        <v>152</v>
      </c>
    </row>
    <row r="5" spans="1:3">
      <c r="A5" t="s">
        <v>53</v>
      </c>
      <c r="B5" s="6">
        <v>43101</v>
      </c>
      <c r="C5">
        <v>171</v>
      </c>
    </row>
    <row r="6" spans="1:3">
      <c r="A6" t="s">
        <v>54</v>
      </c>
      <c r="B6" s="6">
        <v>43101</v>
      </c>
      <c r="C6">
        <v>110</v>
      </c>
    </row>
    <row r="7" spans="1:3">
      <c r="A7" t="s">
        <v>55</v>
      </c>
      <c r="B7" s="6">
        <v>43132</v>
      </c>
      <c r="C7">
        <v>173</v>
      </c>
    </row>
    <row r="8" spans="1:3">
      <c r="A8" t="s">
        <v>56</v>
      </c>
      <c r="B8" s="6">
        <v>43132</v>
      </c>
      <c r="C8">
        <v>128</v>
      </c>
    </row>
    <row r="9" spans="1:3">
      <c r="A9" t="s">
        <v>57</v>
      </c>
      <c r="B9" s="6">
        <v>43132</v>
      </c>
      <c r="C9">
        <v>107</v>
      </c>
    </row>
    <row r="10" spans="1:3">
      <c r="A10" t="s">
        <v>58</v>
      </c>
      <c r="B10" s="6">
        <v>43160</v>
      </c>
      <c r="C10">
        <v>213</v>
      </c>
    </row>
    <row r="11" spans="1:3">
      <c r="A11" t="s">
        <v>59</v>
      </c>
      <c r="B11" s="6">
        <v>43160</v>
      </c>
      <c r="C11">
        <v>238</v>
      </c>
    </row>
    <row r="12" spans="1:3">
      <c r="A12" t="s">
        <v>60</v>
      </c>
      <c r="B12" s="6">
        <v>43160</v>
      </c>
      <c r="C12">
        <v>131</v>
      </c>
    </row>
    <row r="13" spans="1:3">
      <c r="C13">
        <f>AVERAGE(C4:C12)</f>
        <v>158.11111111111111</v>
      </c>
    </row>
    <row r="17" spans="1:3">
      <c r="A17" s="6">
        <v>43101</v>
      </c>
      <c r="B17">
        <f>AVERAGE($C$4:$C$6)</f>
        <v>144.33333333333334</v>
      </c>
    </row>
    <row r="18" spans="1:3">
      <c r="A18" s="6">
        <v>43132</v>
      </c>
      <c r="B18">
        <f>AVERAGE(C7:C9)</f>
        <v>136</v>
      </c>
    </row>
    <row r="19" spans="1:3">
      <c r="A19" s="6">
        <v>43160</v>
      </c>
      <c r="B19">
        <f>AVERAGE(C10:C12)</f>
        <v>194</v>
      </c>
    </row>
    <row r="21" spans="1:3">
      <c r="A21" t="s">
        <v>62</v>
      </c>
    </row>
    <row r="22" spans="1:3">
      <c r="B22" t="s">
        <v>61</v>
      </c>
      <c r="C22">
        <f>SUM(B17:B19)/COUNT(B17:$B$19)</f>
        <v>158.11111111111111</v>
      </c>
    </row>
    <row r="23" spans="1:3">
      <c r="B23" t="s">
        <v>61</v>
      </c>
      <c r="C23">
        <f>SUM(C4:C12)/COUNT(C4:C12)</f>
        <v>158.11111111111111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33" zoomScale="98" workbookViewId="0">
      <selection activeCell="C54" sqref="C54"/>
    </sheetView>
  </sheetViews>
  <sheetFormatPr defaultRowHeight="15"/>
  <cols>
    <col min="1" max="1" width="16" customWidth="1"/>
    <col min="3" max="3" width="12.28515625" customWidth="1"/>
    <col min="9" max="9" width="10.5703125" customWidth="1"/>
    <col min="10" max="10" width="18.140625" customWidth="1"/>
  </cols>
  <sheetData>
    <row r="1" spans="1:15" ht="15.75">
      <c r="A1" s="8" t="s">
        <v>63</v>
      </c>
      <c r="C1" s="8">
        <v>25</v>
      </c>
      <c r="D1">
        <v>35</v>
      </c>
      <c r="N1">
        <v>55</v>
      </c>
      <c r="O1">
        <v>66</v>
      </c>
    </row>
    <row r="3" spans="1:15">
      <c r="B3" t="s">
        <v>64</v>
      </c>
      <c r="C3" t="b">
        <f>C1=D1</f>
        <v>0</v>
      </c>
      <c r="F3" t="s">
        <v>70</v>
      </c>
      <c r="M3" t="s">
        <v>102</v>
      </c>
      <c r="N3" t="b">
        <f>N1=O1</f>
        <v>0</v>
      </c>
    </row>
    <row r="4" spans="1:15">
      <c r="B4" t="s">
        <v>65</v>
      </c>
      <c r="C4" t="b">
        <f>C1&gt;D1</f>
        <v>0</v>
      </c>
      <c r="M4" t="s">
        <v>103</v>
      </c>
      <c r="N4" t="b">
        <f>IFN1&gt;O1</f>
        <v>0</v>
      </c>
    </row>
    <row r="5" spans="1:15">
      <c r="B5" t="s">
        <v>66</v>
      </c>
      <c r="C5" t="b">
        <f>C1&lt;D1</f>
        <v>1</v>
      </c>
      <c r="M5" t="s">
        <v>104</v>
      </c>
      <c r="N5" t="b">
        <f>N1&lt;O1</f>
        <v>1</v>
      </c>
    </row>
    <row r="6" spans="1:15">
      <c r="B6" t="s">
        <v>67</v>
      </c>
      <c r="C6" t="b">
        <f>C1&gt;=D1</f>
        <v>0</v>
      </c>
      <c r="M6" t="s">
        <v>105</v>
      </c>
      <c r="N6" t="b">
        <f>N1&gt;=$O$1</f>
        <v>0</v>
      </c>
    </row>
    <row r="7" spans="1:15">
      <c r="B7" t="s">
        <v>68</v>
      </c>
      <c r="C7" t="b">
        <f>C1&lt;=D1</f>
        <v>1</v>
      </c>
      <c r="M7" t="s">
        <v>106</v>
      </c>
      <c r="N7" t="b">
        <f>N1&lt;=O1</f>
        <v>1</v>
      </c>
    </row>
    <row r="8" spans="1:15">
      <c r="B8" t="s">
        <v>69</v>
      </c>
      <c r="C8" t="b">
        <f>C1&lt;&gt;D1</f>
        <v>1</v>
      </c>
      <c r="M8" t="s">
        <v>107</v>
      </c>
      <c r="N8" t="b">
        <f>N1&lt;&gt;O1</f>
        <v>1</v>
      </c>
    </row>
    <row r="9" spans="1:15" ht="15.75">
      <c r="C9" s="8"/>
    </row>
    <row r="10" spans="1:15">
      <c r="B10">
        <v>25</v>
      </c>
      <c r="C10">
        <v>35</v>
      </c>
      <c r="F10" t="s">
        <v>75</v>
      </c>
    </row>
    <row r="11" spans="1:15">
      <c r="F11" t="s">
        <v>76</v>
      </c>
    </row>
    <row r="12" spans="1:15">
      <c r="A12" t="s">
        <v>71</v>
      </c>
      <c r="B12" t="b">
        <f>B10=C10</f>
        <v>0</v>
      </c>
    </row>
    <row r="13" spans="1:15">
      <c r="A13" t="s">
        <v>72</v>
      </c>
      <c r="B13" t="str">
        <f>IF(B10=C10,"yes","no")</f>
        <v>no</v>
      </c>
    </row>
    <row r="14" spans="1:15">
      <c r="A14" t="s">
        <v>73</v>
      </c>
      <c r="B14" t="str">
        <f>IF(B10=C10,"1","0")</f>
        <v>0</v>
      </c>
    </row>
    <row r="15" spans="1:15">
      <c r="A15" t="s">
        <v>74</v>
      </c>
      <c r="B15" t="str">
        <f>IF(B10=C10,"pass","fail")</f>
        <v>fail</v>
      </c>
    </row>
    <row r="16" spans="1:15" ht="15.75">
      <c r="A16" s="8"/>
    </row>
    <row r="18" spans="1:10">
      <c r="B18" t="s">
        <v>78</v>
      </c>
      <c r="C18" t="s">
        <v>77</v>
      </c>
      <c r="D18" t="s">
        <v>82</v>
      </c>
    </row>
    <row r="19" spans="1:10">
      <c r="B19" t="s">
        <v>79</v>
      </c>
      <c r="C19">
        <v>318</v>
      </c>
      <c r="D19" t="str">
        <f>IF(C19&gt;500,"yes","no")</f>
        <v>no</v>
      </c>
      <c r="F19" t="str">
        <f>IF(C19&lt;500,"1","0")</f>
        <v>1</v>
      </c>
      <c r="G19" t="str">
        <f>IF(B19="grass","yes","no")</f>
        <v>yes</v>
      </c>
      <c r="H19" t="str">
        <f>IF(C19&gt;500,"pass","fail")</f>
        <v>fail</v>
      </c>
    </row>
    <row r="20" spans="1:10">
      <c r="B20" t="s">
        <v>79</v>
      </c>
      <c r="C20">
        <v>405</v>
      </c>
      <c r="D20" t="str">
        <f t="shared" ref="D20:D27" si="0">IF(C20&gt;500,"yes","no")</f>
        <v>no</v>
      </c>
      <c r="F20" t="str">
        <f t="shared" ref="F20:F27" si="1">IF(C20&lt;500,"1","0")</f>
        <v>1</v>
      </c>
      <c r="G20" t="str">
        <f t="shared" ref="G20:G27" si="2">IF(B20="grass","yes","no")</f>
        <v>yes</v>
      </c>
      <c r="H20" t="str">
        <f t="shared" ref="H20:H27" si="3">IF(C20&gt;500,"pass","fail")</f>
        <v>fail</v>
      </c>
    </row>
    <row r="21" spans="1:10">
      <c r="B21" t="s">
        <v>79</v>
      </c>
      <c r="C21">
        <v>525</v>
      </c>
      <c r="D21" t="str">
        <f t="shared" si="0"/>
        <v>yes</v>
      </c>
      <c r="F21" t="str">
        <f t="shared" si="1"/>
        <v>0</v>
      </c>
      <c r="G21" t="str">
        <f t="shared" si="2"/>
        <v>yes</v>
      </c>
      <c r="H21" t="str">
        <f t="shared" si="3"/>
        <v>pass</v>
      </c>
      <c r="J21">
        <f>SUMIF(B19:B21,"grass",C19:C21)</f>
        <v>1248</v>
      </c>
    </row>
    <row r="22" spans="1:10">
      <c r="B22" t="s">
        <v>80</v>
      </c>
      <c r="C22">
        <v>309</v>
      </c>
      <c r="D22" t="str">
        <f t="shared" si="0"/>
        <v>no</v>
      </c>
      <c r="F22" t="str">
        <f t="shared" si="1"/>
        <v>1</v>
      </c>
      <c r="G22" t="str">
        <f t="shared" si="2"/>
        <v>no</v>
      </c>
      <c r="H22" t="str">
        <f t="shared" si="3"/>
        <v>fail</v>
      </c>
    </row>
    <row r="23" spans="1:10">
      <c r="B23" t="s">
        <v>80</v>
      </c>
      <c r="C23">
        <v>405</v>
      </c>
      <c r="D23" t="str">
        <f t="shared" si="0"/>
        <v>no</v>
      </c>
      <c r="F23" t="str">
        <f t="shared" si="1"/>
        <v>1</v>
      </c>
      <c r="G23" t="str">
        <f t="shared" si="2"/>
        <v>no</v>
      </c>
      <c r="H23" t="str">
        <f t="shared" si="3"/>
        <v>fail</v>
      </c>
    </row>
    <row r="24" spans="1:10">
      <c r="B24" t="s">
        <v>80</v>
      </c>
      <c r="C24">
        <v>534</v>
      </c>
      <c r="D24" t="str">
        <f t="shared" si="0"/>
        <v>yes</v>
      </c>
      <c r="F24" t="str">
        <f t="shared" si="1"/>
        <v>0</v>
      </c>
      <c r="G24" t="str">
        <f t="shared" si="2"/>
        <v>no</v>
      </c>
      <c r="H24" t="str">
        <f t="shared" si="3"/>
        <v>pass</v>
      </c>
    </row>
    <row r="25" spans="1:10">
      <c r="B25" t="s">
        <v>81</v>
      </c>
      <c r="C25">
        <v>314</v>
      </c>
      <c r="D25" t="str">
        <f t="shared" si="0"/>
        <v>no</v>
      </c>
      <c r="F25" t="str">
        <f t="shared" si="1"/>
        <v>1</v>
      </c>
      <c r="G25" t="str">
        <f t="shared" si="2"/>
        <v>no</v>
      </c>
      <c r="H25" t="str">
        <f t="shared" si="3"/>
        <v>fail</v>
      </c>
    </row>
    <row r="26" spans="1:10">
      <c r="B26" t="s">
        <v>81</v>
      </c>
      <c r="C26">
        <v>405</v>
      </c>
      <c r="D26" t="str">
        <f t="shared" si="0"/>
        <v>no</v>
      </c>
      <c r="F26" t="str">
        <f t="shared" si="1"/>
        <v>1</v>
      </c>
      <c r="G26" t="str">
        <f t="shared" si="2"/>
        <v>no</v>
      </c>
      <c r="H26" t="str">
        <f t="shared" si="3"/>
        <v>fail</v>
      </c>
    </row>
    <row r="27" spans="1:10">
      <c r="B27" t="s">
        <v>81</v>
      </c>
      <c r="C27">
        <v>530</v>
      </c>
      <c r="D27" t="str">
        <f t="shared" si="0"/>
        <v>yes</v>
      </c>
      <c r="F27" t="str">
        <f t="shared" si="1"/>
        <v>0</v>
      </c>
      <c r="G27" t="str">
        <f t="shared" si="2"/>
        <v>no</v>
      </c>
      <c r="H27" t="str">
        <f t="shared" si="3"/>
        <v>pass</v>
      </c>
    </row>
    <row r="29" spans="1:10">
      <c r="C29">
        <v>25</v>
      </c>
      <c r="D29">
        <v>35</v>
      </c>
    </row>
    <row r="30" spans="1:10">
      <c r="A30" t="s">
        <v>83</v>
      </c>
    </row>
    <row r="31" spans="1:10">
      <c r="C31" t="s">
        <v>84</v>
      </c>
      <c r="J31" s="9" t="s">
        <v>98</v>
      </c>
    </row>
    <row r="32" spans="1:10">
      <c r="C32">
        <f>IF((C29+D29)&gt;50,(C29+D29)*0.1,0)</f>
        <v>6</v>
      </c>
    </row>
    <row r="33" spans="2:13">
      <c r="M33">
        <f>IF((C29+D29)&gt;50,(C29+D29)*0.1,0)</f>
        <v>6</v>
      </c>
    </row>
    <row r="34" spans="2:13">
      <c r="C34" t="s">
        <v>99</v>
      </c>
      <c r="D34" t="s">
        <v>90</v>
      </c>
      <c r="E34" t="s">
        <v>91</v>
      </c>
      <c r="F34" t="s">
        <v>92</v>
      </c>
      <c r="G34" t="s">
        <v>101</v>
      </c>
      <c r="H34" t="s">
        <v>77</v>
      </c>
      <c r="I34" t="s">
        <v>12</v>
      </c>
      <c r="J34" t="s">
        <v>100</v>
      </c>
    </row>
    <row r="35" spans="2:13">
      <c r="B35" t="s">
        <v>85</v>
      </c>
      <c r="C35">
        <v>51</v>
      </c>
      <c r="D35">
        <v>61</v>
      </c>
      <c r="E35">
        <v>91</v>
      </c>
      <c r="F35">
        <v>71</v>
      </c>
      <c r="G35">
        <v>81</v>
      </c>
      <c r="H35">
        <f>SUM(C35:G35)</f>
        <v>355</v>
      </c>
      <c r="I35">
        <f>H35/5</f>
        <v>71</v>
      </c>
      <c r="J35" t="str">
        <f>IF(I35&gt;75,"distinction","need improvement")</f>
        <v>need improvement</v>
      </c>
    </row>
    <row r="36" spans="2:13">
      <c r="B36" t="s">
        <v>86</v>
      </c>
      <c r="C36">
        <v>52</v>
      </c>
      <c r="D36">
        <v>62</v>
      </c>
      <c r="E36">
        <v>92</v>
      </c>
      <c r="F36">
        <v>72</v>
      </c>
      <c r="G36">
        <v>82</v>
      </c>
      <c r="H36">
        <f t="shared" ref="H36:H44" si="4">SUM(C36:G36)</f>
        <v>360</v>
      </c>
      <c r="I36">
        <f t="shared" ref="I36:I44" si="5">H36/5</f>
        <v>72</v>
      </c>
      <c r="J36" t="str">
        <f t="shared" ref="J36:J44" si="6">IF(I36&gt;75,"distinction","need improvement")</f>
        <v>need improvement</v>
      </c>
    </row>
    <row r="37" spans="2:13">
      <c r="B37" t="s">
        <v>87</v>
      </c>
      <c r="C37">
        <v>53</v>
      </c>
      <c r="D37">
        <v>63</v>
      </c>
      <c r="E37">
        <v>93</v>
      </c>
      <c r="F37">
        <v>73</v>
      </c>
      <c r="G37">
        <v>83</v>
      </c>
      <c r="H37">
        <f t="shared" si="4"/>
        <v>365</v>
      </c>
      <c r="I37">
        <f t="shared" si="5"/>
        <v>73</v>
      </c>
      <c r="J37" t="str">
        <f t="shared" si="6"/>
        <v>need improvement</v>
      </c>
    </row>
    <row r="38" spans="2:13">
      <c r="B38" t="s">
        <v>88</v>
      </c>
      <c r="C38">
        <v>54</v>
      </c>
      <c r="D38">
        <v>64</v>
      </c>
      <c r="E38">
        <v>94</v>
      </c>
      <c r="F38">
        <v>74</v>
      </c>
      <c r="G38">
        <v>84</v>
      </c>
      <c r="H38">
        <f t="shared" si="4"/>
        <v>370</v>
      </c>
      <c r="I38">
        <f t="shared" si="5"/>
        <v>74</v>
      </c>
      <c r="J38" t="str">
        <f t="shared" si="6"/>
        <v>need improvement</v>
      </c>
    </row>
    <row r="39" spans="2:13">
      <c r="B39" t="s">
        <v>89</v>
      </c>
      <c r="C39">
        <v>55</v>
      </c>
      <c r="D39">
        <v>65</v>
      </c>
      <c r="E39">
        <v>95</v>
      </c>
      <c r="F39">
        <v>75</v>
      </c>
      <c r="G39">
        <v>85</v>
      </c>
      <c r="H39">
        <f t="shared" si="4"/>
        <v>375</v>
      </c>
      <c r="I39">
        <f t="shared" si="5"/>
        <v>75</v>
      </c>
      <c r="J39" t="str">
        <f t="shared" si="6"/>
        <v>need improvement</v>
      </c>
    </row>
    <row r="40" spans="2:13">
      <c r="B40" t="s">
        <v>93</v>
      </c>
      <c r="C40">
        <v>56</v>
      </c>
      <c r="D40">
        <v>66</v>
      </c>
      <c r="E40">
        <v>96</v>
      </c>
      <c r="F40">
        <v>76</v>
      </c>
      <c r="G40">
        <v>86</v>
      </c>
      <c r="H40">
        <f t="shared" si="4"/>
        <v>380</v>
      </c>
      <c r="I40">
        <f t="shared" si="5"/>
        <v>76</v>
      </c>
      <c r="J40" t="str">
        <f t="shared" si="6"/>
        <v>distinction</v>
      </c>
    </row>
    <row r="41" spans="2:13">
      <c r="B41" t="s">
        <v>94</v>
      </c>
      <c r="C41">
        <v>57</v>
      </c>
      <c r="D41">
        <v>67</v>
      </c>
      <c r="E41">
        <v>97</v>
      </c>
      <c r="F41">
        <v>77</v>
      </c>
      <c r="G41">
        <v>87</v>
      </c>
      <c r="H41">
        <f t="shared" si="4"/>
        <v>385</v>
      </c>
      <c r="I41">
        <f t="shared" si="5"/>
        <v>77</v>
      </c>
      <c r="J41" t="str">
        <f t="shared" si="6"/>
        <v>distinction</v>
      </c>
    </row>
    <row r="42" spans="2:13">
      <c r="B42" t="s">
        <v>95</v>
      </c>
      <c r="C42">
        <v>58</v>
      </c>
      <c r="D42">
        <v>68</v>
      </c>
      <c r="E42">
        <v>98</v>
      </c>
      <c r="F42">
        <v>78</v>
      </c>
      <c r="G42">
        <v>88</v>
      </c>
      <c r="H42">
        <f t="shared" si="4"/>
        <v>390</v>
      </c>
      <c r="I42">
        <f t="shared" si="5"/>
        <v>78</v>
      </c>
      <c r="J42" t="str">
        <f t="shared" si="6"/>
        <v>distinction</v>
      </c>
    </row>
    <row r="43" spans="2:13">
      <c r="B43" t="s">
        <v>96</v>
      </c>
      <c r="C43">
        <v>59</v>
      </c>
      <c r="D43">
        <v>69</v>
      </c>
      <c r="E43">
        <v>99</v>
      </c>
      <c r="F43">
        <v>79</v>
      </c>
      <c r="G43">
        <v>89</v>
      </c>
      <c r="H43">
        <f t="shared" si="4"/>
        <v>395</v>
      </c>
      <c r="I43">
        <f t="shared" si="5"/>
        <v>79</v>
      </c>
      <c r="J43" t="str">
        <f t="shared" si="6"/>
        <v>distinction</v>
      </c>
    </row>
    <row r="44" spans="2:13">
      <c r="B44" t="s">
        <v>97</v>
      </c>
      <c r="C44">
        <v>60</v>
      </c>
      <c r="D44">
        <v>70</v>
      </c>
      <c r="E44">
        <v>100</v>
      </c>
      <c r="F44">
        <v>80</v>
      </c>
      <c r="G44">
        <v>90</v>
      </c>
      <c r="H44">
        <f t="shared" si="4"/>
        <v>400</v>
      </c>
      <c r="I44">
        <f t="shared" si="5"/>
        <v>80</v>
      </c>
      <c r="J44" t="str">
        <f t="shared" si="6"/>
        <v>distinction</v>
      </c>
    </row>
  </sheetData>
  <hyperlinks>
    <hyperlink ref="J3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D5" workbookViewId="0">
      <selection activeCell="O22" sqref="O22"/>
    </sheetView>
  </sheetViews>
  <sheetFormatPr defaultRowHeight="15"/>
  <cols>
    <col min="1" max="1" width="21.140625" customWidth="1"/>
    <col min="2" max="2" width="16" customWidth="1"/>
    <col min="12" max="12" width="12.85546875" bestFit="1" customWidth="1"/>
    <col min="13" max="13" width="11.28515625" bestFit="1" customWidth="1"/>
    <col min="15" max="15" width="14.42578125" customWidth="1"/>
    <col min="16" max="16" width="12.85546875" customWidth="1"/>
    <col min="17" max="17" width="14.7109375" customWidth="1"/>
  </cols>
  <sheetData>
    <row r="1" spans="1:17">
      <c r="A1" t="s">
        <v>85</v>
      </c>
      <c r="B1">
        <v>5</v>
      </c>
      <c r="L1" t="s">
        <v>115</v>
      </c>
      <c r="M1" t="s">
        <v>119</v>
      </c>
      <c r="O1" t="s">
        <v>126</v>
      </c>
    </row>
    <row r="2" spans="1:17">
      <c r="A2" t="s">
        <v>86</v>
      </c>
      <c r="B2">
        <v>8</v>
      </c>
      <c r="L2" s="13">
        <f ca="1">RANDBETWEEN(10000,200000)</f>
        <v>156124</v>
      </c>
      <c r="M2" s="13">
        <f ca="1">IF(L2&gt;20000,L2*0.1,IF(L2&gt;50000,3000+L2*0.2,IF(L2&gt;100000,3000+10000+L2*0.3,0)))</f>
        <v>15612.400000000001</v>
      </c>
      <c r="O2" s="13">
        <f ca="1">IF(L2&gt;100000,3000+10000+(L2-100000)*0.3,IF(L2&gt;50000,3000+(L2-50000)*0.2,IF(L2&gt;20000,(L2-20000)*0.1,0)))</f>
        <v>29837.200000000001</v>
      </c>
      <c r="P2" t="s">
        <v>116</v>
      </c>
    </row>
    <row r="3" spans="1:17">
      <c r="A3" t="s">
        <v>87</v>
      </c>
      <c r="B3">
        <v>3</v>
      </c>
      <c r="L3" s="13">
        <f t="shared" ref="L3:L9" ca="1" si="0">RANDBETWEEN(10000,200000)</f>
        <v>49947</v>
      </c>
      <c r="M3" s="13">
        <f t="shared" ref="M3:M10" ca="1" si="1">IF(L3&gt;20000,L3*0.1,IF(L3&gt;50000,3000+L3*0.2,IF(L3&gt;100000,3000+10000+L3*0.3,0)))</f>
        <v>4994.7000000000007</v>
      </c>
      <c r="O3" s="13">
        <f t="shared" ref="O3:O10" ca="1" si="2">IF(L3&gt;100000,3000+10000+(L3-100000)*0.3,IF(L3&gt;50000,3000+(L3-50000)*0.2,IF(L3&gt;20000,(L3-20000)*0.1,0)))</f>
        <v>2994.7000000000003</v>
      </c>
      <c r="P3" t="s">
        <v>117</v>
      </c>
    </row>
    <row r="4" spans="1:17">
      <c r="A4" t="s">
        <v>111</v>
      </c>
      <c r="B4">
        <f>B2^2-4*B1*B3</f>
        <v>4</v>
      </c>
      <c r="L4" s="13">
        <f t="shared" ca="1" si="0"/>
        <v>21791</v>
      </c>
      <c r="M4" s="13">
        <f t="shared" ca="1" si="1"/>
        <v>2179.1</v>
      </c>
      <c r="O4" s="13">
        <f t="shared" ca="1" si="2"/>
        <v>179.10000000000002</v>
      </c>
      <c r="P4" t="s">
        <v>118</v>
      </c>
    </row>
    <row r="5" spans="1:17">
      <c r="A5" t="s">
        <v>112</v>
      </c>
      <c r="B5" t="str">
        <f>IF(B4&gt;0,"real and distinct",IF(B4=0,"real and same","composite"))</f>
        <v>real and distinct</v>
      </c>
      <c r="L5" s="13">
        <f t="shared" ca="1" si="0"/>
        <v>27467</v>
      </c>
      <c r="M5" s="13">
        <f t="shared" ca="1" si="1"/>
        <v>2746.7000000000003</v>
      </c>
      <c r="O5" s="13">
        <f t="shared" ca="1" si="2"/>
        <v>746.7</v>
      </c>
    </row>
    <row r="6" spans="1:17">
      <c r="A6" t="s">
        <v>113</v>
      </c>
      <c r="B6">
        <f>(-B2+SQRT(B4))/(2*B1)</f>
        <v>-0.6</v>
      </c>
      <c r="L6" s="13">
        <f t="shared" ca="1" si="0"/>
        <v>198348</v>
      </c>
      <c r="M6" s="13">
        <f t="shared" ca="1" si="1"/>
        <v>19834.800000000003</v>
      </c>
      <c r="O6" s="13">
        <f t="shared" ca="1" si="2"/>
        <v>42504.399999999994</v>
      </c>
    </row>
    <row r="7" spans="1:17">
      <c r="A7" t="s">
        <v>114</v>
      </c>
      <c r="B7">
        <f>(-B2-SQRT(B4))/(2*B1)</f>
        <v>-1</v>
      </c>
      <c r="L7" s="13">
        <f t="shared" ca="1" si="0"/>
        <v>121745</v>
      </c>
      <c r="M7" s="13">
        <f t="shared" ca="1" si="1"/>
        <v>12174.5</v>
      </c>
      <c r="O7" s="13">
        <f t="shared" ca="1" si="2"/>
        <v>19523.5</v>
      </c>
    </row>
    <row r="8" spans="1:17">
      <c r="L8" s="13">
        <f t="shared" ca="1" si="0"/>
        <v>63860</v>
      </c>
      <c r="M8" s="13">
        <f t="shared" ca="1" si="1"/>
        <v>6386</v>
      </c>
      <c r="O8" s="13">
        <f t="shared" ca="1" si="2"/>
        <v>5772</v>
      </c>
    </row>
    <row r="9" spans="1:17">
      <c r="L9" s="13">
        <f t="shared" ca="1" si="0"/>
        <v>89760</v>
      </c>
      <c r="M9" s="13">
        <f t="shared" ca="1" si="1"/>
        <v>8976</v>
      </c>
      <c r="O9" s="13">
        <f t="shared" ca="1" si="2"/>
        <v>10952</v>
      </c>
    </row>
    <row r="10" spans="1:17">
      <c r="L10">
        <v>15000</v>
      </c>
      <c r="M10" s="13">
        <f t="shared" si="1"/>
        <v>0</v>
      </c>
      <c r="O10" s="13">
        <f t="shared" si="2"/>
        <v>0</v>
      </c>
    </row>
    <row r="11" spans="1:17">
      <c r="L11" s="13"/>
    </row>
    <row r="13" spans="1:17">
      <c r="L13" t="s">
        <v>120</v>
      </c>
      <c r="M13" t="s">
        <v>121</v>
      </c>
      <c r="N13" t="s">
        <v>122</v>
      </c>
      <c r="O13" t="s">
        <v>123</v>
      </c>
      <c r="Q13" t="s">
        <v>123</v>
      </c>
    </row>
    <row r="14" spans="1:17">
      <c r="L14">
        <f ca="1">RANDBETWEEN(0,100)</f>
        <v>45</v>
      </c>
      <c r="M14">
        <f ca="1">L14*100</f>
        <v>4500</v>
      </c>
      <c r="N14">
        <f t="shared" ref="N14:N22" ca="1" si="3">IF(L14&gt;=50,M14*0.2,IF(L14&gt;=30,M14*0.15,IF(L14&gt;=20,M14*0.1,IF(L14&gt;=10,M14*0.05,0))))</f>
        <v>675</v>
      </c>
      <c r="O14">
        <f ca="1">M14-N14</f>
        <v>3825</v>
      </c>
      <c r="Q14">
        <f ca="1">IF(L14&gt;=50,M14-M14*0.2,IF(L14&gt;=30,M14-M14*0.15,IF(L14&gt;=20,M14-M14*0.1,IF(L14&gt;=10,M14-M14*0.05,M14))))</f>
        <v>3825</v>
      </c>
    </row>
    <row r="15" spans="1:17">
      <c r="L15">
        <f t="shared" ref="L15:L22" ca="1" si="4">RANDBETWEEN(0,100)</f>
        <v>32</v>
      </c>
      <c r="M15">
        <f t="shared" ref="M15:M22" ca="1" si="5">L15*100</f>
        <v>3200</v>
      </c>
      <c r="N15">
        <f t="shared" ca="1" si="3"/>
        <v>480</v>
      </c>
      <c r="O15">
        <f t="shared" ref="O15:O22" ca="1" si="6">M15-N15</f>
        <v>2720</v>
      </c>
      <c r="Q15">
        <f t="shared" ref="Q15:Q22" ca="1" si="7">IF(L15&gt;=50,M15-M15*0.2,IF(L15&gt;=30,M15-M15*0.15,IF(L15&gt;=20,M15-M15*0.1,IF(L15&gt;=10,M15-M15*0.05,M15))))</f>
        <v>2720</v>
      </c>
    </row>
    <row r="16" spans="1:17">
      <c r="L16">
        <f t="shared" ca="1" si="4"/>
        <v>7</v>
      </c>
      <c r="M16">
        <f t="shared" ca="1" si="5"/>
        <v>700</v>
      </c>
      <c r="N16">
        <f t="shared" ca="1" si="3"/>
        <v>0</v>
      </c>
      <c r="O16">
        <f t="shared" ca="1" si="6"/>
        <v>700</v>
      </c>
      <c r="Q16">
        <f t="shared" ca="1" si="7"/>
        <v>700</v>
      </c>
    </row>
    <row r="17" spans="1:17">
      <c r="L17">
        <f t="shared" ca="1" si="4"/>
        <v>64</v>
      </c>
      <c r="M17">
        <f t="shared" ca="1" si="5"/>
        <v>6400</v>
      </c>
      <c r="N17">
        <f t="shared" ca="1" si="3"/>
        <v>1280</v>
      </c>
      <c r="O17">
        <f t="shared" ca="1" si="6"/>
        <v>5120</v>
      </c>
      <c r="Q17">
        <f t="shared" ca="1" si="7"/>
        <v>5120</v>
      </c>
    </row>
    <row r="18" spans="1:17">
      <c r="L18">
        <f t="shared" ca="1" si="4"/>
        <v>86</v>
      </c>
      <c r="M18">
        <f t="shared" ca="1" si="5"/>
        <v>8600</v>
      </c>
      <c r="N18">
        <f t="shared" ca="1" si="3"/>
        <v>1720</v>
      </c>
      <c r="O18">
        <f t="shared" ca="1" si="6"/>
        <v>6880</v>
      </c>
      <c r="Q18">
        <f t="shared" ca="1" si="7"/>
        <v>6880</v>
      </c>
    </row>
    <row r="19" spans="1:17">
      <c r="L19">
        <f t="shared" ca="1" si="4"/>
        <v>46</v>
      </c>
      <c r="M19">
        <f t="shared" ca="1" si="5"/>
        <v>4600</v>
      </c>
      <c r="N19">
        <f t="shared" ca="1" si="3"/>
        <v>690</v>
      </c>
      <c r="O19">
        <f t="shared" ca="1" si="6"/>
        <v>3910</v>
      </c>
      <c r="Q19">
        <f t="shared" ca="1" si="7"/>
        <v>3910</v>
      </c>
    </row>
    <row r="20" spans="1:17">
      <c r="L20">
        <f t="shared" ca="1" si="4"/>
        <v>3</v>
      </c>
      <c r="M20">
        <f t="shared" ca="1" si="5"/>
        <v>300</v>
      </c>
      <c r="N20">
        <f t="shared" ca="1" si="3"/>
        <v>0</v>
      </c>
      <c r="O20">
        <f t="shared" ca="1" si="6"/>
        <v>300</v>
      </c>
      <c r="Q20">
        <f t="shared" ca="1" si="7"/>
        <v>300</v>
      </c>
    </row>
    <row r="21" spans="1:17">
      <c r="L21">
        <f t="shared" ca="1" si="4"/>
        <v>59</v>
      </c>
      <c r="M21">
        <f t="shared" ca="1" si="5"/>
        <v>5900</v>
      </c>
      <c r="N21">
        <f t="shared" ca="1" si="3"/>
        <v>1180</v>
      </c>
      <c r="O21">
        <f t="shared" ca="1" si="6"/>
        <v>4720</v>
      </c>
      <c r="Q21">
        <f t="shared" ca="1" si="7"/>
        <v>4720</v>
      </c>
    </row>
    <row r="22" spans="1:17">
      <c r="L22">
        <f t="shared" ca="1" si="4"/>
        <v>10</v>
      </c>
      <c r="M22">
        <f t="shared" ca="1" si="5"/>
        <v>1000</v>
      </c>
      <c r="N22">
        <f t="shared" ca="1" si="3"/>
        <v>50</v>
      </c>
      <c r="O22">
        <f t="shared" ca="1" si="6"/>
        <v>950</v>
      </c>
      <c r="Q22">
        <f t="shared" ca="1" si="7"/>
        <v>950</v>
      </c>
    </row>
    <row r="23" spans="1:17">
      <c r="A23" t="s">
        <v>124</v>
      </c>
      <c r="B23" t="s">
        <v>125</v>
      </c>
    </row>
    <row r="24" spans="1:17">
      <c r="A24">
        <f ca="1">RANDBETWEEN(0,25000)</f>
        <v>24784</v>
      </c>
      <c r="B24">
        <f ca="1">IF(A24&gt;10000,A24*0.1,IF(A24&gt;5000,A24*0.07,IF(A24&gt;2000,A24*0.05,A24*0.02)))</f>
        <v>2478.4</v>
      </c>
    </row>
    <row r="25" spans="1:17">
      <c r="A25">
        <f t="shared" ref="A25:A34" ca="1" si="8">RANDBETWEEN(0,25000)</f>
        <v>7943</v>
      </c>
      <c r="B25">
        <f t="shared" ref="B25:B34" ca="1" si="9">IF(A25&gt;10000,A25*0.1,IF(A25&gt;5000,A25*0.07,IF(A25&gt;2000,A25*0.05,A25*0.02)))</f>
        <v>556.0100000000001</v>
      </c>
    </row>
    <row r="26" spans="1:17">
      <c r="A26">
        <f t="shared" ca="1" si="8"/>
        <v>21543</v>
      </c>
      <c r="B26">
        <f t="shared" ca="1" si="9"/>
        <v>2154.3000000000002</v>
      </c>
    </row>
    <row r="27" spans="1:17">
      <c r="A27">
        <f t="shared" ca="1" si="8"/>
        <v>21013</v>
      </c>
      <c r="B27">
        <f t="shared" ca="1" si="9"/>
        <v>2101.3000000000002</v>
      </c>
    </row>
    <row r="28" spans="1:17">
      <c r="A28">
        <f t="shared" ca="1" si="8"/>
        <v>22400</v>
      </c>
      <c r="B28">
        <f t="shared" ca="1" si="9"/>
        <v>2240</v>
      </c>
    </row>
    <row r="29" spans="1:17">
      <c r="A29">
        <f t="shared" ca="1" si="8"/>
        <v>12809</v>
      </c>
      <c r="B29">
        <f t="shared" ca="1" si="9"/>
        <v>1280.9000000000001</v>
      </c>
    </row>
    <row r="30" spans="1:17">
      <c r="A30">
        <f t="shared" ca="1" si="8"/>
        <v>14999</v>
      </c>
      <c r="B30">
        <f t="shared" ca="1" si="9"/>
        <v>1499.9</v>
      </c>
    </row>
    <row r="31" spans="1:17">
      <c r="A31">
        <f t="shared" ca="1" si="8"/>
        <v>15289</v>
      </c>
      <c r="B31">
        <f t="shared" ca="1" si="9"/>
        <v>1528.9</v>
      </c>
    </row>
    <row r="32" spans="1:17">
      <c r="A32">
        <f t="shared" ca="1" si="8"/>
        <v>2969</v>
      </c>
      <c r="B32">
        <f t="shared" ca="1" si="9"/>
        <v>148.45000000000002</v>
      </c>
    </row>
    <row r="33" spans="1:2">
      <c r="A33">
        <f t="shared" ca="1" si="8"/>
        <v>9301</v>
      </c>
      <c r="B33">
        <f t="shared" ca="1" si="9"/>
        <v>651.07000000000005</v>
      </c>
    </row>
    <row r="34" spans="1:2">
      <c r="A34">
        <f t="shared" ca="1" si="8"/>
        <v>15300</v>
      </c>
      <c r="B34">
        <f t="shared" ca="1" si="9"/>
        <v>1530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15" sqref="D15"/>
    </sheetView>
  </sheetViews>
  <sheetFormatPr defaultRowHeight="15"/>
  <cols>
    <col min="1" max="1" width="18.42578125" customWidth="1"/>
    <col min="2" max="2" width="31.5703125" customWidth="1"/>
    <col min="3" max="3" width="21.7109375" customWidth="1"/>
    <col min="4" max="4" width="11.7109375" customWidth="1"/>
    <col min="5" max="5" width="24.28515625" customWidth="1"/>
    <col min="6" max="6" width="16.5703125" customWidth="1"/>
  </cols>
  <sheetData>
    <row r="1" spans="1:5">
      <c r="A1" t="s">
        <v>128</v>
      </c>
      <c r="B1" t="s">
        <v>127</v>
      </c>
    </row>
    <row r="2" spans="1:5">
      <c r="A2">
        <v>30</v>
      </c>
      <c r="B2">
        <v>50</v>
      </c>
      <c r="C2" t="str">
        <f>IF(AND(A2&gt;=75,B2&gt;80),"entitled for scholarship","no scholarship")</f>
        <v>no scholarship</v>
      </c>
      <c r="E2" t="str">
        <f>IF(OR(A2&lt;30,B2&lt;40),"debarred","not debarred")</f>
        <v>not debarred</v>
      </c>
    </row>
    <row r="3" spans="1:5">
      <c r="A3">
        <v>45</v>
      </c>
      <c r="B3">
        <v>65</v>
      </c>
      <c r="C3" t="str">
        <f t="shared" ref="C3:C8" si="0">IF(AND(A3&gt;=75,B3&gt;80),"entitled for scholarship","no scholarship")</f>
        <v>no scholarship</v>
      </c>
      <c r="E3" t="str">
        <f t="shared" ref="E3:E8" si="1">IF(OR(A3&lt;30,B3&lt;40),"debarred","not debarred")</f>
        <v>not debarred</v>
      </c>
    </row>
    <row r="4" spans="1:5">
      <c r="A4">
        <v>20</v>
      </c>
      <c r="B4">
        <v>40</v>
      </c>
      <c r="C4" t="str">
        <f t="shared" si="0"/>
        <v>no scholarship</v>
      </c>
      <c r="E4" t="str">
        <f t="shared" si="1"/>
        <v>debarred</v>
      </c>
    </row>
    <row r="5" spans="1:5">
      <c r="A5">
        <v>60</v>
      </c>
      <c r="B5">
        <v>80</v>
      </c>
      <c r="C5" t="str">
        <f t="shared" si="0"/>
        <v>no scholarship</v>
      </c>
      <c r="E5" t="str">
        <f t="shared" si="1"/>
        <v>not debarred</v>
      </c>
    </row>
    <row r="6" spans="1:5">
      <c r="A6">
        <v>70</v>
      </c>
      <c r="B6">
        <v>86</v>
      </c>
      <c r="C6" t="str">
        <f t="shared" si="0"/>
        <v>no scholarship</v>
      </c>
      <c r="E6" t="str">
        <f t="shared" si="1"/>
        <v>not debarred</v>
      </c>
    </row>
    <row r="7" spans="1:5">
      <c r="A7">
        <v>90</v>
      </c>
      <c r="B7">
        <v>95</v>
      </c>
      <c r="C7" t="str">
        <f t="shared" si="0"/>
        <v>entitled for scholarship</v>
      </c>
      <c r="E7" t="str">
        <f t="shared" si="1"/>
        <v>not debarred</v>
      </c>
    </row>
    <row r="8" spans="1:5">
      <c r="A8">
        <v>10</v>
      </c>
      <c r="B8">
        <v>33</v>
      </c>
      <c r="C8" t="str">
        <f t="shared" si="0"/>
        <v>no scholarship</v>
      </c>
      <c r="E8" t="str">
        <f t="shared" si="1"/>
        <v>debarred</v>
      </c>
    </row>
    <row r="13" spans="1:5">
      <c r="A13" t="s">
        <v>129</v>
      </c>
    </row>
    <row r="14" spans="1:5">
      <c r="A14" t="s">
        <v>130</v>
      </c>
    </row>
    <row r="15" spans="1:5">
      <c r="A15">
        <f ca="1">RANDBETWEEN(-5000,5000)</f>
        <v>-1932</v>
      </c>
      <c r="B15" t="str">
        <f ca="1">IF(AND(A15&gt;0,ISEVEN(A15)),"number is even and positive","number is not positive or odd")</f>
        <v>number is not positive or odd</v>
      </c>
      <c r="D15" s="28" t="str">
        <f t="shared" ref="D15:D24" ca="1" si="2">IF(AND(A15&gt;0,(MOD(A15,2)=0)),"number is even and positive","numbere is not positive or odd")</f>
        <v>numbere is not positive or odd</v>
      </c>
    </row>
    <row r="16" spans="1:5">
      <c r="A16">
        <f t="shared" ref="A16:A23" ca="1" si="3">RANDBETWEEN(-5000,5000)</f>
        <v>1559</v>
      </c>
      <c r="B16" t="str">
        <f t="shared" ref="B16:B24" ca="1" si="4">IF(AND(A16&gt;0,ISEVEN(A16)),"number is even and positive","number is not positive or odd")</f>
        <v>number is not positive or odd</v>
      </c>
      <c r="D16" t="str">
        <f t="shared" ca="1" si="2"/>
        <v>numbere is not positive or odd</v>
      </c>
    </row>
    <row r="17" spans="1:6">
      <c r="A17">
        <f t="shared" ca="1" si="3"/>
        <v>-1159</v>
      </c>
      <c r="B17" t="str">
        <f t="shared" ca="1" si="4"/>
        <v>number is not positive or odd</v>
      </c>
      <c r="D17" t="str">
        <f t="shared" ca="1" si="2"/>
        <v>numbere is not positive or odd</v>
      </c>
    </row>
    <row r="18" spans="1:6">
      <c r="A18">
        <f t="shared" ca="1" si="3"/>
        <v>-1593</v>
      </c>
      <c r="B18" t="str">
        <f t="shared" ca="1" si="4"/>
        <v>number is not positive or odd</v>
      </c>
      <c r="D18" t="str">
        <f t="shared" ca="1" si="2"/>
        <v>numbere is not positive or odd</v>
      </c>
    </row>
    <row r="19" spans="1:6">
      <c r="A19">
        <f t="shared" ca="1" si="3"/>
        <v>-4598</v>
      </c>
      <c r="B19" t="str">
        <f t="shared" ca="1" si="4"/>
        <v>number is not positive or odd</v>
      </c>
      <c r="D19" t="str">
        <f t="shared" ca="1" si="2"/>
        <v>numbere is not positive or odd</v>
      </c>
    </row>
    <row r="20" spans="1:6">
      <c r="A20">
        <f t="shared" ca="1" si="3"/>
        <v>-2439</v>
      </c>
      <c r="B20" t="str">
        <f t="shared" ca="1" si="4"/>
        <v>number is not positive or odd</v>
      </c>
      <c r="D20" t="str">
        <f t="shared" ca="1" si="2"/>
        <v>numbere is not positive or odd</v>
      </c>
    </row>
    <row r="21" spans="1:6">
      <c r="A21">
        <f t="shared" ca="1" si="3"/>
        <v>1203</v>
      </c>
      <c r="B21" t="str">
        <f t="shared" ca="1" si="4"/>
        <v>number is not positive or odd</v>
      </c>
      <c r="D21" t="str">
        <f t="shared" ca="1" si="2"/>
        <v>numbere is not positive or odd</v>
      </c>
    </row>
    <row r="22" spans="1:6">
      <c r="A22">
        <f t="shared" ca="1" si="3"/>
        <v>4250</v>
      </c>
      <c r="B22" t="str">
        <f t="shared" ca="1" si="4"/>
        <v>number is even and positive</v>
      </c>
      <c r="D22" t="str">
        <f t="shared" ca="1" si="2"/>
        <v>number is even and positive</v>
      </c>
    </row>
    <row r="23" spans="1:6">
      <c r="A23">
        <f t="shared" ca="1" si="3"/>
        <v>-4</v>
      </c>
      <c r="B23" t="str">
        <f t="shared" ca="1" si="4"/>
        <v>number is not positive or odd</v>
      </c>
      <c r="D23" t="str">
        <f t="shared" ca="1" si="2"/>
        <v>numbere is not positive or odd</v>
      </c>
    </row>
    <row r="24" spans="1:6">
      <c r="A24">
        <v>24</v>
      </c>
      <c r="B24" t="str">
        <f t="shared" si="4"/>
        <v>number is even and positive</v>
      </c>
      <c r="D24" t="str">
        <f t="shared" si="2"/>
        <v>number is even and positive</v>
      </c>
    </row>
    <row r="26" spans="1:6">
      <c r="A26" t="s">
        <v>131</v>
      </c>
    </row>
    <row r="29" spans="1:6">
      <c r="A29" t="s">
        <v>132</v>
      </c>
      <c r="B29" t="s">
        <v>133</v>
      </c>
    </row>
    <row r="30" spans="1:6">
      <c r="A30">
        <v>20</v>
      </c>
      <c r="B30" t="s">
        <v>135</v>
      </c>
      <c r="C30" t="str">
        <f>IF(AND(A30&gt;18,B30="yes"),"eligible","not eligible")</f>
        <v>eligible</v>
      </c>
      <c r="E30" t="s">
        <v>134</v>
      </c>
      <c r="F30" t="str">
        <f>IF(AND(A30&gt;18,E30="indian"),"eligible","not eligible")</f>
        <v>eligible</v>
      </c>
    </row>
    <row r="31" spans="1:6">
      <c r="A31">
        <f t="shared" ref="A31:A37" ca="1" si="5">RANDBETWEEN(0,50)</f>
        <v>20</v>
      </c>
      <c r="B31" t="s">
        <v>136</v>
      </c>
      <c r="C31" t="str">
        <f t="shared" ref="C31:C37" ca="1" si="6">IF(AND(A31&gt;18,B31="yes"),"eligible","not eligible")</f>
        <v>not eligible</v>
      </c>
      <c r="F31" t="str">
        <f t="shared" ref="F31:F37" ca="1" si="7">IF(AND(A31&gt;18,E31="indian"),"eligible","not eligible")</f>
        <v>not eligible</v>
      </c>
    </row>
    <row r="32" spans="1:6">
      <c r="A32">
        <f t="shared" ca="1" si="5"/>
        <v>43</v>
      </c>
      <c r="B32" t="s">
        <v>135</v>
      </c>
      <c r="C32" t="str">
        <f t="shared" ca="1" si="6"/>
        <v>eligible</v>
      </c>
      <c r="E32" t="s">
        <v>134</v>
      </c>
      <c r="F32" t="str">
        <f t="shared" ca="1" si="7"/>
        <v>eligible</v>
      </c>
    </row>
    <row r="33" spans="1:6">
      <c r="A33">
        <f t="shared" ca="1" si="5"/>
        <v>8</v>
      </c>
      <c r="B33" t="s">
        <v>136</v>
      </c>
      <c r="C33" t="str">
        <f t="shared" ca="1" si="6"/>
        <v>not eligible</v>
      </c>
      <c r="E33" t="s">
        <v>134</v>
      </c>
      <c r="F33" t="str">
        <f t="shared" ca="1" si="7"/>
        <v>not eligible</v>
      </c>
    </row>
    <row r="34" spans="1:6">
      <c r="A34">
        <f t="shared" ca="1" si="5"/>
        <v>36</v>
      </c>
      <c r="B34" t="s">
        <v>135</v>
      </c>
      <c r="C34" t="str">
        <f t="shared" ca="1" si="6"/>
        <v>eligible</v>
      </c>
      <c r="E34" t="s">
        <v>134</v>
      </c>
      <c r="F34" t="str">
        <f t="shared" ca="1" si="7"/>
        <v>eligible</v>
      </c>
    </row>
    <row r="35" spans="1:6">
      <c r="A35">
        <f t="shared" ca="1" si="5"/>
        <v>36</v>
      </c>
      <c r="B35" t="s">
        <v>135</v>
      </c>
      <c r="C35" t="str">
        <f t="shared" ca="1" si="6"/>
        <v>eligible</v>
      </c>
      <c r="E35" t="s">
        <v>134</v>
      </c>
      <c r="F35" t="str">
        <f t="shared" ca="1" si="7"/>
        <v>eligible</v>
      </c>
    </row>
    <row r="36" spans="1:6">
      <c r="A36">
        <f t="shared" ca="1" si="5"/>
        <v>29</v>
      </c>
      <c r="B36" t="s">
        <v>136</v>
      </c>
      <c r="C36" t="str">
        <f t="shared" ca="1" si="6"/>
        <v>not eligible</v>
      </c>
      <c r="E36" t="s">
        <v>134</v>
      </c>
      <c r="F36" t="str">
        <f t="shared" ca="1" si="7"/>
        <v>eligible</v>
      </c>
    </row>
    <row r="37" spans="1:6">
      <c r="A37">
        <f t="shared" ca="1" si="5"/>
        <v>12</v>
      </c>
      <c r="B37" t="s">
        <v>136</v>
      </c>
      <c r="C37" t="str">
        <f t="shared" ca="1" si="6"/>
        <v>not eligible</v>
      </c>
      <c r="F37" t="str">
        <f t="shared" ca="1" si="7"/>
        <v>not eligible</v>
      </c>
    </row>
    <row r="40" spans="1:6">
      <c r="A40" t="s">
        <v>137</v>
      </c>
    </row>
    <row r="41" spans="1:6">
      <c r="A41" t="s">
        <v>138</v>
      </c>
      <c r="B41" t="s">
        <v>139</v>
      </c>
      <c r="C41" t="s">
        <v>140</v>
      </c>
    </row>
    <row r="42" spans="1:6">
      <c r="B42" t="s">
        <v>135</v>
      </c>
      <c r="C42" t="s">
        <v>136</v>
      </c>
      <c r="E42" t="str">
        <f>IF(OR(B42="yes",C42="yes"),"eligible for discount","not eligible for discount")</f>
        <v>eligible for discount</v>
      </c>
    </row>
    <row r="43" spans="1:6">
      <c r="B43" t="s">
        <v>136</v>
      </c>
      <c r="C43" t="s">
        <v>136</v>
      </c>
      <c r="E43" t="str">
        <f t="shared" ref="E43:E48" si="8">IF(OR(B43="yes",C43="yes"),"eligible for discount","not eligible for discount")</f>
        <v>not eligible for discount</v>
      </c>
    </row>
    <row r="44" spans="1:6">
      <c r="B44" t="s">
        <v>135</v>
      </c>
      <c r="C44" t="s">
        <v>136</v>
      </c>
      <c r="E44" t="str">
        <f t="shared" si="8"/>
        <v>eligible for discount</v>
      </c>
    </row>
    <row r="45" spans="1:6">
      <c r="B45" t="s">
        <v>135</v>
      </c>
      <c r="C45" t="s">
        <v>135</v>
      </c>
      <c r="E45" t="str">
        <f t="shared" si="8"/>
        <v>eligible for discount</v>
      </c>
    </row>
    <row r="46" spans="1:6">
      <c r="B46" t="s">
        <v>135</v>
      </c>
      <c r="C46" t="s">
        <v>135</v>
      </c>
      <c r="E46" t="str">
        <f t="shared" si="8"/>
        <v>eligible for discount</v>
      </c>
    </row>
    <row r="47" spans="1:6">
      <c r="B47" t="s">
        <v>136</v>
      </c>
      <c r="C47" t="s">
        <v>136</v>
      </c>
      <c r="E47" t="str">
        <f t="shared" si="8"/>
        <v>not eligible for discount</v>
      </c>
    </row>
    <row r="48" spans="1:6">
      <c r="B48" t="s">
        <v>135</v>
      </c>
      <c r="E48" t="str">
        <f t="shared" si="8"/>
        <v>eligible for discount</v>
      </c>
    </row>
    <row r="50" spans="1:6">
      <c r="A50" t="s">
        <v>141</v>
      </c>
      <c r="B50" t="s">
        <v>145</v>
      </c>
    </row>
    <row r="51" spans="1:6">
      <c r="A51" t="s">
        <v>146</v>
      </c>
      <c r="B51" t="s">
        <v>144</v>
      </c>
      <c r="C51" t="s">
        <v>142</v>
      </c>
    </row>
    <row r="52" spans="1:6">
      <c r="A52" t="s">
        <v>135</v>
      </c>
      <c r="B52">
        <v>2</v>
      </c>
      <c r="C52" t="s">
        <v>143</v>
      </c>
      <c r="E52" t="str">
        <f>IF(IF(AND(A52="yes",B52&gt;2),C52&lt;&gt;"no"),"bonus awarded","no bonus")</f>
        <v>no bonus</v>
      </c>
      <c r="F52" t="str">
        <f>IF(AND(A52="yes",B52&gt;2),IF(C52&lt;&gt;"no","bonus awarded","no bonus"),"no bonus")</f>
        <v>no bonus</v>
      </c>
    </row>
    <row r="53" spans="1:6">
      <c r="A53" t="s">
        <v>135</v>
      </c>
      <c r="B53">
        <v>3</v>
      </c>
      <c r="C53" t="s">
        <v>143</v>
      </c>
      <c r="E53" t="str">
        <f t="shared" ref="E53:E58" si="9">IF(IF(AND(A53="yes",B53&gt;2),C53&lt;&gt;"no"),"bonus awarded","no bonus")</f>
        <v>bonus awarded</v>
      </c>
      <c r="F53" t="str">
        <f t="shared" ref="F53:F58" si="10">IF(AND(A53="yes",B53&gt;2),IF(C53&lt;&gt;"no","bonus awarded","no bonus"),"no bonus")</f>
        <v>bonus awarded</v>
      </c>
    </row>
    <row r="54" spans="1:6">
      <c r="A54" t="s">
        <v>136</v>
      </c>
      <c r="B54">
        <v>4</v>
      </c>
      <c r="C54" t="s">
        <v>143</v>
      </c>
      <c r="E54" t="str">
        <f t="shared" si="9"/>
        <v>no bonus</v>
      </c>
      <c r="F54" t="str">
        <f t="shared" si="10"/>
        <v>no bonus</v>
      </c>
    </row>
    <row r="55" spans="1:6">
      <c r="A55" t="s">
        <v>135</v>
      </c>
      <c r="B55">
        <v>5</v>
      </c>
      <c r="C55" t="s">
        <v>143</v>
      </c>
      <c r="E55" t="str">
        <f t="shared" si="9"/>
        <v>bonus awarded</v>
      </c>
      <c r="F55" t="str">
        <f t="shared" si="10"/>
        <v>bonus awarded</v>
      </c>
    </row>
    <row r="56" spans="1:6">
      <c r="A56" t="s">
        <v>136</v>
      </c>
      <c r="B56">
        <v>6</v>
      </c>
      <c r="C56" t="s">
        <v>135</v>
      </c>
      <c r="E56" t="str">
        <f t="shared" si="9"/>
        <v>no bonus</v>
      </c>
      <c r="F56" t="str">
        <f t="shared" si="10"/>
        <v>no bonus</v>
      </c>
    </row>
    <row r="57" spans="1:6">
      <c r="A57" t="s">
        <v>135</v>
      </c>
      <c r="B57">
        <v>7</v>
      </c>
      <c r="C57" t="s">
        <v>143</v>
      </c>
      <c r="E57" t="str">
        <f t="shared" si="9"/>
        <v>bonus awarded</v>
      </c>
      <c r="F57" t="str">
        <f t="shared" si="10"/>
        <v>bonus awarded</v>
      </c>
    </row>
    <row r="58" spans="1:6">
      <c r="A58" t="s">
        <v>135</v>
      </c>
      <c r="B58">
        <v>8</v>
      </c>
      <c r="C58" t="s">
        <v>135</v>
      </c>
      <c r="E58" t="str">
        <f t="shared" si="9"/>
        <v>bonus awarded</v>
      </c>
      <c r="F58" t="str">
        <f t="shared" si="10"/>
        <v>bonus awarded</v>
      </c>
    </row>
    <row r="60" spans="1:6">
      <c r="A60" t="s">
        <v>147</v>
      </c>
    </row>
    <row r="62" spans="1:6">
      <c r="A62" t="s">
        <v>148</v>
      </c>
      <c r="B62" t="s">
        <v>149</v>
      </c>
      <c r="C62" t="s">
        <v>150</v>
      </c>
    </row>
    <row r="63" spans="1:6">
      <c r="A63" t="s">
        <v>135</v>
      </c>
      <c r="B63" s="14">
        <f t="shared" ref="B63:B68" ca="1" si="11">RANDBETWEEN(0,1000)</f>
        <v>696</v>
      </c>
      <c r="C63" t="str">
        <f ca="1">IF(OR(A63="yes",B63&gt;100),"special offer available","no special offer")</f>
        <v>special offer available</v>
      </c>
    </row>
    <row r="64" spans="1:6">
      <c r="A64" t="s">
        <v>135</v>
      </c>
      <c r="B64" s="14">
        <f t="shared" ca="1" si="11"/>
        <v>425</v>
      </c>
      <c r="C64" t="str">
        <f t="shared" ref="C64:C70" ca="1" si="12">IF(OR(A64="yes",B64&gt;100),"special offer available","no special offer")</f>
        <v>special offer available</v>
      </c>
    </row>
    <row r="65" spans="1:3">
      <c r="A65" t="s">
        <v>136</v>
      </c>
      <c r="B65" s="14">
        <f t="shared" ca="1" si="11"/>
        <v>924</v>
      </c>
      <c r="C65" t="str">
        <f t="shared" ca="1" si="12"/>
        <v>special offer available</v>
      </c>
    </row>
    <row r="66" spans="1:3">
      <c r="A66" t="s">
        <v>136</v>
      </c>
      <c r="B66" s="14">
        <f t="shared" ca="1" si="11"/>
        <v>340</v>
      </c>
      <c r="C66" t="str">
        <f t="shared" ca="1" si="12"/>
        <v>special offer available</v>
      </c>
    </row>
    <row r="67" spans="1:3">
      <c r="A67" t="s">
        <v>135</v>
      </c>
      <c r="B67" s="14">
        <f t="shared" ca="1" si="11"/>
        <v>533</v>
      </c>
      <c r="C67" t="str">
        <f t="shared" ca="1" si="12"/>
        <v>special offer available</v>
      </c>
    </row>
    <row r="68" spans="1:3">
      <c r="A68" t="s">
        <v>136</v>
      </c>
      <c r="B68" s="14">
        <f t="shared" ca="1" si="11"/>
        <v>593</v>
      </c>
      <c r="C68" t="str">
        <f t="shared" ca="1" si="12"/>
        <v>special offer available</v>
      </c>
    </row>
    <row r="69" spans="1:3">
      <c r="A69" t="s">
        <v>135</v>
      </c>
      <c r="B69" s="14">
        <v>87</v>
      </c>
      <c r="C69" t="str">
        <f t="shared" si="12"/>
        <v>special offer available</v>
      </c>
    </row>
    <row r="70" spans="1:3">
      <c r="A70" t="s">
        <v>136</v>
      </c>
      <c r="B70">
        <v>50</v>
      </c>
      <c r="C70" t="str">
        <f t="shared" si="12"/>
        <v>no special offer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workbookViewId="0">
      <selection activeCell="I2" sqref="I2"/>
    </sheetView>
  </sheetViews>
  <sheetFormatPr defaultRowHeight="15"/>
  <cols>
    <col min="1" max="1" width="11" customWidth="1"/>
    <col min="3" max="3" width="12.5703125" customWidth="1"/>
    <col min="4" max="4" width="15.140625" customWidth="1"/>
    <col min="5" max="5" width="12" customWidth="1"/>
    <col min="10" max="10" width="15.28515625" customWidth="1"/>
  </cols>
  <sheetData>
    <row r="1" spans="1:19">
      <c r="A1" t="s">
        <v>156</v>
      </c>
      <c r="B1" t="s">
        <v>151</v>
      </c>
      <c r="C1" t="s">
        <v>152</v>
      </c>
      <c r="D1" t="s">
        <v>153</v>
      </c>
      <c r="G1" t="s">
        <v>151</v>
      </c>
      <c r="H1" t="s">
        <v>153</v>
      </c>
      <c r="I1" t="s">
        <v>152</v>
      </c>
      <c r="K1" t="s">
        <v>86</v>
      </c>
      <c r="L1" t="str">
        <f>VLOOKUP(K1,$B$2:$D$7,3,0)</f>
        <v>nepal</v>
      </c>
      <c r="O1" t="s">
        <v>216</v>
      </c>
      <c r="P1" t="s">
        <v>119</v>
      </c>
    </row>
    <row r="2" spans="1:19" ht="28.5">
      <c r="A2">
        <v>1</v>
      </c>
      <c r="B2" t="s">
        <v>85</v>
      </c>
      <c r="C2">
        <f ca="1">RANDBETWEEN(10,70)</f>
        <v>47</v>
      </c>
      <c r="D2" t="s">
        <v>34</v>
      </c>
      <c r="G2" t="s">
        <v>93</v>
      </c>
      <c r="H2" t="str">
        <f>VLOOKUP(G2,B2:D7,3,0)</f>
        <v>usa</v>
      </c>
      <c r="I2">
        <f>VLOOKUP(G2,B2:D7,2,0)</f>
        <v>55</v>
      </c>
      <c r="K2" t="s">
        <v>87</v>
      </c>
      <c r="L2" t="str">
        <f>VLOOKUP(K2,$B$2:$D$7,3,0)</f>
        <v>china</v>
      </c>
      <c r="O2">
        <v>20000</v>
      </c>
      <c r="P2">
        <v>20</v>
      </c>
      <c r="R2" s="16" t="s">
        <v>230</v>
      </c>
    </row>
    <row r="3" spans="1:19">
      <c r="A3">
        <v>2</v>
      </c>
      <c r="B3" t="s">
        <v>86</v>
      </c>
      <c r="C3">
        <f ca="1">RANDBETWEEN(10,70)</f>
        <v>20</v>
      </c>
      <c r="D3" t="s">
        <v>36</v>
      </c>
      <c r="K3" t="s">
        <v>88</v>
      </c>
      <c r="L3" t="str">
        <f>VLOOKUP(K3,$B$2:$D$7,3,0)</f>
        <v>japan</v>
      </c>
      <c r="O3">
        <v>30000</v>
      </c>
      <c r="P3">
        <v>30</v>
      </c>
    </row>
    <row r="4" spans="1:19">
      <c r="A4">
        <v>3</v>
      </c>
      <c r="B4" t="s">
        <v>87</v>
      </c>
      <c r="C4">
        <f ca="1">RANDBETWEEN(10,70)</f>
        <v>21</v>
      </c>
      <c r="D4" t="s">
        <v>37</v>
      </c>
      <c r="K4" t="s">
        <v>85</v>
      </c>
      <c r="L4" t="str">
        <f>VLOOKUP(K4,$B$2:$D$7,3,0)</f>
        <v>india</v>
      </c>
      <c r="O4">
        <v>40000</v>
      </c>
      <c r="P4">
        <v>40</v>
      </c>
      <c r="R4">
        <v>59999</v>
      </c>
      <c r="S4">
        <f>VLOOKUP(R4,O2:P10,2,1)</f>
        <v>50</v>
      </c>
    </row>
    <row r="5" spans="1:19">
      <c r="A5">
        <v>4</v>
      </c>
      <c r="B5" t="s">
        <v>88</v>
      </c>
      <c r="C5">
        <f ca="1">RANDBETWEEN(10,70)</f>
        <v>32</v>
      </c>
      <c r="D5" t="s">
        <v>154</v>
      </c>
      <c r="H5">
        <v>47</v>
      </c>
      <c r="I5" t="str">
        <f ca="1">VLOOKUP(H5,C2:D7,2,0)</f>
        <v>india</v>
      </c>
      <c r="K5" t="s">
        <v>85</v>
      </c>
      <c r="L5" t="str">
        <f>VLOOKUP(K5,$B$2:$D$7,3,0)</f>
        <v>india</v>
      </c>
      <c r="O5">
        <v>50000</v>
      </c>
      <c r="P5">
        <v>50</v>
      </c>
    </row>
    <row r="6" spans="1:19">
      <c r="A6">
        <v>5</v>
      </c>
      <c r="B6" t="s">
        <v>89</v>
      </c>
      <c r="C6">
        <f ca="1">RANDBETWEEN(10,70)</f>
        <v>44</v>
      </c>
      <c r="D6" t="s">
        <v>155</v>
      </c>
      <c r="E6" t="s">
        <v>85</v>
      </c>
      <c r="F6">
        <f ca="1">VLOOKUP(E6,B2:D6,2,0)</f>
        <v>47</v>
      </c>
      <c r="G6" t="str">
        <f>VLOOKUP(E6,B2:D6,3,0)</f>
        <v>india</v>
      </c>
      <c r="O6">
        <v>60000</v>
      </c>
      <c r="P6">
        <v>60</v>
      </c>
    </row>
    <row r="7" spans="1:19">
      <c r="A7">
        <v>6</v>
      </c>
      <c r="B7" t="s">
        <v>93</v>
      </c>
      <c r="C7">
        <v>55</v>
      </c>
      <c r="D7" t="s">
        <v>157</v>
      </c>
      <c r="O7">
        <v>70000</v>
      </c>
      <c r="P7">
        <v>70</v>
      </c>
    </row>
    <row r="8" spans="1:19">
      <c r="E8" t="s">
        <v>86</v>
      </c>
      <c r="F8" t="e">
        <f>VLOOKUP(E8,A2:D6,3,0)</f>
        <v>#N/A</v>
      </c>
      <c r="G8">
        <f ca="1">VLOOKUP(E8,B2:D6,2,0)</f>
        <v>20</v>
      </c>
      <c r="O8">
        <v>80000</v>
      </c>
      <c r="P8">
        <v>80</v>
      </c>
    </row>
    <row r="9" spans="1:19">
      <c r="O9">
        <v>90000</v>
      </c>
      <c r="P9">
        <v>90</v>
      </c>
    </row>
    <row r="10" spans="1:19">
      <c r="O10">
        <v>100000</v>
      </c>
      <c r="P10">
        <v>100</v>
      </c>
    </row>
    <row r="13" spans="1:19">
      <c r="A13" s="15"/>
    </row>
    <row r="15" spans="1:19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12</v>
      </c>
    </row>
    <row r="16" spans="1:19">
      <c r="A16">
        <v>1</v>
      </c>
      <c r="B16" t="s">
        <v>163</v>
      </c>
      <c r="C16">
        <v>21</v>
      </c>
      <c r="D16" t="s">
        <v>168</v>
      </c>
      <c r="E16" t="s">
        <v>173</v>
      </c>
      <c r="F16">
        <f ca="1">RANDBETWEEN(20,100)</f>
        <v>25</v>
      </c>
      <c r="G16">
        <f t="shared" ref="G16:J20" ca="1" si="0">RANDBETWEEN(20,100)</f>
        <v>36</v>
      </c>
      <c r="H16">
        <f t="shared" ca="1" si="0"/>
        <v>84</v>
      </c>
      <c r="I16">
        <f t="shared" ca="1" si="0"/>
        <v>74</v>
      </c>
      <c r="J16">
        <f t="shared" ca="1" si="0"/>
        <v>48</v>
      </c>
      <c r="K16">
        <f ca="1">SUM(F16:J16)</f>
        <v>267</v>
      </c>
      <c r="L16">
        <f ca="1">K16/5</f>
        <v>53.4</v>
      </c>
      <c r="M16">
        <f ca="1">IF(L16&gt;90,K16+5,0)</f>
        <v>0</v>
      </c>
    </row>
    <row r="17" spans="1:13">
      <c r="A17">
        <v>2</v>
      </c>
      <c r="B17" t="s">
        <v>164</v>
      </c>
      <c r="C17">
        <v>22</v>
      </c>
      <c r="D17" t="s">
        <v>169</v>
      </c>
      <c r="E17" t="s">
        <v>174</v>
      </c>
      <c r="F17">
        <f ca="1">RANDBETWEEN(20,100)</f>
        <v>44</v>
      </c>
      <c r="G17">
        <f t="shared" ca="1" si="0"/>
        <v>93</v>
      </c>
      <c r="H17">
        <f t="shared" ca="1" si="0"/>
        <v>98</v>
      </c>
      <c r="I17">
        <f t="shared" ca="1" si="0"/>
        <v>69</v>
      </c>
      <c r="J17">
        <f t="shared" ca="1" si="0"/>
        <v>89</v>
      </c>
      <c r="K17">
        <f ca="1">SUM(F17:J17)</f>
        <v>393</v>
      </c>
      <c r="L17">
        <f ca="1">K17/5</f>
        <v>78.599999999999994</v>
      </c>
      <c r="M17">
        <f ca="1">IF(L17&gt;90,K17+5,0)</f>
        <v>0</v>
      </c>
    </row>
    <row r="18" spans="1:13">
      <c r="A18">
        <v>3</v>
      </c>
      <c r="B18" t="s">
        <v>165</v>
      </c>
      <c r="C18">
        <v>23</v>
      </c>
      <c r="D18" t="s">
        <v>170</v>
      </c>
      <c r="E18" t="s">
        <v>175</v>
      </c>
      <c r="F18">
        <f ca="1">RANDBETWEEN(20,100)</f>
        <v>49</v>
      </c>
      <c r="G18">
        <f t="shared" ca="1" si="0"/>
        <v>82</v>
      </c>
      <c r="H18">
        <f t="shared" ca="1" si="0"/>
        <v>49</v>
      </c>
      <c r="I18">
        <f t="shared" ca="1" si="0"/>
        <v>82</v>
      </c>
      <c r="J18">
        <f t="shared" ca="1" si="0"/>
        <v>98</v>
      </c>
      <c r="K18">
        <f ca="1">SUM(F18:J18)</f>
        <v>360</v>
      </c>
      <c r="L18">
        <f ca="1">K18/5</f>
        <v>72</v>
      </c>
      <c r="M18">
        <f ca="1">IF(L18&gt;90,K18+5,0)</f>
        <v>0</v>
      </c>
    </row>
    <row r="19" spans="1:13">
      <c r="A19">
        <v>4</v>
      </c>
      <c r="B19" t="s">
        <v>166</v>
      </c>
      <c r="C19">
        <v>24</v>
      </c>
      <c r="D19" t="s">
        <v>171</v>
      </c>
      <c r="E19" t="s">
        <v>176</v>
      </c>
      <c r="F19">
        <f ca="1">RANDBETWEEN(20,100)</f>
        <v>93</v>
      </c>
      <c r="G19">
        <f t="shared" ca="1" si="0"/>
        <v>55</v>
      </c>
      <c r="H19">
        <f t="shared" ca="1" si="0"/>
        <v>67</v>
      </c>
      <c r="I19">
        <f t="shared" ca="1" si="0"/>
        <v>64</v>
      </c>
      <c r="J19">
        <f t="shared" ca="1" si="0"/>
        <v>83</v>
      </c>
      <c r="K19">
        <f ca="1">SUM(F19:J19)</f>
        <v>362</v>
      </c>
      <c r="L19">
        <f ca="1">K19/5</f>
        <v>72.400000000000006</v>
      </c>
      <c r="M19">
        <f ca="1">IF(L19&gt;90,K19+5,0)</f>
        <v>0</v>
      </c>
    </row>
    <row r="20" spans="1:13">
      <c r="A20">
        <v>5</v>
      </c>
      <c r="B20" t="s">
        <v>167</v>
      </c>
      <c r="C20">
        <v>25</v>
      </c>
      <c r="D20" t="s">
        <v>172</v>
      </c>
      <c r="E20" t="s">
        <v>177</v>
      </c>
      <c r="F20">
        <f ca="1">RANDBETWEEN(20,100)</f>
        <v>57</v>
      </c>
      <c r="G20">
        <f t="shared" ca="1" si="0"/>
        <v>94</v>
      </c>
      <c r="H20">
        <f t="shared" ca="1" si="0"/>
        <v>78</v>
      </c>
      <c r="I20">
        <f t="shared" ca="1" si="0"/>
        <v>51</v>
      </c>
      <c r="J20">
        <f t="shared" ca="1" si="0"/>
        <v>87</v>
      </c>
      <c r="K20">
        <f ca="1">SUM(F20:J20)</f>
        <v>367</v>
      </c>
      <c r="L20">
        <f ca="1">K20/5</f>
        <v>73.400000000000006</v>
      </c>
      <c r="M20">
        <f ca="1">IF(L20&gt;90,K20+5,0)</f>
        <v>0</v>
      </c>
    </row>
    <row r="23" spans="1:13">
      <c r="A23" t="s">
        <v>184</v>
      </c>
      <c r="B23" t="s">
        <v>159</v>
      </c>
      <c r="C23" t="s">
        <v>160</v>
      </c>
      <c r="D23" t="s">
        <v>185</v>
      </c>
      <c r="E23" t="s">
        <v>162</v>
      </c>
      <c r="F23" t="s">
        <v>178</v>
      </c>
      <c r="G23" t="s">
        <v>179</v>
      </c>
      <c r="H23" t="s">
        <v>180</v>
      </c>
      <c r="I23" t="s">
        <v>181</v>
      </c>
      <c r="J23" t="s">
        <v>182</v>
      </c>
      <c r="K23" t="s">
        <v>183</v>
      </c>
      <c r="L23" t="s">
        <v>12</v>
      </c>
    </row>
    <row r="24" spans="1:13">
      <c r="A24">
        <v>1</v>
      </c>
      <c r="B24" t="s">
        <v>163</v>
      </c>
      <c r="C24">
        <f t="shared" ref="C24:K28" si="1">VLOOKUP(B24,B16:M20,2,0)</f>
        <v>21</v>
      </c>
      <c r="D24" t="str">
        <f t="shared" si="1"/>
        <v>AA</v>
      </c>
      <c r="E24" t="str">
        <f t="shared" si="1"/>
        <v>DELHI</v>
      </c>
      <c r="F24">
        <f t="shared" ca="1" si="1"/>
        <v>25</v>
      </c>
      <c r="G24">
        <f t="shared" ca="1" si="1"/>
        <v>36</v>
      </c>
      <c r="H24">
        <f t="shared" ca="1" si="1"/>
        <v>84</v>
      </c>
      <c r="I24">
        <f t="shared" ca="1" si="1"/>
        <v>74</v>
      </c>
      <c r="J24">
        <f t="shared" ca="1" si="1"/>
        <v>48</v>
      </c>
      <c r="K24">
        <f t="shared" ca="1" si="1"/>
        <v>267</v>
      </c>
      <c r="L24">
        <f ca="1">VLOOKUP(K24,K16:L20,2,0)</f>
        <v>53.4</v>
      </c>
    </row>
    <row r="25" spans="1:13">
      <c r="A25">
        <v>2</v>
      </c>
      <c r="B25" t="s">
        <v>164</v>
      </c>
      <c r="C25">
        <f t="shared" si="1"/>
        <v>22</v>
      </c>
      <c r="D25" t="str">
        <f t="shared" si="1"/>
        <v>BB</v>
      </c>
      <c r="E25" t="str">
        <f t="shared" si="1"/>
        <v>JAIPUR</v>
      </c>
      <c r="F25">
        <f t="shared" ca="1" si="1"/>
        <v>44</v>
      </c>
      <c r="G25">
        <f t="shared" ca="1" si="1"/>
        <v>93</v>
      </c>
      <c r="H25">
        <f t="shared" ca="1" si="1"/>
        <v>98</v>
      </c>
      <c r="I25">
        <f t="shared" ca="1" si="1"/>
        <v>69</v>
      </c>
      <c r="J25">
        <f t="shared" ca="1" si="1"/>
        <v>89</v>
      </c>
      <c r="K25">
        <f t="shared" ca="1" si="1"/>
        <v>393</v>
      </c>
      <c r="L25">
        <f ca="1">VLOOKUP(K25,K17:L21,2,0)</f>
        <v>78.599999999999994</v>
      </c>
    </row>
    <row r="26" spans="1:13">
      <c r="A26">
        <v>3</v>
      </c>
      <c r="B26" t="s">
        <v>165</v>
      </c>
      <c r="C26">
        <f t="shared" si="1"/>
        <v>23</v>
      </c>
      <c r="D26" t="str">
        <f t="shared" si="1"/>
        <v>CC</v>
      </c>
      <c r="E26" t="str">
        <f t="shared" si="1"/>
        <v>GURGAON</v>
      </c>
      <c r="F26">
        <f t="shared" ca="1" si="1"/>
        <v>49</v>
      </c>
      <c r="G26">
        <f t="shared" ca="1" si="1"/>
        <v>82</v>
      </c>
      <c r="H26">
        <f t="shared" ca="1" si="1"/>
        <v>49</v>
      </c>
      <c r="I26">
        <f t="shared" ca="1" si="1"/>
        <v>82</v>
      </c>
      <c r="J26">
        <f t="shared" ca="1" si="1"/>
        <v>98</v>
      </c>
      <c r="K26">
        <f t="shared" ca="1" si="1"/>
        <v>360</v>
      </c>
      <c r="L26">
        <f ca="1">VLOOKUP(K26,K18:L22,2,0)</f>
        <v>72</v>
      </c>
    </row>
    <row r="27" spans="1:13">
      <c r="A27">
        <v>4</v>
      </c>
      <c r="B27" t="s">
        <v>166</v>
      </c>
      <c r="C27">
        <f t="shared" si="1"/>
        <v>24</v>
      </c>
      <c r="D27" t="str">
        <f t="shared" si="1"/>
        <v>DD</v>
      </c>
      <c r="E27" t="str">
        <f t="shared" si="1"/>
        <v>JALANDHAR</v>
      </c>
      <c r="F27">
        <f t="shared" ca="1" si="1"/>
        <v>93</v>
      </c>
      <c r="G27">
        <f t="shared" ca="1" si="1"/>
        <v>55</v>
      </c>
      <c r="H27">
        <f t="shared" ca="1" si="1"/>
        <v>67</v>
      </c>
      <c r="I27">
        <f t="shared" ca="1" si="1"/>
        <v>64</v>
      </c>
      <c r="J27">
        <f t="shared" ca="1" si="1"/>
        <v>83</v>
      </c>
      <c r="K27">
        <f t="shared" ca="1" si="1"/>
        <v>362</v>
      </c>
      <c r="L27">
        <f ca="1">VLOOKUP(K27,K19:L23,2,0)</f>
        <v>72.400000000000006</v>
      </c>
    </row>
    <row r="28" spans="1:13">
      <c r="A28">
        <v>5</v>
      </c>
      <c r="B28" t="s">
        <v>167</v>
      </c>
      <c r="C28">
        <f t="shared" si="1"/>
        <v>25</v>
      </c>
      <c r="D28" t="str">
        <f t="shared" si="1"/>
        <v>EE</v>
      </c>
      <c r="E28" t="str">
        <f t="shared" si="1"/>
        <v>PATIALA</v>
      </c>
      <c r="F28">
        <f t="shared" ca="1" si="1"/>
        <v>57</v>
      </c>
      <c r="G28">
        <f t="shared" ca="1" si="1"/>
        <v>94</v>
      </c>
      <c r="H28">
        <f t="shared" ca="1" si="1"/>
        <v>78</v>
      </c>
      <c r="I28">
        <f t="shared" ca="1" si="1"/>
        <v>51</v>
      </c>
      <c r="J28">
        <f t="shared" ca="1" si="1"/>
        <v>87</v>
      </c>
      <c r="K28">
        <f t="shared" ca="1" si="1"/>
        <v>367</v>
      </c>
      <c r="L28">
        <f ca="1">VLOOKUP(K28,K20:L24,2,0)</f>
        <v>73.400000000000006</v>
      </c>
    </row>
    <row r="30" spans="1:13">
      <c r="A30" t="s">
        <v>213</v>
      </c>
    </row>
    <row r="32" spans="1:13">
      <c r="A32" t="s">
        <v>184</v>
      </c>
      <c r="B32" t="s">
        <v>159</v>
      </c>
      <c r="C32" t="s">
        <v>186</v>
      </c>
      <c r="D32" t="s">
        <v>187</v>
      </c>
      <c r="E32" t="s">
        <v>188</v>
      </c>
      <c r="F32" t="s">
        <v>189</v>
      </c>
      <c r="G32" t="s">
        <v>190</v>
      </c>
      <c r="H32" t="s">
        <v>191</v>
      </c>
      <c r="I32" t="s">
        <v>192</v>
      </c>
      <c r="J32" t="s">
        <v>193</v>
      </c>
      <c r="K32" t="s">
        <v>183</v>
      </c>
      <c r="L32" t="s">
        <v>12</v>
      </c>
      <c r="M32" t="s">
        <v>194</v>
      </c>
    </row>
    <row r="33" spans="1:13">
      <c r="A33">
        <v>1</v>
      </c>
      <c r="B33" t="s">
        <v>195</v>
      </c>
      <c r="C33" t="s">
        <v>201</v>
      </c>
      <c r="D33" t="s">
        <v>204</v>
      </c>
      <c r="E33" t="s">
        <v>207</v>
      </c>
      <c r="F33">
        <f t="shared" ref="F33:F38" ca="1" si="2">RANDBETWEEN(30,100)</f>
        <v>43</v>
      </c>
      <c r="G33">
        <f t="shared" ref="G33:J38" ca="1" si="3">RANDBETWEEN(30,100)</f>
        <v>66</v>
      </c>
      <c r="H33">
        <f t="shared" ca="1" si="3"/>
        <v>72</v>
      </c>
      <c r="I33">
        <f t="shared" ca="1" si="3"/>
        <v>85</v>
      </c>
      <c r="J33">
        <f t="shared" ca="1" si="3"/>
        <v>50</v>
      </c>
      <c r="K33">
        <f t="shared" ref="K33:K38" ca="1" si="4">SUM(F33:J33)</f>
        <v>316</v>
      </c>
      <c r="L33">
        <f t="shared" ref="L33:L38" ca="1" si="5">K33/5</f>
        <v>63.2</v>
      </c>
      <c r="M33" t="str">
        <f t="shared" ref="M33:M38" ca="1" si="6">IF(L33&gt;90,"A",IF(L33&gt;60,"B",IF(L33&gt;40,"C","D")))</f>
        <v>B</v>
      </c>
    </row>
    <row r="34" spans="1:13">
      <c r="A34">
        <v>2</v>
      </c>
      <c r="B34" t="s">
        <v>196</v>
      </c>
      <c r="C34" t="s">
        <v>202</v>
      </c>
      <c r="D34" t="s">
        <v>205</v>
      </c>
      <c r="E34" t="s">
        <v>208</v>
      </c>
      <c r="F34">
        <f t="shared" ca="1" si="2"/>
        <v>94</v>
      </c>
      <c r="G34">
        <f t="shared" ca="1" si="3"/>
        <v>83</v>
      </c>
      <c r="H34">
        <f t="shared" ca="1" si="3"/>
        <v>94</v>
      </c>
      <c r="I34">
        <f t="shared" ca="1" si="3"/>
        <v>58</v>
      </c>
      <c r="J34">
        <f t="shared" ca="1" si="3"/>
        <v>82</v>
      </c>
      <c r="K34">
        <f t="shared" ca="1" si="4"/>
        <v>411</v>
      </c>
      <c r="L34">
        <f t="shared" ca="1" si="5"/>
        <v>82.2</v>
      </c>
      <c r="M34" t="str">
        <f t="shared" ca="1" si="6"/>
        <v>B</v>
      </c>
    </row>
    <row r="35" spans="1:13">
      <c r="A35">
        <v>3</v>
      </c>
      <c r="B35" t="s">
        <v>197</v>
      </c>
      <c r="C35" t="s">
        <v>203</v>
      </c>
      <c r="D35" t="s">
        <v>206</v>
      </c>
      <c r="E35" t="s">
        <v>209</v>
      </c>
      <c r="F35">
        <f t="shared" ca="1" si="2"/>
        <v>42</v>
      </c>
      <c r="G35">
        <f t="shared" ca="1" si="3"/>
        <v>50</v>
      </c>
      <c r="H35">
        <f t="shared" ca="1" si="3"/>
        <v>61</v>
      </c>
      <c r="I35">
        <f t="shared" ca="1" si="3"/>
        <v>36</v>
      </c>
      <c r="J35">
        <f t="shared" ca="1" si="3"/>
        <v>96</v>
      </c>
      <c r="K35">
        <f t="shared" ca="1" si="4"/>
        <v>285</v>
      </c>
      <c r="L35">
        <f t="shared" ca="1" si="5"/>
        <v>57</v>
      </c>
      <c r="M35" t="str">
        <f t="shared" ca="1" si="6"/>
        <v>C</v>
      </c>
    </row>
    <row r="36" spans="1:13">
      <c r="A36">
        <v>4</v>
      </c>
      <c r="B36" t="s">
        <v>198</v>
      </c>
      <c r="C36" t="s">
        <v>203</v>
      </c>
      <c r="D36" t="s">
        <v>206</v>
      </c>
      <c r="E36" t="s">
        <v>210</v>
      </c>
      <c r="F36">
        <f t="shared" ca="1" si="2"/>
        <v>79</v>
      </c>
      <c r="G36">
        <f t="shared" ca="1" si="3"/>
        <v>89</v>
      </c>
      <c r="H36">
        <f t="shared" ca="1" si="3"/>
        <v>46</v>
      </c>
      <c r="I36">
        <f t="shared" ca="1" si="3"/>
        <v>69</v>
      </c>
      <c r="J36">
        <f t="shared" ca="1" si="3"/>
        <v>54</v>
      </c>
      <c r="K36">
        <f t="shared" ca="1" si="4"/>
        <v>337</v>
      </c>
      <c r="L36">
        <f t="shared" ca="1" si="5"/>
        <v>67.400000000000006</v>
      </c>
      <c r="M36" t="str">
        <f t="shared" ca="1" si="6"/>
        <v>B</v>
      </c>
    </row>
    <row r="37" spans="1:13">
      <c r="A37">
        <v>5</v>
      </c>
      <c r="B37" t="s">
        <v>199</v>
      </c>
      <c r="C37" t="s">
        <v>201</v>
      </c>
      <c r="D37" t="s">
        <v>204</v>
      </c>
      <c r="E37" t="s">
        <v>211</v>
      </c>
      <c r="F37">
        <f t="shared" ca="1" si="2"/>
        <v>88</v>
      </c>
      <c r="G37">
        <f t="shared" ca="1" si="3"/>
        <v>52</v>
      </c>
      <c r="H37">
        <f t="shared" ca="1" si="3"/>
        <v>98</v>
      </c>
      <c r="I37">
        <f t="shared" ca="1" si="3"/>
        <v>95</v>
      </c>
      <c r="J37">
        <f t="shared" ca="1" si="3"/>
        <v>89</v>
      </c>
      <c r="K37">
        <f t="shared" ca="1" si="4"/>
        <v>422</v>
      </c>
      <c r="L37">
        <f t="shared" ca="1" si="5"/>
        <v>84.4</v>
      </c>
      <c r="M37" t="str">
        <f t="shared" ca="1" si="6"/>
        <v>B</v>
      </c>
    </row>
    <row r="38" spans="1:13">
      <c r="A38">
        <v>6</v>
      </c>
      <c r="B38" t="s">
        <v>200</v>
      </c>
      <c r="C38" t="s">
        <v>202</v>
      </c>
      <c r="D38" t="s">
        <v>205</v>
      </c>
      <c r="E38" t="s">
        <v>212</v>
      </c>
      <c r="F38">
        <f t="shared" ca="1" si="2"/>
        <v>43</v>
      </c>
      <c r="G38">
        <f t="shared" ca="1" si="3"/>
        <v>41</v>
      </c>
      <c r="H38">
        <f t="shared" ca="1" si="3"/>
        <v>83</v>
      </c>
      <c r="I38">
        <f t="shared" ca="1" si="3"/>
        <v>80</v>
      </c>
      <c r="J38">
        <f t="shared" ca="1" si="3"/>
        <v>84</v>
      </c>
      <c r="K38">
        <f t="shared" ca="1" si="4"/>
        <v>331</v>
      </c>
      <c r="L38">
        <f t="shared" ca="1" si="5"/>
        <v>66.2</v>
      </c>
      <c r="M38" t="str">
        <f t="shared" ca="1" si="6"/>
        <v>B</v>
      </c>
    </row>
    <row r="40" spans="1:13">
      <c r="A40" t="s">
        <v>184</v>
      </c>
      <c r="B40" t="s">
        <v>159</v>
      </c>
      <c r="C40" t="s">
        <v>186</v>
      </c>
      <c r="D40" t="s">
        <v>187</v>
      </c>
      <c r="E40" t="s">
        <v>188</v>
      </c>
      <c r="F40" t="s">
        <v>189</v>
      </c>
      <c r="G40" t="s">
        <v>190</v>
      </c>
      <c r="H40" t="s">
        <v>191</v>
      </c>
      <c r="I40" t="s">
        <v>192</v>
      </c>
      <c r="J40" t="s">
        <v>193</v>
      </c>
      <c r="K40" t="s">
        <v>183</v>
      </c>
      <c r="L40" t="s">
        <v>12</v>
      </c>
      <c r="M40" t="s">
        <v>194</v>
      </c>
    </row>
    <row r="41" spans="1:13">
      <c r="A41">
        <v>1</v>
      </c>
      <c r="B41" t="s">
        <v>195</v>
      </c>
      <c r="C41" t="str">
        <f t="shared" ref="C41:M46" si="7">VLOOKUP(B41,B33:M38,2,0)</f>
        <v>BACHAELOR'S</v>
      </c>
      <c r="D41" t="str">
        <f t="shared" si="7"/>
        <v>B1</v>
      </c>
      <c r="E41" t="str">
        <f t="shared" si="7"/>
        <v>UK</v>
      </c>
      <c r="F41">
        <f t="shared" ca="1" si="7"/>
        <v>43</v>
      </c>
      <c r="G41">
        <f t="shared" ca="1" si="7"/>
        <v>66</v>
      </c>
      <c r="H41">
        <f t="shared" ca="1" si="7"/>
        <v>72</v>
      </c>
      <c r="I41">
        <f t="shared" ca="1" si="7"/>
        <v>85</v>
      </c>
      <c r="J41">
        <f t="shared" ca="1" si="7"/>
        <v>50</v>
      </c>
      <c r="K41">
        <f t="shared" ca="1" si="7"/>
        <v>316</v>
      </c>
      <c r="L41">
        <f t="shared" ca="1" si="7"/>
        <v>63.2</v>
      </c>
      <c r="M41" t="str">
        <f t="shared" ca="1" si="7"/>
        <v>B</v>
      </c>
    </row>
    <row r="42" spans="1:13">
      <c r="A42">
        <v>2</v>
      </c>
      <c r="B42" t="s">
        <v>196</v>
      </c>
      <c r="C42" t="str">
        <f t="shared" si="7"/>
        <v>MASTER'S</v>
      </c>
      <c r="D42" t="str">
        <f t="shared" si="7"/>
        <v>M1</v>
      </c>
      <c r="E42" t="str">
        <f t="shared" si="7"/>
        <v>USA</v>
      </c>
      <c r="F42">
        <f t="shared" ca="1" si="7"/>
        <v>94</v>
      </c>
      <c r="G42">
        <f t="shared" ca="1" si="7"/>
        <v>83</v>
      </c>
      <c r="H42">
        <f t="shared" ca="1" si="7"/>
        <v>94</v>
      </c>
      <c r="I42">
        <f t="shared" ca="1" si="7"/>
        <v>58</v>
      </c>
      <c r="J42">
        <f t="shared" ca="1" si="7"/>
        <v>82</v>
      </c>
      <c r="K42">
        <f t="shared" ca="1" si="7"/>
        <v>411</v>
      </c>
      <c r="L42">
        <f t="shared" ca="1" si="7"/>
        <v>82.2</v>
      </c>
      <c r="M42" t="str">
        <f t="shared" ca="1" si="7"/>
        <v>B</v>
      </c>
    </row>
    <row r="43" spans="1:13">
      <c r="A43">
        <v>3</v>
      </c>
      <c r="B43" t="s">
        <v>197</v>
      </c>
      <c r="C43" t="str">
        <f t="shared" si="7"/>
        <v>DIPLOMA</v>
      </c>
      <c r="D43" t="str">
        <f t="shared" si="7"/>
        <v>D1</v>
      </c>
      <c r="E43" t="str">
        <f t="shared" si="7"/>
        <v>JAPAN</v>
      </c>
      <c r="F43">
        <f t="shared" ca="1" si="7"/>
        <v>42</v>
      </c>
      <c r="G43">
        <f t="shared" ca="1" si="7"/>
        <v>50</v>
      </c>
      <c r="H43">
        <f t="shared" ca="1" si="7"/>
        <v>61</v>
      </c>
      <c r="I43">
        <f t="shared" ca="1" si="7"/>
        <v>36</v>
      </c>
      <c r="J43">
        <f t="shared" ca="1" si="7"/>
        <v>96</v>
      </c>
      <c r="K43">
        <f t="shared" ca="1" si="7"/>
        <v>285</v>
      </c>
      <c r="L43">
        <f t="shared" ca="1" si="7"/>
        <v>57</v>
      </c>
      <c r="M43" t="str">
        <f t="shared" ca="1" si="7"/>
        <v>C</v>
      </c>
    </row>
    <row r="44" spans="1:13">
      <c r="A44">
        <v>4</v>
      </c>
      <c r="B44" t="s">
        <v>198</v>
      </c>
      <c r="C44" t="str">
        <f t="shared" si="7"/>
        <v>DIPLOMA</v>
      </c>
      <c r="D44" t="str">
        <f t="shared" si="7"/>
        <v>D1</v>
      </c>
      <c r="E44" t="str">
        <f t="shared" si="7"/>
        <v>CHINA</v>
      </c>
      <c r="F44">
        <f t="shared" ca="1" si="7"/>
        <v>79</v>
      </c>
      <c r="G44">
        <f t="shared" ca="1" si="7"/>
        <v>89</v>
      </c>
      <c r="H44">
        <f t="shared" ca="1" si="7"/>
        <v>46</v>
      </c>
      <c r="I44">
        <f t="shared" ca="1" si="7"/>
        <v>69</v>
      </c>
      <c r="J44">
        <f t="shared" ca="1" si="7"/>
        <v>54</v>
      </c>
      <c r="K44">
        <f t="shared" ca="1" si="7"/>
        <v>337</v>
      </c>
      <c r="L44">
        <f t="shared" ca="1" si="7"/>
        <v>67.400000000000006</v>
      </c>
      <c r="M44" t="str">
        <f t="shared" ca="1" si="7"/>
        <v>B</v>
      </c>
    </row>
    <row r="45" spans="1:13">
      <c r="A45">
        <v>5</v>
      </c>
      <c r="B45" t="s">
        <v>199</v>
      </c>
      <c r="C45" t="str">
        <f t="shared" si="7"/>
        <v>BACHAELOR'S</v>
      </c>
      <c r="D45" t="str">
        <f t="shared" si="7"/>
        <v>B1</v>
      </c>
      <c r="E45" t="str">
        <f t="shared" si="7"/>
        <v>CANADA</v>
      </c>
      <c r="F45">
        <f t="shared" ca="1" si="7"/>
        <v>88</v>
      </c>
      <c r="G45">
        <f t="shared" ca="1" si="7"/>
        <v>52</v>
      </c>
      <c r="H45">
        <f t="shared" ca="1" si="7"/>
        <v>98</v>
      </c>
      <c r="I45">
        <f t="shared" ca="1" si="7"/>
        <v>95</v>
      </c>
      <c r="J45">
        <f t="shared" ca="1" si="7"/>
        <v>89</v>
      </c>
      <c r="K45">
        <f t="shared" ca="1" si="7"/>
        <v>422</v>
      </c>
      <c r="L45">
        <f t="shared" ca="1" si="7"/>
        <v>84.4</v>
      </c>
      <c r="M45" t="str">
        <f t="shared" ca="1" si="7"/>
        <v>B</v>
      </c>
    </row>
    <row r="46" spans="1:13">
      <c r="A46">
        <v>6</v>
      </c>
      <c r="B46" t="s">
        <v>200</v>
      </c>
      <c r="C46" t="str">
        <f t="shared" si="7"/>
        <v>MASTER'S</v>
      </c>
      <c r="D46" t="str">
        <f t="shared" si="7"/>
        <v>M1</v>
      </c>
      <c r="E46" t="str">
        <f t="shared" si="7"/>
        <v>FRANCE</v>
      </c>
      <c r="F46">
        <f t="shared" ca="1" si="7"/>
        <v>43</v>
      </c>
      <c r="G46">
        <f t="shared" ca="1" si="7"/>
        <v>41</v>
      </c>
      <c r="H46">
        <f t="shared" ca="1" si="7"/>
        <v>83</v>
      </c>
      <c r="I46">
        <f t="shared" ca="1" si="7"/>
        <v>80</v>
      </c>
      <c r="J46">
        <f t="shared" ca="1" si="7"/>
        <v>84</v>
      </c>
      <c r="K46">
        <f t="shared" ca="1" si="7"/>
        <v>331</v>
      </c>
      <c r="L46">
        <f t="shared" ca="1" si="7"/>
        <v>66.2</v>
      </c>
      <c r="M46" t="str">
        <f t="shared" ca="1" si="7"/>
        <v>B</v>
      </c>
    </row>
    <row r="58" spans="1:8">
      <c r="A58" t="s">
        <v>217</v>
      </c>
    </row>
    <row r="60" spans="1:8">
      <c r="A60" t="s">
        <v>218</v>
      </c>
      <c r="B60" t="s">
        <v>85</v>
      </c>
      <c r="C60" t="s">
        <v>86</v>
      </c>
      <c r="D60" t="s">
        <v>87</v>
      </c>
      <c r="E60" t="s">
        <v>88</v>
      </c>
      <c r="F60" t="s">
        <v>89</v>
      </c>
      <c r="G60" t="s">
        <v>93</v>
      </c>
      <c r="H60" t="s">
        <v>94</v>
      </c>
    </row>
    <row r="61" spans="1:8">
      <c r="A61" t="s">
        <v>152</v>
      </c>
      <c r="B61">
        <v>51</v>
      </c>
      <c r="C61">
        <v>23</v>
      </c>
      <c r="D61">
        <v>32</v>
      </c>
      <c r="E61">
        <v>67</v>
      </c>
      <c r="F61">
        <v>45</v>
      </c>
      <c r="G61">
        <v>34</v>
      </c>
      <c r="H61">
        <v>45</v>
      </c>
    </row>
    <row r="64" spans="1:8">
      <c r="C64" t="s">
        <v>94</v>
      </c>
      <c r="D64">
        <f>HLOOKUP(C64,B60:H61,2,0)</f>
        <v>45</v>
      </c>
    </row>
    <row r="66" spans="1:9">
      <c r="A66" t="s">
        <v>214</v>
      </c>
      <c r="B66" t="s">
        <v>151</v>
      </c>
      <c r="C66" t="s">
        <v>215</v>
      </c>
      <c r="D66" t="s">
        <v>219</v>
      </c>
      <c r="E66" t="s">
        <v>152</v>
      </c>
    </row>
    <row r="67" spans="1:9">
      <c r="A67">
        <v>55555</v>
      </c>
      <c r="B67" t="s">
        <v>85</v>
      </c>
      <c r="C67" t="s">
        <v>220</v>
      </c>
      <c r="D67">
        <v>35000</v>
      </c>
      <c r="E67">
        <v>34</v>
      </c>
    </row>
    <row r="68" spans="1:9">
      <c r="A68">
        <v>55556</v>
      </c>
      <c r="B68" t="s">
        <v>86</v>
      </c>
      <c r="C68" t="s">
        <v>221</v>
      </c>
      <c r="D68">
        <v>45000</v>
      </c>
      <c r="E68">
        <v>34</v>
      </c>
      <c r="H68">
        <v>55562</v>
      </c>
      <c r="I68" t="str">
        <f>LOOKUP(H68,A67:C76)</f>
        <v>udaipur</v>
      </c>
    </row>
    <row r="69" spans="1:9">
      <c r="A69">
        <v>55557</v>
      </c>
      <c r="B69" t="s">
        <v>87</v>
      </c>
      <c r="C69" t="s">
        <v>222</v>
      </c>
      <c r="D69">
        <v>55000</v>
      </c>
      <c r="E69">
        <v>23</v>
      </c>
      <c r="H69">
        <v>55555</v>
      </c>
      <c r="I69">
        <f>LOOKUP(H69,A67:D76)</f>
        <v>35000</v>
      </c>
    </row>
    <row r="70" spans="1:9">
      <c r="A70">
        <v>55558</v>
      </c>
      <c r="B70" t="s">
        <v>88</v>
      </c>
      <c r="C70" t="s">
        <v>223</v>
      </c>
      <c r="D70">
        <v>65000</v>
      </c>
      <c r="E70">
        <v>54</v>
      </c>
    </row>
    <row r="71" spans="1:9">
      <c r="A71">
        <v>55559</v>
      </c>
      <c r="B71" t="s">
        <v>89</v>
      </c>
      <c r="C71" t="s">
        <v>224</v>
      </c>
      <c r="D71">
        <v>75000</v>
      </c>
      <c r="E71">
        <v>34</v>
      </c>
    </row>
    <row r="72" spans="1:9">
      <c r="A72">
        <v>55560</v>
      </c>
      <c r="B72" t="s">
        <v>93</v>
      </c>
      <c r="C72" t="s">
        <v>225</v>
      </c>
      <c r="D72">
        <v>85000</v>
      </c>
      <c r="E72">
        <v>23</v>
      </c>
    </row>
    <row r="73" spans="1:9">
      <c r="A73">
        <v>55561</v>
      </c>
      <c r="B73" t="s">
        <v>94</v>
      </c>
      <c r="C73" t="s">
        <v>226</v>
      </c>
      <c r="D73">
        <v>95000</v>
      </c>
      <c r="E73">
        <v>46</v>
      </c>
    </row>
    <row r="74" spans="1:9">
      <c r="A74">
        <v>55562</v>
      </c>
      <c r="B74" t="s">
        <v>95</v>
      </c>
      <c r="C74" t="s">
        <v>227</v>
      </c>
      <c r="D74">
        <v>105000</v>
      </c>
      <c r="E74">
        <v>43</v>
      </c>
    </row>
    <row r="75" spans="1:9">
      <c r="A75">
        <v>55563</v>
      </c>
      <c r="B75" t="s">
        <v>96</v>
      </c>
      <c r="C75" t="s">
        <v>228</v>
      </c>
      <c r="D75">
        <v>115000</v>
      </c>
      <c r="E75">
        <v>45</v>
      </c>
    </row>
    <row r="76" spans="1:9">
      <c r="A76">
        <v>55564</v>
      </c>
      <c r="B76" t="s">
        <v>97</v>
      </c>
      <c r="C76" t="s">
        <v>229</v>
      </c>
      <c r="D76">
        <v>125000</v>
      </c>
      <c r="E76">
        <v>23</v>
      </c>
    </row>
    <row r="80" spans="1:9">
      <c r="D80" t="s">
        <v>214</v>
      </c>
      <c r="E80" t="s">
        <v>151</v>
      </c>
      <c r="F80" t="s">
        <v>215</v>
      </c>
      <c r="G80" t="s">
        <v>219</v>
      </c>
      <c r="H80" t="s">
        <v>152</v>
      </c>
    </row>
    <row r="81" spans="4:8">
      <c r="D81">
        <v>55556</v>
      </c>
      <c r="E81" t="str">
        <f>VLOOKUP(D81,A67:E76,2,0)</f>
        <v>b</v>
      </c>
      <c r="F81" t="str">
        <f>VLOOKUP(E81,B67:F76,{2,3,4,5},0)</f>
        <v>mumbai</v>
      </c>
      <c r="G81">
        <f>VLOOKUP(F81,C67:G76,2,0)</f>
        <v>45000</v>
      </c>
      <c r="H81">
        <f>VLOOKUP(G81,D67:H76,2,0)</f>
        <v>34</v>
      </c>
    </row>
  </sheetData>
  <dataValidations count="1">
    <dataValidation type="list" allowBlank="1" showInputMessage="1" showErrorMessage="1" sqref="G2 E6">
      <formula1>$B$2:$B$7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cols>
    <col min="1" max="1" width="43.5703125" customWidth="1"/>
    <col min="8" max="8" width="9.140625" customWidth="1"/>
  </cols>
  <sheetData>
    <row r="1" spans="1:1" ht="24" customHeight="1">
      <c r="A1" t="s">
        <v>232</v>
      </c>
    </row>
    <row r="2" spans="1:1" ht="18.75" customHeight="1">
      <c r="A2" t="s">
        <v>231</v>
      </c>
    </row>
    <row r="3" spans="1:1" ht="22.5" customHeight="1">
      <c r="A3" t="s">
        <v>233</v>
      </c>
    </row>
    <row r="4" spans="1:1">
      <c r="A4" t="s">
        <v>234</v>
      </c>
    </row>
    <row r="5" spans="1:1">
      <c r="A5" t="s">
        <v>231</v>
      </c>
    </row>
    <row r="6" spans="1:1">
      <c r="A6" t="s">
        <v>231</v>
      </c>
    </row>
    <row r="7" spans="1:1">
      <c r="A7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6"/>
  <sheetViews>
    <sheetView topLeftCell="C39" workbookViewId="0">
      <selection activeCell="L51" sqref="L51"/>
    </sheetView>
  </sheetViews>
  <sheetFormatPr defaultRowHeight="15"/>
  <cols>
    <col min="1" max="1" width="11" customWidth="1"/>
    <col min="2" max="2" width="14.7109375" customWidth="1"/>
    <col min="3" max="3" width="23.85546875" customWidth="1"/>
    <col min="4" max="4" width="12.5703125" customWidth="1"/>
    <col min="5" max="5" width="15" customWidth="1"/>
    <col min="6" max="6" width="17.42578125" customWidth="1"/>
    <col min="7" max="7" width="15" customWidth="1"/>
    <col min="8" max="8" width="12" customWidth="1"/>
    <col min="9" max="9" width="19" customWidth="1"/>
    <col min="10" max="10" width="12" customWidth="1"/>
    <col min="11" max="11" width="14.5703125" customWidth="1"/>
    <col min="12" max="13" width="13.85546875" customWidth="1"/>
    <col min="14" max="14" width="13.7109375" customWidth="1"/>
  </cols>
  <sheetData>
    <row r="6" spans="1:14">
      <c r="K6" t="s">
        <v>246</v>
      </c>
      <c r="N6">
        <f>(L11-250000)*0.05</f>
        <v>81500</v>
      </c>
    </row>
    <row r="8" spans="1:14">
      <c r="C8" t="s">
        <v>240</v>
      </c>
      <c r="K8" t="s">
        <v>115</v>
      </c>
      <c r="L8" s="17">
        <v>2000000</v>
      </c>
      <c r="N8">
        <f>(L11-1000000)*0.3</f>
        <v>264000</v>
      </c>
    </row>
    <row r="9" spans="1:14">
      <c r="A9" t="s">
        <v>216</v>
      </c>
      <c r="B9" t="s">
        <v>236</v>
      </c>
      <c r="C9" t="s">
        <v>237</v>
      </c>
      <c r="D9" t="s">
        <v>238</v>
      </c>
      <c r="E9" t="s">
        <v>239</v>
      </c>
      <c r="K9" t="s">
        <v>241</v>
      </c>
      <c r="L9">
        <v>70000</v>
      </c>
    </row>
    <row r="10" spans="1:14">
      <c r="K10" t="s">
        <v>242</v>
      </c>
      <c r="L10">
        <v>50000</v>
      </c>
    </row>
    <row r="11" spans="1:14">
      <c r="K11" t="s">
        <v>245</v>
      </c>
      <c r="L11" s="17">
        <f>(L8-(L9+L10))</f>
        <v>1880000</v>
      </c>
    </row>
    <row r="12" spans="1:14">
      <c r="K12" t="s">
        <v>243</v>
      </c>
      <c r="L12">
        <f>IF(L11&gt;250000,5%,IF(L11&gt;500000,20%,IF(L11&gt;1000000,30%,nil)))</f>
        <v>0.05</v>
      </c>
    </row>
    <row r="13" spans="1:14">
      <c r="K13" t="s">
        <v>249</v>
      </c>
      <c r="L13">
        <f>IF(L11&gt;250000,(L11-250000)*0.05,IF(L11&gt;500000,(L11-250000)*0.05+(L11-500000)*0.2,IF(L11&gt;1000000,(L11-250000)*0.05+(L11-500000)*0.2+(L11-1000000)*0.3,nil)))</f>
        <v>81500</v>
      </c>
      <c r="N13">
        <f>IF(L11&lt;250000,nil,IF(L11&lt;=500000,(L11-250000)*0.05,IF(L11&lt;=1000000,12500+(L11-500000)*0.2,12500+100000+(L11-1000000)*0.3)))</f>
        <v>376500</v>
      </c>
    </row>
    <row r="14" spans="1:14">
      <c r="K14" t="s">
        <v>244</v>
      </c>
      <c r="L14" s="17">
        <f>L11-L13</f>
        <v>1798500</v>
      </c>
    </row>
    <row r="17" spans="1:14">
      <c r="K17" t="s">
        <v>247</v>
      </c>
    </row>
    <row r="18" spans="1:14">
      <c r="K18" t="s">
        <v>216</v>
      </c>
      <c r="L18">
        <v>2000000</v>
      </c>
    </row>
    <row r="19" spans="1:14">
      <c r="K19" t="s">
        <v>241</v>
      </c>
      <c r="L19">
        <v>70000</v>
      </c>
    </row>
    <row r="20" spans="1:14">
      <c r="K20" t="s">
        <v>242</v>
      </c>
      <c r="L20">
        <v>50000</v>
      </c>
    </row>
    <row r="21" spans="1:14">
      <c r="K21" t="s">
        <v>245</v>
      </c>
      <c r="L21">
        <f>L18-L19</f>
        <v>1930000</v>
      </c>
    </row>
    <row r="23" spans="1:14">
      <c r="K23" t="s">
        <v>243</v>
      </c>
      <c r="L23">
        <f>IF(L11&gt;1000000,30%,IF(L11&gt;500000,20%,IF(L11&gt;250000,10%,nil)))</f>
        <v>0.3</v>
      </c>
    </row>
    <row r="24" spans="1:14">
      <c r="K24" t="s">
        <v>248</v>
      </c>
      <c r="L24">
        <f>IF(L21&gt;300000,(L21-300000)*0.05,IF(L21&gt;600000,15000+(L21-600000)*0.1,IF(L21&gt;1200000,15000+30000+(L21-1200000)*0.2,IF(L21&gt;1500000,15000+30000+90000+(L21-1500000)*0.3,nil))))</f>
        <v>81500</v>
      </c>
      <c r="N24">
        <f>IF(L21&lt;300000,nil,IF(L21&lt;=600000,(L21-300000)*0.05,IF(L21&lt;=900000,15000+(L21-600000)*0.1,IF(L21&lt;=120000,15000+30000+(L21-900000)*0.15,IF(L21&lt;=1500000,15000+30000+45000+(L21-1200000)*0.2,15000+30000+45000+60000+(L21-1500000)*0.3)))))</f>
        <v>279000</v>
      </c>
    </row>
    <row r="25" spans="1:14">
      <c r="K25" t="s">
        <v>244</v>
      </c>
      <c r="L25">
        <f>L21-L24</f>
        <v>1848500</v>
      </c>
      <c r="N25">
        <f>IF(L21&lt;=300000,nil,IF(L21&lt;=600000,(L21-300000)*0.05,IF(L21&lt;=900000,(L21-300000)*0.05+(L21-600000)*0.1,IF(L21&lt;=1200000,(L21-300000)*0.05+(L21-600000)*0.1+(L21-900000)*0.15,IF(L21&lt;=1500000,(L21-300000)*0.05+(L21-600000)*0.1+(L21-900000)*0.15+(L21-120000)*0.2,(L21-300000)*0.05+(L21-600000)*0.1+(L21-900000)*0.15+(L21-120000)*0.2+(L21-1500000)*0.3)))))</f>
        <v>860000</v>
      </c>
    </row>
    <row r="26" spans="1:14" ht="17.25" hidden="1" customHeight="1">
      <c r="A26" s="39" t="s">
        <v>267</v>
      </c>
      <c r="B26" s="40" t="s">
        <v>273</v>
      </c>
      <c r="C26" s="40" t="s">
        <v>277</v>
      </c>
      <c r="D26" s="40" t="s">
        <v>278</v>
      </c>
      <c r="E26" s="40" t="s">
        <v>279</v>
      </c>
      <c r="F26" s="40" t="s">
        <v>280</v>
      </c>
      <c r="G26" s="40" t="s">
        <v>281</v>
      </c>
      <c r="H26" s="40" t="s">
        <v>282</v>
      </c>
      <c r="I26" s="40" t="s">
        <v>283</v>
      </c>
      <c r="J26" s="40" t="s">
        <v>284</v>
      </c>
      <c r="K26" s="40" t="s">
        <v>285</v>
      </c>
      <c r="L26" s="40" t="s">
        <v>286</v>
      </c>
      <c r="M26" s="40" t="s">
        <v>287</v>
      </c>
      <c r="N26" s="41" t="s">
        <v>288</v>
      </c>
    </row>
    <row r="27" spans="1:14" ht="9" hidden="1" customHeight="1">
      <c r="A27" s="42"/>
      <c r="B27" s="11"/>
      <c r="C27" s="11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6"/>
    </row>
    <row r="28" spans="1:14" ht="30" customHeight="1">
      <c r="A28" s="44" t="s">
        <v>262</v>
      </c>
      <c r="B28" s="45"/>
      <c r="C28" s="57"/>
      <c r="D28" s="33"/>
      <c r="E28" s="33"/>
      <c r="F28" s="61" t="s">
        <v>276</v>
      </c>
      <c r="G28" s="61"/>
      <c r="H28" s="61"/>
      <c r="I28" s="61"/>
      <c r="J28" s="61"/>
      <c r="K28" s="61"/>
      <c r="L28" s="61"/>
      <c r="M28" s="61"/>
      <c r="N28" s="19"/>
    </row>
    <row r="29" spans="1:14" ht="25.5">
      <c r="A29" s="44"/>
      <c r="B29" s="45"/>
      <c r="C29" s="45"/>
      <c r="D29" s="58"/>
      <c r="E29" s="58"/>
      <c r="F29" s="59"/>
      <c r="G29" s="59"/>
      <c r="H29" s="59"/>
      <c r="I29" s="59"/>
      <c r="J29" s="59"/>
      <c r="K29" s="59"/>
      <c r="L29" s="59"/>
      <c r="M29" s="59"/>
      <c r="N29" s="60"/>
    </row>
    <row r="30" spans="1:14">
      <c r="A30" s="47" t="s">
        <v>252</v>
      </c>
      <c r="B30" s="48" t="s">
        <v>253</v>
      </c>
      <c r="C30" s="48" t="s">
        <v>254</v>
      </c>
      <c r="D30" s="49" t="s">
        <v>250</v>
      </c>
      <c r="E30" s="49" t="s">
        <v>251</v>
      </c>
      <c r="F30" s="50" t="s">
        <v>255</v>
      </c>
      <c r="G30" s="51" t="s">
        <v>256</v>
      </c>
      <c r="H30" s="51" t="s">
        <v>257</v>
      </c>
      <c r="I30" s="50" t="s">
        <v>258</v>
      </c>
      <c r="J30" s="52" t="s">
        <v>261</v>
      </c>
      <c r="K30" s="36" t="s">
        <v>259</v>
      </c>
      <c r="L30" s="36" t="s">
        <v>260</v>
      </c>
      <c r="M30" s="36" t="s">
        <v>263</v>
      </c>
      <c r="N30" s="53" t="s">
        <v>289</v>
      </c>
    </row>
    <row r="31" spans="1:14">
      <c r="A31" s="42"/>
      <c r="B31" s="11"/>
      <c r="C31" s="11"/>
      <c r="D31" s="11"/>
      <c r="E31" s="11"/>
      <c r="F31" s="11">
        <v>2000000</v>
      </c>
      <c r="G31" s="11">
        <v>70000</v>
      </c>
      <c r="H31" s="11">
        <v>50000</v>
      </c>
      <c r="I31" s="11">
        <f>F31-(G31+H31)</f>
        <v>1880000</v>
      </c>
      <c r="J31" s="11">
        <f>IF(I31&lt;250000,nil,IF(I31&lt;=500000,5%,IF(I31&lt;=1000000,20%,30%)))</f>
        <v>0.3</v>
      </c>
      <c r="K31" s="11">
        <f>IF(I31&lt;=250000,nil,IF(I31&lt;=500000,(I31-250000)*0.05,IF(I31&lt;=1000000,12500+(I31-500000)*0.2,12500+100000+(I31-1000000)*0.3)))</f>
        <v>376500</v>
      </c>
      <c r="L31" s="11">
        <f>IF(I31&lt;5000000,0,IF(AND(I31&gt;5000000,I31&lt;=10000000),I31*0.1,IF(AND(I31&gt;10000000,I31&lt;=20000000),I31*0.15,IF(AND(I31&gt;20000000,I31&lt;=50000000),I31*0.25,I31*0.37))))</f>
        <v>0</v>
      </c>
      <c r="M31" s="11">
        <f>Table5[[#This Row],[Column12]]*0.04</f>
        <v>0</v>
      </c>
      <c r="N31" s="43">
        <f>Table5[[#This Row],[Column9]]-(Table5[[#This Row],[Column11]]+Table5[[#This Row],[Column12]]+Table5[[#This Row],[Column13]])</f>
        <v>1503500</v>
      </c>
    </row>
    <row r="32" spans="1:14">
      <c r="A32" s="42"/>
      <c r="B32" s="11"/>
      <c r="C32" s="11"/>
      <c r="D32" s="11"/>
      <c r="E32" s="11"/>
      <c r="F32" s="11"/>
      <c r="G32" s="11"/>
      <c r="H32" s="11"/>
      <c r="I32" s="11">
        <v>550000000</v>
      </c>
      <c r="J32" s="11">
        <f>IF(I32&lt;250000,nil,IF(I32&lt;=500000,5%,IF(I32&lt;=1000000,20%,30%)))</f>
        <v>0.3</v>
      </c>
      <c r="K32" s="11">
        <f>IF(I32&lt;=250000,nil,IF(I32&lt;=500000,(I32-250000)*0.05,IF(I32&lt;=1000000,12500+(I32-500000)*0.2,12500+100000+(I32-1000000)*0.3)))</f>
        <v>164812500</v>
      </c>
      <c r="L32" s="11">
        <f>IF(I32&lt;5000000,0,IF(AND(I32&gt;5000000,I32&lt;=10000000),I32*0.1,IF(AND(I32&gt;10000000,I32&lt;=20000000),I32*0.15,IF(AND(I32&gt;20000000,I32&lt;=50000000),I32*0.25,I32*0.37))))</f>
        <v>203500000</v>
      </c>
      <c r="M32" s="11">
        <f>Table5[[#This Row],[Column12]]*0.04</f>
        <v>8140000</v>
      </c>
      <c r="N32" s="43">
        <f>Table5[[#This Row],[Column9]]-(Table5[[#This Row],[Column11]]+Table5[[#This Row],[Column12]]+Table5[[#This Row],[Column13]])</f>
        <v>173547500</v>
      </c>
    </row>
    <row r="33" spans="1:14">
      <c r="A33" s="54"/>
      <c r="B33" s="55"/>
      <c r="C33" s="55"/>
      <c r="D33" s="55"/>
      <c r="E33" s="55"/>
      <c r="F33" s="55">
        <v>6000000</v>
      </c>
      <c r="G33" s="55"/>
      <c r="H33" s="55"/>
      <c r="I33" s="55">
        <v>6000000</v>
      </c>
      <c r="J33" s="55">
        <f>IF(I33&lt;250000,nil,IF(I33&lt;=500000,5%,IF(I33&lt;=1000000,20%,30%)))</f>
        <v>0.3</v>
      </c>
      <c r="K33" s="55">
        <f>IF(I33&lt;=250000,nil,IF(I33&lt;=500000,(I33-250000)*0.05,IF(I33&lt;=1000000,12500+(I33-500000)*0.2,12500+100000+(I33-1000000)*0.3)))</f>
        <v>1612500</v>
      </c>
      <c r="L33" s="55">
        <f>IF(I33&lt;5000000,0,IF(AND(I33&gt;5000000,I33&lt;=10000000),I33*0.1,IF(AND(I33&gt;10000000,I33&lt;=20000000),I33*0.15,IF(AND(I33&gt;20000000,I33&lt;=50000000),I33*0.25,I33*0.37))))</f>
        <v>600000</v>
      </c>
      <c r="M33" s="55">
        <f>Table5[[#This Row],[Column12]]*0.04</f>
        <v>24000</v>
      </c>
      <c r="N33" s="56">
        <f>Table5[[#This Row],[Column9]]-(Table5[[#This Row],[Column11]]+Table5[[#This Row],[Column12]]+Table5[[#This Row],[Column13]])</f>
        <v>3763500</v>
      </c>
    </row>
    <row r="34" spans="1:14">
      <c r="J34">
        <f>IF(P31="yes",IF(I31&lt;250000,nil,IF(I31&lt;=500000,5%,IF(I31&lt;=1000000,20%,30%))),0)</f>
        <v>0</v>
      </c>
    </row>
    <row r="40" spans="1:14">
      <c r="A40" s="101" t="s">
        <v>360</v>
      </c>
      <c r="B40" s="101"/>
      <c r="C40" s="101"/>
      <c r="D40" s="101"/>
      <c r="E40" s="101"/>
      <c r="F40" s="102" t="s">
        <v>359</v>
      </c>
      <c r="G40" s="102"/>
      <c r="H40" s="102"/>
      <c r="I40" s="102"/>
      <c r="J40" s="102"/>
      <c r="K40" s="102"/>
      <c r="L40" s="102"/>
      <c r="M40" s="102"/>
      <c r="N40" s="35"/>
    </row>
    <row r="41" spans="1:14">
      <c r="A41" s="101"/>
      <c r="B41" s="101"/>
      <c r="C41" s="101"/>
      <c r="D41" s="101"/>
      <c r="E41" s="101"/>
      <c r="F41" s="102"/>
      <c r="G41" s="102"/>
      <c r="H41" s="102"/>
      <c r="I41" s="102"/>
      <c r="J41" s="102"/>
      <c r="K41" s="102"/>
      <c r="L41" s="102"/>
      <c r="M41" s="102"/>
      <c r="N41" s="35"/>
    </row>
    <row r="42" spans="1:14" ht="15.75">
      <c r="A42" s="35" t="s">
        <v>252</v>
      </c>
      <c r="B42" s="35" t="s">
        <v>253</v>
      </c>
      <c r="C42" s="35" t="s">
        <v>254</v>
      </c>
      <c r="D42" s="36" t="s">
        <v>250</v>
      </c>
      <c r="E42" s="36" t="s">
        <v>251</v>
      </c>
      <c r="F42" s="37" t="s">
        <v>255</v>
      </c>
      <c r="G42" s="36" t="s">
        <v>256</v>
      </c>
      <c r="H42" s="36" t="s">
        <v>257</v>
      </c>
      <c r="I42" s="36" t="s">
        <v>258</v>
      </c>
      <c r="J42" s="36" t="s">
        <v>261</v>
      </c>
      <c r="K42" s="36" t="s">
        <v>259</v>
      </c>
      <c r="L42" s="36" t="s">
        <v>260</v>
      </c>
      <c r="M42" s="36" t="s">
        <v>263</v>
      </c>
      <c r="N42" s="36" t="s">
        <v>289</v>
      </c>
    </row>
    <row r="43" spans="1:14" ht="18.75">
      <c r="A43" s="11"/>
      <c r="B43" s="11"/>
      <c r="C43" s="11"/>
      <c r="D43" s="11"/>
      <c r="E43" s="11"/>
      <c r="F43" s="11">
        <v>2000000</v>
      </c>
      <c r="G43" s="11">
        <v>70000</v>
      </c>
      <c r="H43" s="11">
        <v>50000</v>
      </c>
      <c r="I43" s="11">
        <f>F43-G43</f>
        <v>1930000</v>
      </c>
      <c r="J43" s="11">
        <f>IF(I43&lt;300000,nil,IF(AND(I43&gt;300000,I43&lt;=600000),5%,IF(AND(I43&gt;600000,I43&lt;=900000),10%,IF(AND(I43&gt;900000,I43&lt;=1200000),15%,IF(AND(I43&gt;1200000,I43&lt;=1500000),20%,30%)))))</f>
        <v>0.3</v>
      </c>
      <c r="K43" s="11">
        <f>IF(I43&lt;=300000,nil,IF(I43&lt;=600000,(I43-300000)*0.05,IF(I43&lt;=900000,15000+(I43-600000)*0.1,IF(I43&lt;=1200000,15000+30000+(I43-900000)*0.15,IF(I43&lt;=1500000,15000+30000+45000+(I43-1200000)*0.2,15000+30000+45000+60000+(I43-1500000)*0.3)))))</f>
        <v>279000</v>
      </c>
      <c r="L43" s="11">
        <f>IF(I43&lt;5000000,0,IF(AND(I43&gt;=50000000,I43&lt;=10000000),I43*0.1,IF(AND(I43&gt;10000000,I43&lt;=20000000),I43*0.15,IF(AND(I43&gt;20000000,I43&lt;=50000000),I43*0.25,I43*0.37))))</f>
        <v>0</v>
      </c>
      <c r="M43" s="38">
        <f>L43*0.04</f>
        <v>0</v>
      </c>
      <c r="N43" s="11">
        <f>I43-SUM(K43:M43)</f>
        <v>1651000</v>
      </c>
    </row>
    <row r="44" spans="1:14" ht="18.75">
      <c r="A44" s="11"/>
      <c r="B44" s="11"/>
      <c r="C44" s="11"/>
      <c r="D44" s="11"/>
      <c r="E44" s="11"/>
      <c r="F44" s="11"/>
      <c r="G44" s="11"/>
      <c r="H44" s="11"/>
      <c r="I44" s="11">
        <v>550000000</v>
      </c>
      <c r="J44" s="11">
        <f>IF(I44&lt;300000,nil,IF(AND(I44&gt;300000,I44&lt;=600000),5%,IF(AND(I44&gt;600000,I44&lt;=900000),10%,IF(AND(I44&gt;900000,I44&lt;=1200000),15%,IF(AND(I44&gt;1200000,I44&lt;=1500000),20%,30%)))))</f>
        <v>0.3</v>
      </c>
      <c r="K44" s="11">
        <f>IF(I44&lt;=300000,nil,IF(I44&lt;=600000,(I44-300000)*0.05,IF(I44&lt;=900000,15000+(I44-600000)*0.1,IF(I44&lt;=1200000,15000+30000+(I44-900000)*0.15,IF(I44&lt;=1500000,15000+30000+45000+(I44-1200000)*0.2,15000+30000+45000+60000+(I44-1500000)*0.3)))))</f>
        <v>164700000</v>
      </c>
      <c r="L44" s="11">
        <f t="shared" ref="L44:L45" si="0">IF(I44&lt;5000000,0,IF(AND(I44&gt;=50000000,I44&lt;=10000000),I44*0.1,IF(AND(I44&gt;10000000,I44&lt;=20000000),I44*0.15,IF(AND(I44&gt;20000000,I44&lt;=50000000),I44*0.25,I44*0.37))))</f>
        <v>203500000</v>
      </c>
      <c r="M44" s="38">
        <f t="shared" ref="M44:M45" si="1">L44*0.04</f>
        <v>8140000</v>
      </c>
      <c r="N44" s="11">
        <f t="shared" ref="N44:N45" si="2">I44-SUM(K44:M44)</f>
        <v>173660000</v>
      </c>
    </row>
    <row r="45" spans="1:14" ht="18.75">
      <c r="A45" s="11"/>
      <c r="B45" s="11"/>
      <c r="C45" s="11"/>
      <c r="D45" s="11"/>
      <c r="E45" s="11"/>
      <c r="F45" s="11">
        <v>6000000</v>
      </c>
      <c r="G45" s="11"/>
      <c r="H45" s="11"/>
      <c r="I45" s="11">
        <v>6000000</v>
      </c>
      <c r="J45" s="11">
        <f>IF(I45&lt;300000,nil,IF(AND(I45&gt;300000,I45&lt;=600000),5%,IF(AND(I45&gt;600000,I45&lt;=900000),10%,IF(AND(I45&gt;900000,I45&lt;=1200000),15%,IF(AND(I45&gt;1200000,I45&lt;=1500000),20%,30%)))))</f>
        <v>0.3</v>
      </c>
      <c r="K45" s="11">
        <f>IF(I45&lt;=300000,nil,IF(I45&lt;=600000,(I45-300000)*0.05,IF(I45&lt;=900000,15000+(I45-600000)*0.1,IF(I45&lt;=1200000,15000+30000+(I45-900000)*0.15,IF(I45&lt;=1500000,15000+30000+45000+(I45-1200000)*0.2,15000+30000+45000+60000+(I45-1500000)*0.3)))))</f>
        <v>1500000</v>
      </c>
      <c r="L45" s="11">
        <f t="shared" si="0"/>
        <v>2220000</v>
      </c>
      <c r="M45" s="38">
        <f t="shared" si="1"/>
        <v>88800</v>
      </c>
      <c r="N45" s="11">
        <f t="shared" si="2"/>
        <v>2191200</v>
      </c>
    </row>
    <row r="49" spans="2:11">
      <c r="G49" t="s">
        <v>267</v>
      </c>
      <c r="H49" t="s">
        <v>265</v>
      </c>
      <c r="I49" t="s">
        <v>264</v>
      </c>
      <c r="J49" t="s">
        <v>266</v>
      </c>
      <c r="K49" t="s">
        <v>268</v>
      </c>
    </row>
    <row r="50" spans="2:11">
      <c r="G50" t="s">
        <v>243</v>
      </c>
      <c r="H50" t="s">
        <v>135</v>
      </c>
      <c r="I50">
        <f>IF(H50="yes",IF(I$31&lt;250000,nil,IF(I$31&lt;=500000,5%,IF(I$31&lt;=1000000,20%,30%))),0)</f>
        <v>0.3</v>
      </c>
      <c r="J50" t="s">
        <v>135</v>
      </c>
      <c r="K50">
        <f>IF(J50="yes",IF(I43&lt;300000,nil,IF(AND(I43&gt;300000,I43&lt;=600000),5%,IF(AND(I43&gt;600000,I43&lt;=900000),10%,IF(AND(I43&gt;900000,I43&lt;=1200000),15%,IF(AND(I43&gt;1200000,I43&lt;=1500000),20%,30%))))),0)</f>
        <v>0.3</v>
      </c>
    </row>
    <row r="51" spans="2:11">
      <c r="G51" t="s">
        <v>248</v>
      </c>
      <c r="H51" t="s">
        <v>135</v>
      </c>
      <c r="I51">
        <f>IF(H51="yes",IF(I31&lt;=250000,nil,IF(I31&lt;=500000,(I31-250000)*0.05,IF(I31&lt;=1000000,12500+(I31-500000)*0.2,12500+100000+(I31-1000000)*0.3))),0)</f>
        <v>376500</v>
      </c>
      <c r="J51" t="s">
        <v>135</v>
      </c>
      <c r="K51">
        <f>IF(J51="yes",IF(I43&lt;=300000,nil,IF(I43&lt;=600000,(I43-300000)*0.05,IF(I43&lt;=900000,15000+(I43-600000)*0.1,IF(I43&lt;=1200000,15000+30000+(I43-900000)*0.15,IF(I43&lt;=1500000,15000+30000+45000+(I43-1200000)*0.2,15000+30000+45000+60000+(I43-1500000)*0.3))))),0)</f>
        <v>279000</v>
      </c>
    </row>
    <row r="52" spans="2:11">
      <c r="G52" t="s">
        <v>260</v>
      </c>
      <c r="H52" t="s">
        <v>135</v>
      </c>
      <c r="I52">
        <f>IF(H52="yes",IF(I31&lt;5000000,0,IF(AND(I31&gt;5000000,I31&lt;=10000000),I31*0.1,IF(AND(I31&gt;10000000,I31&lt;=20000000),I31*0.15,IF(AND(I31&gt;20000000,I31&lt;=50000000),I31*0.25,I31*0.37)))),0)</f>
        <v>0</v>
      </c>
      <c r="J52" t="s">
        <v>135</v>
      </c>
      <c r="K52">
        <f>IF(J52="yes",IF(I43&lt;5000000,0,IF(AND(I43&gt;=50000000,I43&lt;=10000000),I43*0.1,IF(AND(I43&gt;10000000,I43&lt;=20000000),I43*0.15,IF(AND(I43&gt;20000000,I43&lt;=50000000),I43*0.25,I43*0.37)))),0)</f>
        <v>0</v>
      </c>
    </row>
    <row r="53" spans="2:11">
      <c r="G53" t="s">
        <v>244</v>
      </c>
      <c r="H53" t="s">
        <v>135</v>
      </c>
      <c r="I53">
        <f>IF(H53="yes",I31-(K31+L31),0)</f>
        <v>1503500</v>
      </c>
      <c r="J53" t="s">
        <v>135</v>
      </c>
      <c r="K53">
        <f>IF(J53="yes",I43-(K43+L43),0)</f>
        <v>1651000</v>
      </c>
    </row>
    <row r="54" spans="2:11">
      <c r="B54" t="s">
        <v>298</v>
      </c>
      <c r="D54" t="s">
        <v>299</v>
      </c>
      <c r="G54" t="s">
        <v>263</v>
      </c>
      <c r="H54" t="s">
        <v>135</v>
      </c>
      <c r="I54">
        <f>IF(H54="yes",L31*0.04,0)</f>
        <v>0</v>
      </c>
      <c r="J54" t="s">
        <v>135</v>
      </c>
      <c r="K54">
        <f>IF(J54="yes",L43*0.04,0)</f>
        <v>0</v>
      </c>
    </row>
    <row r="55" spans="2:11">
      <c r="B55" t="s">
        <v>299</v>
      </c>
    </row>
    <row r="56" spans="2:11">
      <c r="B56" t="s">
        <v>300</v>
      </c>
    </row>
    <row r="57" spans="2:11">
      <c r="B57" t="s">
        <v>301</v>
      </c>
    </row>
    <row r="58" spans="2:11">
      <c r="G58" t="s">
        <v>267</v>
      </c>
      <c r="H58" t="s">
        <v>292</v>
      </c>
      <c r="I58" t="s">
        <v>293</v>
      </c>
      <c r="J58" t="s">
        <v>294</v>
      </c>
      <c r="K58" t="s">
        <v>297</v>
      </c>
    </row>
    <row r="59" spans="2:11" hidden="1"/>
    <row r="60" spans="2:11" hidden="1"/>
    <row r="61" spans="2:11">
      <c r="F61" t="s">
        <v>248</v>
      </c>
      <c r="G61" t="s">
        <v>295</v>
      </c>
      <c r="H61" t="s">
        <v>136</v>
      </c>
      <c r="J61" t="s">
        <v>135</v>
      </c>
    </row>
    <row r="62" spans="2:11">
      <c r="G62" t="s">
        <v>296</v>
      </c>
      <c r="H62" t="s">
        <v>135</v>
      </c>
      <c r="J62" t="s">
        <v>135</v>
      </c>
    </row>
    <row r="63" spans="2:11">
      <c r="G63" t="s">
        <v>248</v>
      </c>
      <c r="H63" t="s">
        <v>136</v>
      </c>
      <c r="J63" t="s">
        <v>135</v>
      </c>
    </row>
    <row r="64" spans="2:11">
      <c r="G64" t="s">
        <v>260</v>
      </c>
      <c r="H64" t="s">
        <v>136</v>
      </c>
      <c r="J64" t="s">
        <v>135</v>
      </c>
    </row>
    <row r="65" spans="6:10">
      <c r="G65" t="s">
        <v>263</v>
      </c>
      <c r="H65" t="s">
        <v>135</v>
      </c>
      <c r="J65" t="s">
        <v>135</v>
      </c>
    </row>
    <row r="66" spans="6:10">
      <c r="F66" t="s">
        <v>289</v>
      </c>
      <c r="G66" t="s">
        <v>289</v>
      </c>
      <c r="H66" t="s">
        <v>135</v>
      </c>
      <c r="J66" t="s">
        <v>135</v>
      </c>
    </row>
  </sheetData>
  <mergeCells count="2">
    <mergeCell ref="A40:E41"/>
    <mergeCell ref="F40:M41"/>
  </mergeCells>
  <dataValidations count="3">
    <dataValidation type="list" allowBlank="1" showInputMessage="1" showErrorMessage="1" sqref="D54:D68">
      <formula1>"produce,meat,bakery"</formula1>
    </dataValidation>
    <dataValidation type="list" allowBlank="1" showInputMessage="1" showErrorMessage="1" sqref="H61:H67">
      <formula1>"yes,no"</formula1>
    </dataValidation>
    <dataValidation type="list" allowBlank="1" showInputMessage="1" showErrorMessage="1" sqref="F61:F67">
      <formula1>"taxable amount,tax%,tax amount,surcharge,cess,net income"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H x B W e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5 H x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8 Q V k o i k e 4 D g A A A B E A A A A T A B w A R m 9 y b X V s Y X M v U 2 V j d G l v b j E u b S C i G A A o o B Q A A A A A A A A A A A A A A A A A A A A A A A A A A A A r T k 0 u y c z P U w i G 0 I b W A F B L A Q I t A B Q A A g A I A O R 8 Q V n k l j + w p w A A A P k A A A A S A A A A A A A A A A A A A A A A A A A A A A B D b 2 5 m a W c v U G F j a 2 F n Z S 5 4 b W x Q S w E C L Q A U A A I A C A D k f E F Z D 8 r p q 6 Q A A A D p A A A A E w A A A A A A A A A A A A A A A A D z A A A A W 0 N v b n R l b n R f V H l w Z X N d L n h t b F B L A Q I t A B Q A A g A I A O R 8 Q V k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/ q L v Y E I 7 E m n o s Y N s B y v p Q A A A A A C A A A A A A A Q Z g A A A A E A A C A A A A A A B D T D A W b C z L H r 7 / I / l d h d F S f q r v T b w e B i R Z m o v q Q a K Q A A A A A O g A A A A A I A A C A A A A C 1 o T / K Q 0 t X 0 P 9 J h b R W u q F m R g q S E X Q P g q 2 H w y l J V 2 9 7 g 1 A A A A C U N J t h J Y V s O y q o w k D Z U w M g K c 7 w r u g w M / u 0 C s H p n 7 w L 0 C D D 3 G K Q w V 2 Z 1 8 9 b b j T m D H 6 J 2 7 P w b O 7 o X g M o U 0 0 J k m A 6 D C n d 4 2 J f 5 z Z K L n 8 s z Y y Y 5 k A A A A B A C Y U h B D w o d x y V b 6 6 C n / P i R v 6 n v I V Q S V A I P G j E E X j O r 5 H 2 5 X t m t E v S s c V Y B V i 7 + l o g H A 1 P q S E o Y i t d M l v T 7 y z E < / D a t a M a s h u p > 
</file>

<file path=customXml/itemProps1.xml><?xml version="1.0" encoding="utf-8"?>
<ds:datastoreItem xmlns:ds="http://schemas.openxmlformats.org/officeDocument/2006/customXml" ds:itemID="{35BAB91C-BFCD-43AE-9655-A8EC35E26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Assign.1</vt:lpstr>
      <vt:lpstr>Assignment1.excel</vt:lpstr>
      <vt:lpstr>Sheet10</vt:lpstr>
      <vt:lpstr>Sheet11</vt:lpstr>
      <vt:lpstr>ASSIGN.VLOOKUP</vt:lpstr>
      <vt:lpstr>ASSIGN.HLOOKUP.excel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2024-09-03T04:32:31Z</dcterms:created>
  <dcterms:modified xsi:type="dcterms:W3CDTF">2024-11-27T07:40:53Z</dcterms:modified>
</cp:coreProperties>
</file>