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Assign.1" sheetId="9" r:id="rId12"/>
    <sheet state="visible" name="Assignment1.excel" sheetId="10" r:id="rId13"/>
    <sheet state="visible" name="Sheet10" sheetId="11" r:id="rId14"/>
    <sheet state="visible" name="Sheet11" sheetId="12" r:id="rId15"/>
    <sheet state="visible" name="ASSIGN.VLOOKUP" sheetId="13" r:id="rId16"/>
    <sheet state="visible" name="ASSIGN.HLOOKUP.excel" sheetId="14" r:id="rId17"/>
    <sheet state="visible" name="Sheet13" sheetId="15" r:id="rId18"/>
  </sheets>
  <definedNames/>
  <calcPr/>
  <extLst>
    <ext uri="GoogleSheetsCustomDataVersion2">
      <go:sheetsCustomData xmlns:go="http://customooxmlschemas.google.com/" r:id="rId19" roundtripDataChecksum="9aVcNJiIyH+f/SAed/dgtfI/phDCnMJoQR6ZfO6WED4="/>
    </ext>
  </extLst>
</workbook>
</file>

<file path=xl/sharedStrings.xml><?xml version="1.0" encoding="utf-8"?>
<sst xmlns="http://schemas.openxmlformats.org/spreadsheetml/2006/main" count="752" uniqueCount="401">
  <si>
    <t>Monthly Budget</t>
  </si>
  <si>
    <t>Bills</t>
  </si>
  <si>
    <t>Jan</t>
  </si>
  <si>
    <t>Feb</t>
  </si>
  <si>
    <t>Mar</t>
  </si>
  <si>
    <t>Total</t>
  </si>
  <si>
    <t>%</t>
  </si>
  <si>
    <t>sharan555</t>
  </si>
  <si>
    <t>Candy</t>
  </si>
  <si>
    <t>dragging-&gt;cell refrencing</t>
  </si>
  <si>
    <t>Credit card</t>
  </si>
  <si>
    <t>denominator-&gt;absolute refrencing</t>
  </si>
  <si>
    <t>Food</t>
  </si>
  <si>
    <t>Phone</t>
  </si>
  <si>
    <t>Rent</t>
  </si>
  <si>
    <t>#fill concept</t>
  </si>
  <si>
    <t>dec</t>
  </si>
  <si>
    <t>apr</t>
  </si>
  <si>
    <t>Monday</t>
  </si>
  <si>
    <t>nov</t>
  </si>
  <si>
    <t>aug</t>
  </si>
  <si>
    <t>india</t>
  </si>
  <si>
    <t>china</t>
  </si>
  <si>
    <t>Tuesday</t>
  </si>
  <si>
    <t>oct</t>
  </si>
  <si>
    <t>pakistan</t>
  </si>
  <si>
    <t>bhutan</t>
  </si>
  <si>
    <t>Wednesday</t>
  </si>
  <si>
    <t>sep</t>
  </si>
  <si>
    <t>feb</t>
  </si>
  <si>
    <t>nepal</t>
  </si>
  <si>
    <t>bangladesh</t>
  </si>
  <si>
    <t>Thursday</t>
  </si>
  <si>
    <t>jan</t>
  </si>
  <si>
    <t>Friday</t>
  </si>
  <si>
    <t>jul</t>
  </si>
  <si>
    <t>Saturday</t>
  </si>
  <si>
    <t>jun</t>
  </si>
  <si>
    <t>Sunday</t>
  </si>
  <si>
    <t>may</t>
  </si>
  <si>
    <t>mar</t>
  </si>
  <si>
    <t>#  functions in excel</t>
  </si>
  <si>
    <t>sum</t>
  </si>
  <si>
    <t>max()</t>
  </si>
  <si>
    <t>min()</t>
  </si>
  <si>
    <t>average()</t>
  </si>
  <si>
    <t>count()</t>
  </si>
  <si>
    <t>counta()</t>
  </si>
  <si>
    <t>countblank()</t>
  </si>
  <si>
    <t>sharan</t>
  </si>
  <si>
    <t>consider only integers</t>
  </si>
  <si>
    <t>consider only blank cell</t>
  </si>
  <si>
    <t>consider all cell</t>
  </si>
  <si>
    <t>sample</t>
  </si>
  <si>
    <t>month</t>
  </si>
  <si>
    <t>rainfall(mm)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</si>
  <si>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</si>
  <si>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</si>
  <si>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</si>
  <si>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</si>
  <si>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</si>
  <si>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</si>
  <si>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</si>
  <si>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</si>
  <si>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</si>
  <si>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WITHOUT USING AVERAGE FN., ONLY USE SUM AND COUNT FN.</t>
  </si>
  <si>
    <t>average</t>
  </si>
  <si>
    <t>logical tests</t>
  </si>
  <si>
    <t>=</t>
  </si>
  <si>
    <t>boolean variable</t>
  </si>
  <si>
    <t>if a=b</t>
  </si>
  <si>
    <t>&gt;</t>
  </si>
  <si>
    <t>if a&gt;b</t>
  </si>
  <si>
    <t>&lt;</t>
  </si>
  <si>
    <t>ifa&lt;b</t>
  </si>
  <si>
    <t>&gt;=</t>
  </si>
  <si>
    <t>if a&gt;=b</t>
  </si>
  <si>
    <t>&lt;=</t>
  </si>
  <si>
    <t>if a&lt;=b</t>
  </si>
  <si>
    <t>&lt;&gt;</t>
  </si>
  <si>
    <t>ifa&lt;&gt;b</t>
  </si>
  <si>
    <t>if statement</t>
  </si>
  <si>
    <t>if(logical test,true value, false value)</t>
  </si>
  <si>
    <t>boolean</t>
  </si>
  <si>
    <t>yes/no</t>
  </si>
  <si>
    <t>1/0</t>
  </si>
  <si>
    <t>pass/fail</t>
  </si>
  <si>
    <t>type 1</t>
  </si>
  <si>
    <t>total</t>
  </si>
  <si>
    <t>more than 500 seats</t>
  </si>
  <si>
    <t>grass</t>
  </si>
  <si>
    <t>fire</t>
  </si>
  <si>
    <t>water</t>
  </si>
  <si>
    <t>mathematical operator</t>
  </si>
  <si>
    <t>10% discount if sum is greater than 50</t>
  </si>
  <si>
    <t>manpreet.b@asms.edu.in</t>
  </si>
  <si>
    <t>mathematics</t>
  </si>
  <si>
    <t>english</t>
  </si>
  <si>
    <t>science</t>
  </si>
  <si>
    <t>social st.</t>
  </si>
  <si>
    <t>hindi</t>
  </si>
  <si>
    <t>remarks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</si>
  <si>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</si>
  <si>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</si>
  <si>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</si>
  <si>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</si>
  <si>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</si>
  <si>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</si>
  <si>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</si>
  <si>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</si>
  <si>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</si>
  <si>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</si>
  <si>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income</t>
  </si>
  <si>
    <t>tax</t>
  </si>
  <si>
    <t>payable tax</t>
  </si>
  <si>
    <t>&gt;20000,10%</t>
  </si>
  <si>
    <t>&gt;50000,20%</t>
  </si>
  <si>
    <t>delta</t>
  </si>
  <si>
    <t>&gt;100000,30%</t>
  </si>
  <si>
    <t>nature of roots</t>
  </si>
  <si>
    <t>root1</t>
  </si>
  <si>
    <t>root2</t>
  </si>
  <si>
    <t>unit sale</t>
  </si>
  <si>
    <t>sale price</t>
  </si>
  <si>
    <t>discount</t>
  </si>
  <si>
    <t>payable amount</t>
  </si>
  <si>
    <t>sales</t>
  </si>
  <si>
    <t>commission</t>
  </si>
  <si>
    <t>attendence %</t>
  </si>
  <si>
    <t>marks %</t>
  </si>
  <si>
    <t>Q. 1</t>
  </si>
  <si>
    <t>number</t>
  </si>
  <si>
    <t>Q.  2</t>
  </si>
  <si>
    <t>AGE</t>
  </si>
  <si>
    <t>person</t>
  </si>
  <si>
    <t>yes</t>
  </si>
  <si>
    <t>indian</t>
  </si>
  <si>
    <t>no</t>
  </si>
  <si>
    <t>Q.  3</t>
  </si>
  <si>
    <t>Person</t>
  </si>
  <si>
    <t>student</t>
  </si>
  <si>
    <t>senior citizen</t>
  </si>
  <si>
    <t>Q.  4</t>
  </si>
  <si>
    <t>PERFORMING 3 CONDITIONS AT A TIME</t>
  </si>
  <si>
    <t>employee(full time)</t>
  </si>
  <si>
    <t>working from (years)</t>
  </si>
  <si>
    <t>Probation</t>
  </si>
  <si>
    <t xml:space="preserve">no </t>
  </si>
  <si>
    <t>Q.  5</t>
  </si>
  <si>
    <t>member</t>
  </si>
  <si>
    <t>purchase</t>
  </si>
  <si>
    <t>offer avalabililty</t>
  </si>
  <si>
    <t>s. no.</t>
  </si>
  <si>
    <t>name</t>
  </si>
  <si>
    <t>age</t>
  </si>
  <si>
    <t>country</t>
  </si>
  <si>
    <t>salary</t>
  </si>
  <si>
    <t># for approx values</t>
  </si>
  <si>
    <t>japan</t>
  </si>
  <si>
    <t>uk</t>
  </si>
  <si>
    <t>usa</t>
  </si>
  <si>
    <t>s.no.</t>
  </si>
  <si>
    <t>NAME</t>
  </si>
  <si>
    <t>ROLL NO.</t>
  </si>
  <si>
    <t>FATHER'S NAME</t>
  </si>
  <si>
    <t>CITY</t>
  </si>
  <si>
    <t>ENGLISH</t>
  </si>
  <si>
    <t>HINDI</t>
  </si>
  <si>
    <t>SCIENCE</t>
  </si>
  <si>
    <t>SOCIAL</t>
  </si>
  <si>
    <t>MATH</t>
  </si>
  <si>
    <t>TOTAL</t>
  </si>
  <si>
    <t>A</t>
  </si>
  <si>
    <t>AA</t>
  </si>
  <si>
    <t>DELHI</t>
  </si>
  <si>
    <t>B</t>
  </si>
  <si>
    <t>BB</t>
  </si>
  <si>
    <t>JAIPUR</t>
  </si>
  <si>
    <t>C</t>
  </si>
  <si>
    <t>CC</t>
  </si>
  <si>
    <t>GURGAON</t>
  </si>
  <si>
    <t>D</t>
  </si>
  <si>
    <t>DD</t>
  </si>
  <si>
    <t>JALANDHAR</t>
  </si>
  <si>
    <t>E</t>
  </si>
  <si>
    <t>EE</t>
  </si>
  <si>
    <t>PATIALA</t>
  </si>
  <si>
    <t>S.NO.</t>
  </si>
  <si>
    <t>FATHERS NAME</t>
  </si>
  <si>
    <t>PRACTICE QUESTION</t>
  </si>
  <si>
    <t>COURSE</t>
  </si>
  <si>
    <t>COURSE ID</t>
  </si>
  <si>
    <t>ADDRESS</t>
  </si>
  <si>
    <t>PYTHON</t>
  </si>
  <si>
    <t>SQL</t>
  </si>
  <si>
    <t>EXCEL</t>
  </si>
  <si>
    <t>JAWA</t>
  </si>
  <si>
    <t>STORY TELLING</t>
  </si>
  <si>
    <t>GRADE</t>
  </si>
  <si>
    <t>BOB</t>
  </si>
  <si>
    <t>BACHAELOR'S</t>
  </si>
  <si>
    <t>B1</t>
  </si>
  <si>
    <t>UK</t>
  </si>
  <si>
    <t>JOSUA</t>
  </si>
  <si>
    <t>MASTER'S</t>
  </si>
  <si>
    <t>M1</t>
  </si>
  <si>
    <t>USA</t>
  </si>
  <si>
    <t>DAVID</t>
  </si>
  <si>
    <t>DIPLOMA</t>
  </si>
  <si>
    <t>D1</t>
  </si>
  <si>
    <t>JAPAN</t>
  </si>
  <si>
    <t>TIM</t>
  </si>
  <si>
    <t>CHINA</t>
  </si>
  <si>
    <t>KANE</t>
  </si>
  <si>
    <t>CANADA</t>
  </si>
  <si>
    <t>MATT</t>
  </si>
  <si>
    <t>FRANCE</t>
  </si>
  <si>
    <t># hlookup</t>
  </si>
  <si>
    <t xml:space="preserve">name </t>
  </si>
  <si>
    <t>employee</t>
  </si>
  <si>
    <t>location</t>
  </si>
  <si>
    <t xml:space="preserve">salary </t>
  </si>
  <si>
    <t>delhi</t>
  </si>
  <si>
    <t>mumbai</t>
  </si>
  <si>
    <t>noida</t>
  </si>
  <si>
    <t>gurgaon</t>
  </si>
  <si>
    <t>jaipur</t>
  </si>
  <si>
    <t>raipur</t>
  </si>
  <si>
    <t>chennai</t>
  </si>
  <si>
    <t>udaipur</t>
  </si>
  <si>
    <t>jodhpur</t>
  </si>
  <si>
    <t>solan</t>
  </si>
  <si>
    <t>update y1 set subject ="math"  where id = 11;</t>
  </si>
  <si>
    <t>update y1 set subject ="math"  where id = 22;</t>
  </si>
  <si>
    <t>update y1 set subject ="math"  where id = 33;</t>
  </si>
  <si>
    <t>update y1 set subject ="math"  where id = 44;</t>
  </si>
  <si>
    <t>old regime</t>
  </si>
  <si>
    <t>source of  income</t>
  </si>
  <si>
    <t>house property</t>
  </si>
  <si>
    <t>business</t>
  </si>
  <si>
    <t>profession</t>
  </si>
  <si>
    <t>capital gains</t>
  </si>
  <si>
    <t>deduction</t>
  </si>
  <si>
    <t>exemption</t>
  </si>
  <si>
    <t>taxable income</t>
  </si>
  <si>
    <t>tax %</t>
  </si>
  <si>
    <t xml:space="preserve"> tax amount</t>
  </si>
  <si>
    <t>income after tax</t>
  </si>
  <si>
    <t>new regime</t>
  </si>
  <si>
    <t>tax amount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</si>
  <si>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</si>
  <si>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</si>
  <si>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</si>
  <si>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</si>
  <si>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</si>
  <si>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</si>
  <si>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</si>
  <si>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</si>
  <si>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</si>
  <si>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</si>
  <si>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</si>
  <si>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</si>
  <si>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</si>
  <si>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</si>
  <si>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 xml:space="preserve">source of income   </t>
  </si>
  <si>
    <r>
      <rPr>
        <rFont val="Copperplate Gothic Bold"/>
        <color theme="1"/>
        <sz val="26.0"/>
      </rPr>
      <t>Taxes</t>
    </r>
    <r>
      <rPr>
        <rFont val="Copperplate Gothic Bold"/>
        <color theme="1"/>
        <sz val="16.0"/>
      </rPr>
      <t xml:space="preserve"> as per</t>
    </r>
    <r>
      <rPr>
        <rFont val="Copperplate Gothic Bold"/>
        <color theme="1"/>
        <sz val="20.0"/>
      </rPr>
      <t xml:space="preserve"> OLD TAX REGIME</t>
    </r>
  </si>
  <si>
    <t>Salary</t>
  </si>
  <si>
    <t>House Property</t>
  </si>
  <si>
    <t>Businessa and Profession</t>
  </si>
  <si>
    <t>Capital Gains</t>
  </si>
  <si>
    <t>Others Sources</t>
  </si>
  <si>
    <t>Total Income</t>
  </si>
  <si>
    <t>Deduction</t>
  </si>
  <si>
    <t>Exemption</t>
  </si>
  <si>
    <t>Taxable Income</t>
  </si>
  <si>
    <t>Tax  %</t>
  </si>
  <si>
    <t>Tax amount</t>
  </si>
  <si>
    <t>surcharge</t>
  </si>
  <si>
    <t>cess</t>
  </si>
  <si>
    <t>net income</t>
  </si>
  <si>
    <t xml:space="preserve">source      of    income   </t>
  </si>
  <si>
    <r>
      <rPr>
        <rFont val="Copperplate Gothic Bold"/>
        <color theme="1"/>
        <sz val="24.0"/>
      </rPr>
      <t>Taxes</t>
    </r>
    <r>
      <rPr>
        <rFont val="Copperplate Gothic Bold"/>
        <color theme="1"/>
        <sz val="16.0"/>
      </rPr>
      <t xml:space="preserve">    as   per </t>
    </r>
    <r>
      <rPr>
        <rFont val="Copperplate Gothic Bold"/>
        <color theme="1"/>
        <sz val="20.0"/>
      </rPr>
      <t xml:space="preserve">  NEW    TAX     REGIME</t>
    </r>
  </si>
  <si>
    <t>Old</t>
  </si>
  <si>
    <t>Taxes</t>
  </si>
  <si>
    <t>New</t>
  </si>
  <si>
    <t>Taxes2</t>
  </si>
  <si>
    <t>dept.</t>
  </si>
  <si>
    <t>produce</t>
  </si>
  <si>
    <t>meat</t>
  </si>
  <si>
    <t>bakery</t>
  </si>
  <si>
    <t>old</t>
  </si>
  <si>
    <t>taxes</t>
  </si>
  <si>
    <t>new</t>
  </si>
  <si>
    <t>taxes2</t>
  </si>
  <si>
    <t>taxable amount</t>
  </si>
  <si>
    <t>tax   %</t>
  </si>
  <si>
    <t>INCOME   TAX   CALCULATOR</t>
  </si>
  <si>
    <t>OLD TAX REGIME</t>
  </si>
  <si>
    <t>NEW TAX REGIME</t>
  </si>
  <si>
    <t>DETAILS</t>
  </si>
  <si>
    <t>AGE  GROUP</t>
  </si>
  <si>
    <t>ABOVE 60</t>
  </si>
  <si>
    <t>AGE GROUP</t>
  </si>
  <si>
    <t>0-60</t>
  </si>
  <si>
    <t>source of income</t>
  </si>
  <si>
    <t>AMOUNT</t>
  </si>
  <si>
    <t>business &amp; profession</t>
  </si>
  <si>
    <t>other sources</t>
  </si>
  <si>
    <t>total income</t>
  </si>
  <si>
    <t>BASIC DEDUCTION</t>
  </si>
  <si>
    <t>Sec 80CCD (1b) (NPS):</t>
  </si>
  <si>
    <t>Sec 80D (Medical premium)</t>
  </si>
  <si>
    <t>Sec 80E (Education loan):</t>
  </si>
  <si>
    <t>Sec 80G (Donations):</t>
  </si>
  <si>
    <t>exemption   (IF ANY)</t>
  </si>
  <si>
    <t xml:space="preserve">  taxes as per old regime</t>
  </si>
  <si>
    <t>Income Tax Slab (old Tax Regime)</t>
  </si>
  <si>
    <t>Up to Rs.2.50 Lakhs</t>
  </si>
  <si>
    <t>Nil</t>
  </si>
  <si>
    <t>SERIAL NUMBER</t>
  </si>
  <si>
    <t>1000001 and above</t>
  </si>
  <si>
    <t>* HERE  S. NO. 2,3    IS TAKEN AS EXAMPLE FOR SURCHARGE AND CESS CALCULATION</t>
  </si>
  <si>
    <t>taxes as per new regime</t>
  </si>
  <si>
    <t>Income Tax Slab (New Tax Regime)</t>
  </si>
  <si>
    <t>Up to Rs.3 Lakhs</t>
  </si>
  <si>
    <t>1500001 and above</t>
  </si>
  <si>
    <t>suman</t>
  </si>
  <si>
    <t>apple</t>
  </si>
  <si>
    <t>banana</t>
  </si>
  <si>
    <t>Income Threshold</t>
  </si>
  <si>
    <t>Tax Rate</t>
  </si>
  <si>
    <t>Employee ID</t>
  </si>
  <si>
    <t>Name</t>
  </si>
  <si>
    <t>Department</t>
  </si>
  <si>
    <t>Bonus Percentage</t>
  </si>
  <si>
    <t>Q2. bonus</t>
  </si>
  <si>
    <t>Q3.Tax</t>
  </si>
  <si>
    <t>Alice Smith</t>
  </si>
  <si>
    <t>HR</t>
  </si>
  <si>
    <t>Task1. name</t>
  </si>
  <si>
    <t xml:space="preserve"> Tax  rate</t>
  </si>
  <si>
    <t>Bob Jones</t>
  </si>
  <si>
    <t>Marketing</t>
  </si>
  <si>
    <t>Bob jones</t>
  </si>
  <si>
    <t>Charlie Lee</t>
  </si>
  <si>
    <t>IT</t>
  </si>
  <si>
    <t>Diane Clark</t>
  </si>
  <si>
    <t>Finance</t>
  </si>
  <si>
    <t>Eva Zhang</t>
  </si>
  <si>
    <t>Sales</t>
  </si>
  <si>
    <t>VLOOKUP ASSIGNMENT</t>
  </si>
  <si>
    <t>1. Creating the Dataset:</t>
  </si>
  <si>
    <t>2. Task 1: Use VLOOKUP to Find Employee Salary</t>
  </si>
  <si>
    <r>
      <rPr>
        <rFont val="Calibri"/>
        <color theme="1"/>
        <sz val="11.0"/>
      </rPr>
      <t xml:space="preserve">Write a VLOOKUP formula that finds the salary of a specific employee (e.g., "Bob Jones") based on the </t>
    </r>
    <r>
      <rPr>
        <rFont val="Calibri"/>
        <b/>
        <color theme="1"/>
        <sz val="11.0"/>
      </rPr>
      <t>Name</t>
    </r>
    <r>
      <rPr>
        <rFont val="Calibri"/>
        <color theme="1"/>
        <sz val="11.0"/>
      </rPr>
      <t xml:space="preserve"> column.</t>
    </r>
  </si>
  <si>
    <r>
      <rPr>
        <rFont val="Calibri"/>
        <color theme="1"/>
        <sz val="11.0"/>
      </rPr>
      <t xml:space="preserve">Formula hint: Use the </t>
    </r>
    <r>
      <rPr>
        <rFont val="Arial Unicode MS"/>
        <color theme="1"/>
        <sz val="10.0"/>
      </rPr>
      <t>Name</t>
    </r>
    <r>
      <rPr>
        <rFont val="Calibri"/>
        <color theme="1"/>
        <sz val="11.0"/>
      </rPr>
      <t xml:space="preserve"> column as the </t>
    </r>
    <r>
      <rPr>
        <rFont val="Calibri"/>
        <b/>
        <color theme="1"/>
        <sz val="11.0"/>
      </rPr>
      <t>lookup_value</t>
    </r>
    <r>
      <rPr>
        <rFont val="Calibri"/>
        <color theme="1"/>
        <sz val="11.0"/>
      </rPr>
      <t xml:space="preserve"> and find the employee's </t>
    </r>
    <r>
      <rPr>
        <rFont val="Calibri"/>
        <b/>
        <color theme="1"/>
        <sz val="11.0"/>
      </rPr>
      <t>Salary</t>
    </r>
    <r>
      <rPr>
        <rFont val="Calibri"/>
        <color theme="1"/>
        <sz val="11.0"/>
      </rPr>
      <t>.</t>
    </r>
  </si>
  <si>
    <t>SALARY</t>
  </si>
  <si>
    <t>3. Task 2: Calculate Bonus</t>
  </si>
  <si>
    <r>
      <rPr>
        <rFont val="Calibri"/>
        <color theme="1"/>
        <sz val="11.0"/>
      </rPr>
      <t xml:space="preserve">Add a new column named </t>
    </r>
    <r>
      <rPr>
        <rFont val="Calibri"/>
        <b/>
        <color theme="1"/>
        <sz val="11.0"/>
      </rPr>
      <t>Bonus</t>
    </r>
    <r>
      <rPr>
        <rFont val="Calibri"/>
        <color theme="1"/>
        <sz val="11.0"/>
      </rPr>
      <t xml:space="preserve"> to the right of the table.</t>
    </r>
  </si>
  <si>
    <t>Use VLOOKUP to calculate each employee’s bonus based on their salary and bonus percentage.</t>
  </si>
  <si>
    <r>
      <rPr>
        <rFont val="Calibri"/>
        <color theme="1"/>
        <sz val="11.0"/>
      </rPr>
      <t xml:space="preserve">Formula hint: The bonus for each employee can be calculated as </t>
    </r>
    <r>
      <rPr>
        <rFont val="Arial Unicode MS"/>
        <color theme="1"/>
        <sz val="10.0"/>
      </rPr>
      <t>Salary * Bonus Percentage</t>
    </r>
    <r>
      <rPr>
        <rFont val="Calibri"/>
        <color theme="1"/>
        <sz val="11.0"/>
      </rPr>
      <t>.</t>
    </r>
  </si>
  <si>
    <t>BONUS</t>
  </si>
  <si>
    <t>4. Task 3: Use VLOOKUP with Approximate Match</t>
  </si>
  <si>
    <t>Create a second table that contains tax brackets as follows:</t>
  </si>
  <si>
    <t>EMPLOYEE</t>
  </si>
  <si>
    <t>TAX RATE</t>
  </si>
  <si>
    <r>
      <rPr>
        <rFont val="Calibri"/>
        <color theme="1"/>
        <sz val="11.0"/>
      </rPr>
      <t xml:space="preserve">Using the </t>
    </r>
    <r>
      <rPr>
        <rFont val="Calibri"/>
        <b/>
        <color theme="1"/>
        <sz val="11.0"/>
      </rPr>
      <t>Salary</t>
    </r>
    <r>
      <rPr>
        <rFont val="Calibri"/>
        <color theme="1"/>
        <sz val="11.0"/>
      </rPr>
      <t xml:space="preserve"> column from the first table, write a VLOOKUP formula with an </t>
    </r>
    <r>
      <rPr>
        <rFont val="Calibri"/>
        <b/>
        <color theme="1"/>
        <sz val="11.0"/>
      </rPr>
      <t>approximate match</t>
    </r>
    <r>
      <rPr>
        <rFont val="Calibri"/>
        <color theme="1"/>
        <sz val="11.0"/>
      </rPr>
      <t xml:space="preserve"> to find out which tax rate each employee falls under based on their salary.</t>
    </r>
  </si>
  <si>
    <t>5. Bonus Task (Optional):</t>
  </si>
  <si>
    <t>Experiment with using VLOOKUP to look up data from different sheets within the same workbook. Try moving the tax table to a new worksheet and referencing it from the main employee data sheet.</t>
  </si>
  <si>
    <t>Data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</si>
  <si>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</si>
  <si>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</si>
  <si>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</si>
  <si>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</si>
  <si>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</si>
  <si>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</si>
  <si>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</si>
  <si>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</si>
  <si>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</si>
  <si>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</si>
  <si>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</si>
  <si>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Bonus</t>
  </si>
  <si>
    <t>Total Pay</t>
  </si>
  <si>
    <t>Q1.what is department of employee with id 102</t>
  </si>
  <si>
    <t>Q2.what is the salary of employee with id 105?</t>
  </si>
  <si>
    <t>Q3.what is the total pay ofemployee with id 107?</t>
  </si>
  <si>
    <t>data vallidation</t>
  </si>
  <si>
    <t>date</t>
  </si>
  <si>
    <t>whole number</t>
  </si>
  <si>
    <t>text length</t>
  </si>
  <si>
    <t xml:space="preserve">date </t>
  </si>
  <si>
    <t>drop down list</t>
  </si>
  <si>
    <t>*whole number</t>
  </si>
  <si>
    <t>abc</t>
  </si>
  <si>
    <t>hong kong</t>
  </si>
  <si>
    <t>*text length</t>
  </si>
  <si>
    <t>fdgh</t>
  </si>
  <si>
    <t>*date</t>
  </si>
  <si>
    <t>*drop down list</t>
  </si>
  <si>
    <t>*input message</t>
  </si>
  <si>
    <t>*error message</t>
  </si>
  <si>
    <t>beijing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</si>
</sst>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sz val="11.0"/>
      <color rgb="FFFF0000"/>
      <name val="Calibri"/>
    </font>
    <font>
      <u/>
      <sz val="14.0"/>
      <color theme="1"/>
      <name val="Calibri"/>
    </font>
    <font>
      <sz val="12.0"/>
      <color theme="1"/>
      <name val="Calibri"/>
    </font>
    <font>
      <u/>
      <sz val="11.0"/>
      <color theme="10"/>
      <name val="Calibri"/>
    </font>
    <font>
      <sz val="22.0"/>
      <color theme="1"/>
      <name val="Calibri"/>
    </font>
    <font>
      <i/>
      <sz val="11.0"/>
      <color theme="1"/>
      <name val="Calibri"/>
    </font>
    <font>
      <b/>
      <i/>
      <sz val="20.0"/>
      <color rgb="FF171616"/>
      <name val="Balthazar"/>
    </font>
    <font>
      <sz val="11.0"/>
      <color theme="1"/>
      <name val="Balthazar"/>
    </font>
    <font>
      <sz val="8.0"/>
      <color theme="1"/>
      <name val="Balthazar"/>
    </font>
    <font>
      <sz val="11.0"/>
      <color rgb="FF2F5496"/>
      <name val="Balthazar"/>
    </font>
    <font>
      <sz val="8.0"/>
      <color rgb="FF2F5496"/>
      <name val="Balthazar"/>
    </font>
    <font>
      <sz val="10.0"/>
      <color rgb="FF2F5496"/>
      <name val="Balthazar"/>
    </font>
    <font/>
    <font>
      <sz val="12.0"/>
      <color theme="1"/>
      <name val="Balthazar"/>
    </font>
    <font>
      <sz val="14.0"/>
      <color theme="1"/>
      <name val="Calibri"/>
    </font>
    <font>
      <sz val="36.0"/>
      <color theme="1"/>
      <name val="Calibri"/>
    </font>
    <font>
      <b/>
      <sz val="28.0"/>
      <color rgb="FF2F5496"/>
      <name val="Calibri"/>
    </font>
    <font>
      <sz val="18.0"/>
      <color rgb="FF2F5496"/>
      <name val="Calibri"/>
    </font>
    <font>
      <sz val="20.0"/>
      <color rgb="FF2F5496"/>
      <name val="Calibri"/>
    </font>
    <font>
      <sz val="12.0"/>
      <color rgb="FF2F5496"/>
      <name val="Calibri"/>
    </font>
    <font>
      <sz val="11.0"/>
      <color rgb="FF2F5496"/>
      <name val="Calibri"/>
    </font>
    <font>
      <sz val="16.0"/>
      <color rgb="FF2F5496"/>
      <name val="Calibri"/>
    </font>
    <font>
      <sz val="18.0"/>
      <color rgb="FF333F4F"/>
      <name val="Balthazar"/>
    </font>
    <font>
      <b/>
      <sz val="16.0"/>
      <color theme="1"/>
      <name val="Calibri"/>
    </font>
    <font>
      <b/>
      <sz val="11.0"/>
      <color theme="1"/>
      <name val="Calibri"/>
    </font>
    <font>
      <sz val="20.0"/>
      <color rgb="FF333F4F"/>
      <name val="Balthazar"/>
    </font>
    <font>
      <sz val="16.0"/>
      <color rgb="FF333F4F"/>
      <name val="Balthazar"/>
    </font>
    <font>
      <sz val="28.0"/>
      <color theme="1"/>
      <name val="Balthazar"/>
    </font>
    <font>
      <b/>
      <sz val="12.0"/>
      <color theme="1"/>
      <name val="Calibri"/>
    </font>
    <font>
      <sz val="9.0"/>
      <color theme="1"/>
      <name val="Balthazar"/>
    </font>
    <font>
      <b/>
      <sz val="22.0"/>
      <color theme="1"/>
      <name val="Calibri"/>
    </font>
    <font>
      <sz val="9.0"/>
      <color rgb="FF000000"/>
      <name val="Arial"/>
    </font>
    <font>
      <sz val="14.0"/>
      <color theme="1"/>
      <name val="Algerian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BFBFBF"/>
        <bgColor rgb="FFBFBFBF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medium">
        <color rgb="FFCCCCCC"/>
      </bottom>
    </border>
    <border>
      <top style="thick">
        <color rgb="FF000000"/>
      </top>
      <bottom style="medium">
        <color rgb="FFCCCCCC"/>
      </bottom>
    </border>
    <border>
      <right style="thick">
        <color rgb="FF000000"/>
      </right>
      <top style="thick">
        <color rgb="FF000000"/>
      </top>
      <bottom style="medium">
        <color rgb="FFCCCCCC"/>
      </bottom>
    </border>
    <border>
      <left style="thick">
        <color rgb="FF000000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top style="medium">
        <color rgb="FFCCCCCC"/>
      </top>
      <bottom style="thick">
        <color rgb="FF000000"/>
      </bottom>
    </border>
    <border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9" xfId="0" applyFont="1" applyNumberFormat="1"/>
    <xf borderId="1" fillId="0" fontId="2" numFmtId="0" xfId="0" applyBorder="1" applyFont="1"/>
    <xf borderId="0" fillId="0" fontId="3" numFmtId="0" xfId="0" applyFont="1"/>
    <xf borderId="1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2" fillId="3" fontId="4" numFmtId="0" xfId="0" applyBorder="1" applyFont="1"/>
    <xf borderId="0" fillId="0" fontId="5" numFmtId="0" xfId="0" applyAlignment="1" applyFont="1">
      <alignment horizontal="center"/>
    </xf>
    <xf borderId="0" fillId="0" fontId="2" numFmtId="17" xfId="0" applyFont="1" applyNumberFormat="1"/>
    <xf borderId="0" fillId="0" fontId="6" numFmtId="0" xfId="0" applyFont="1"/>
    <xf borderId="0" fillId="0" fontId="7" numFmtId="0" xfId="0" applyFont="1"/>
    <xf borderId="0" fillId="0" fontId="2" numFmtId="164" xfId="0" applyFont="1" applyNumberFormat="1"/>
    <xf borderId="0" fillId="0" fontId="2" numFmtId="0" xfId="0" applyFont="1"/>
    <xf borderId="0" fillId="0" fontId="8" numFmtId="0" xfId="0" applyFont="1"/>
    <xf borderId="0" fillId="0" fontId="9" numFmtId="0" xfId="0" applyFont="1"/>
    <xf borderId="0" fillId="0" fontId="2" numFmtId="3" xfId="0" applyFont="1" applyNumberForma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6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1" numFmtId="0" xfId="0" applyFont="1"/>
    <xf borderId="4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5" fillId="0" fontId="11" numFmtId="0" xfId="0" applyBorder="1" applyFont="1"/>
    <xf borderId="6" fillId="0" fontId="12" numFmtId="0" xfId="0" applyBorder="1" applyFont="1"/>
    <xf borderId="1" fillId="0" fontId="12" numFmtId="0" xfId="0" applyBorder="1" applyFont="1"/>
    <xf borderId="1" fillId="0" fontId="13" numFmtId="0" xfId="0" applyBorder="1" applyFont="1"/>
    <xf borderId="1" fillId="0" fontId="14" numFmtId="0" xfId="0" applyBorder="1" applyFont="1"/>
    <xf borderId="1" fillId="0" fontId="15" numFmtId="0" xfId="0" applyBorder="1" applyFont="1"/>
    <xf borderId="1" fillId="0" fontId="11" numFmtId="0" xfId="0" applyBorder="1" applyFont="1"/>
    <xf borderId="9" fillId="0" fontId="11" numFmtId="0" xfId="0" applyBorder="1" applyFont="1"/>
    <xf borderId="9" fillId="0" fontId="2" numFmtId="0" xfId="0" applyBorder="1" applyFont="1"/>
    <xf borderId="10" fillId="0" fontId="2" numFmtId="0" xfId="0" applyBorder="1" applyFont="1"/>
    <xf borderId="8" fillId="0" fontId="10" numFmtId="0" xfId="0" applyAlignment="1" applyBorder="1" applyFont="1">
      <alignment horizontal="center"/>
    </xf>
    <xf borderId="11" fillId="0" fontId="16" numFmtId="0" xfId="0" applyBorder="1" applyFont="1"/>
    <xf borderId="10" fillId="0" fontId="16" numFmtId="0" xfId="0" applyBorder="1" applyFont="1"/>
    <xf borderId="8" fillId="0" fontId="11" numFmtId="0" xfId="0" applyAlignment="1" applyBorder="1" applyFont="1">
      <alignment horizontal="center"/>
    </xf>
    <xf borderId="1" fillId="0" fontId="11" numFmtId="0" xfId="0" applyBorder="1" applyFont="1"/>
    <xf borderId="5" fillId="0" fontId="16" numFmtId="0" xfId="0" applyBorder="1" applyFont="1"/>
    <xf borderId="12" fillId="0" fontId="16" numFmtId="0" xfId="0" applyBorder="1" applyFont="1"/>
    <xf borderId="3" fillId="0" fontId="16" numFmtId="0" xfId="0" applyBorder="1" applyFont="1"/>
    <xf borderId="1" fillId="0" fontId="17" numFmtId="0" xfId="0" applyBorder="1" applyFont="1"/>
    <xf borderId="1" fillId="0" fontId="18" numFmtId="0" xfId="0" applyBorder="1" applyFont="1"/>
    <xf borderId="0" fillId="0" fontId="1" numFmtId="0" xfId="0" applyFont="1"/>
    <xf borderId="8" fillId="5" fontId="19" numFmtId="0" xfId="0" applyAlignment="1" applyBorder="1" applyFill="1" applyFont="1">
      <alignment horizontal="center" vertical="center"/>
    </xf>
    <xf borderId="13" fillId="0" fontId="16" numFmtId="0" xfId="0" applyBorder="1" applyFont="1"/>
    <xf borderId="14" fillId="0" fontId="16" numFmtId="0" xfId="0" applyBorder="1" applyFont="1"/>
    <xf borderId="8" fillId="0" fontId="20" numFmtId="0" xfId="0" applyAlignment="1" applyBorder="1" applyFont="1">
      <alignment horizontal="center"/>
    </xf>
    <xf borderId="13" fillId="0" fontId="20" numFmtId="0" xfId="0" applyAlignment="1" applyBorder="1" applyFont="1">
      <alignment horizontal="center"/>
    </xf>
    <xf borderId="8" fillId="0" fontId="21" numFmtId="0" xfId="0" applyAlignment="1" applyBorder="1" applyFont="1">
      <alignment horizontal="center"/>
    </xf>
    <xf borderId="12" fillId="0" fontId="20" numFmtId="0" xfId="0" applyAlignment="1" applyBorder="1" applyFont="1">
      <alignment horizontal="center"/>
    </xf>
    <xf borderId="3" fillId="0" fontId="20" numFmtId="0" xfId="0" applyAlignment="1" applyBorder="1" applyFont="1">
      <alignment horizontal="center"/>
    </xf>
    <xf borderId="8" fillId="0" fontId="22" numFmtId="0" xfId="0" applyAlignment="1" applyBorder="1" applyFont="1">
      <alignment horizontal="center"/>
    </xf>
    <xf borderId="12" fillId="0" fontId="23" numFmtId="0" xfId="0" applyAlignment="1" applyBorder="1" applyFont="1">
      <alignment horizontal="center"/>
    </xf>
    <xf borderId="3" fillId="0" fontId="24" numFmtId="0" xfId="0" applyAlignment="1" applyBorder="1" applyFont="1">
      <alignment horizontal="center"/>
    </xf>
    <xf borderId="3" fillId="0" fontId="25" numFmtId="0" xfId="0" applyAlignment="1" applyBorder="1" applyFont="1">
      <alignment horizontal="center"/>
    </xf>
    <xf borderId="9" fillId="0" fontId="26" numFmtId="0" xfId="0" applyAlignment="1" applyBorder="1" applyFont="1">
      <alignment horizontal="center"/>
    </xf>
    <xf borderId="6" fillId="0" fontId="16" numFmtId="0" xfId="0" applyBorder="1" applyFont="1"/>
    <xf borderId="1" fillId="0" fontId="27" numFmtId="0" xfId="0" applyBorder="1" applyFont="1"/>
    <xf borderId="1" fillId="0" fontId="28" numFmtId="0" xfId="0" applyAlignment="1" applyBorder="1" applyFont="1">
      <alignment vertical="center"/>
    </xf>
    <xf borderId="1" fillId="0" fontId="29" numFmtId="0" xfId="0" applyBorder="1" applyFont="1"/>
    <xf borderId="7" fillId="0" fontId="11" numFmtId="0" xfId="0" applyBorder="1" applyFont="1"/>
    <xf borderId="9" fillId="0" fontId="11" numFmtId="0" xfId="0" applyBorder="1" applyFont="1"/>
    <xf borderId="1" fillId="2" fontId="2" numFmtId="0" xfId="0" applyAlignment="1" applyBorder="1" applyFont="1">
      <alignment shrinkToFit="0" wrapText="1"/>
    </xf>
    <xf borderId="6" fillId="0" fontId="2" numFmtId="0" xfId="0" applyBorder="1" applyFont="1"/>
    <xf borderId="4" fillId="0" fontId="11" numFmtId="0" xfId="0" applyBorder="1" applyFont="1"/>
    <xf borderId="9" fillId="0" fontId="11" numFmtId="0" xfId="0" applyAlignment="1" applyBorder="1" applyFont="1">
      <alignment horizontal="left"/>
    </xf>
    <xf borderId="9" fillId="0" fontId="30" numFmtId="0" xfId="0" applyAlignment="1" applyBorder="1" applyFont="1">
      <alignment horizontal="center"/>
    </xf>
    <xf borderId="0" fillId="0" fontId="11" numFmtId="0" xfId="0" applyFont="1"/>
    <xf borderId="8" fillId="0" fontId="31" numFmtId="0" xfId="0" applyAlignment="1" applyBorder="1" applyFont="1">
      <alignment horizontal="center"/>
    </xf>
    <xf borderId="15" fillId="6" fontId="18" numFmtId="0" xfId="0" applyAlignment="1" applyBorder="1" applyFill="1" applyFont="1">
      <alignment horizontal="center" shrinkToFit="0" vertical="center" wrapText="1"/>
    </xf>
    <xf borderId="16" fillId="0" fontId="16" numFmtId="0" xfId="0" applyBorder="1" applyFont="1"/>
    <xf borderId="17" fillId="0" fontId="16" numFmtId="0" xfId="0" applyBorder="1" applyFont="1"/>
    <xf borderId="18" fillId="0" fontId="2" numFmtId="0" xfId="0" applyAlignment="1" applyBorder="1" applyFont="1">
      <alignment horizontal="center" shrinkToFit="0" vertical="center" wrapText="1"/>
    </xf>
    <xf borderId="19" fillId="0" fontId="16" numFmtId="0" xfId="0" applyBorder="1" applyFont="1"/>
    <xf borderId="20" fillId="0" fontId="2" numFmtId="0" xfId="0" applyAlignment="1" applyBorder="1" applyFont="1">
      <alignment horizontal="center" shrinkToFit="0" vertical="center" wrapText="1"/>
    </xf>
    <xf borderId="1" fillId="0" fontId="32" numFmtId="0" xfId="0" applyBorder="1" applyFont="1"/>
    <xf borderId="1" fillId="0" fontId="33" numFmtId="0" xfId="0" applyBorder="1" applyFont="1"/>
    <xf borderId="21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horizontal="center" shrinkToFit="0" vertical="center" wrapText="1"/>
    </xf>
    <xf borderId="20" fillId="0" fontId="2" numFmtId="9" xfId="0" applyAlignment="1" applyBorder="1" applyFont="1" applyNumberFormat="1">
      <alignment horizontal="center" shrinkToFit="0" vertical="center" wrapText="1"/>
    </xf>
    <xf borderId="23" fillId="0" fontId="2" numFmtId="0" xfId="0" applyAlignment="1" applyBorder="1" applyFont="1">
      <alignment horizontal="center" shrinkToFit="0" vertical="center" wrapText="1"/>
    </xf>
    <xf borderId="24" fillId="0" fontId="16" numFmtId="0" xfId="0" applyBorder="1" applyFont="1"/>
    <xf borderId="25" fillId="0" fontId="2" numFmtId="9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/>
    </xf>
    <xf borderId="26" fillId="0" fontId="16" numFmtId="0" xfId="0" applyBorder="1" applyFont="1"/>
    <xf borderId="0" fillId="0" fontId="2" numFmtId="22" xfId="0" applyFont="1" applyNumberFormat="1"/>
    <xf borderId="0" fillId="0" fontId="2" numFmtId="14" xfId="0" applyFont="1" applyNumberFormat="1"/>
    <xf borderId="1" fillId="0" fontId="28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9" xfId="0" applyAlignment="1" applyBorder="1" applyFont="1" applyNumberFormat="1">
      <alignment shrinkToFit="0" vertical="center" wrapText="1"/>
    </xf>
    <xf borderId="27" fillId="0" fontId="28" numFmtId="0" xfId="0" applyAlignment="1" applyBorder="1" applyFont="1">
      <alignment horizontal="center" shrinkToFit="0" vertical="center" wrapText="1"/>
    </xf>
    <xf borderId="0" fillId="0" fontId="1" numFmtId="9" xfId="0" applyFont="1" applyNumberFormat="1"/>
    <xf borderId="0" fillId="0" fontId="2" numFmtId="0" xfId="0" applyAlignment="1" applyFont="1">
      <alignment horizontal="left" vertical="center"/>
    </xf>
    <xf borderId="0" fillId="0" fontId="34" numFmtId="0" xfId="0" applyAlignment="1" applyFont="1">
      <alignment horizontal="center" vertical="center"/>
    </xf>
    <xf borderId="0" fillId="0" fontId="28" numFmtId="0" xfId="0" applyAlignment="1" applyFont="1">
      <alignment horizontal="left" vertical="center"/>
    </xf>
    <xf borderId="1" fillId="7" fontId="2" numFmtId="0" xfId="0" applyBorder="1" applyFill="1" applyFont="1"/>
    <xf borderId="1" fillId="0" fontId="32" numFmtId="0" xfId="0" applyAlignment="1" applyBorder="1" applyFont="1">
      <alignment horizontal="center" shrinkToFit="0" vertical="center" wrapText="1"/>
    </xf>
    <xf borderId="1" fillId="0" fontId="35" numFmtId="0" xfId="0" applyBorder="1" applyFont="1"/>
    <xf borderId="0" fillId="0" fontId="2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vertical="center"/>
    </xf>
    <xf borderId="1" fillId="7" fontId="2" numFmtId="0" xfId="0" applyAlignment="1" applyBorder="1" applyFont="1">
      <alignment vertical="center"/>
    </xf>
    <xf borderId="12" fillId="0" fontId="36" numFmtId="0" xfId="0" applyAlignment="1" applyBorder="1" applyFont="1">
      <alignment horizontal="center"/>
    </xf>
    <xf borderId="2" fillId="8" fontId="2" numFmtId="0" xfId="0" applyBorder="1" applyFill="1" applyFont="1"/>
    <xf borderId="2" fillId="9" fontId="2" numFmtId="0" xfId="0" applyBorder="1" applyFill="1" applyFont="1"/>
    <xf borderId="1" fillId="0" fontId="2" numFmtId="14" xfId="0" applyBorder="1" applyFont="1" applyNumberForma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/>
      <fill>
        <patternFill patternType="none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  <tableStyles count="4">
    <tableStyle count="3" pivot="0" name="Assign.1-style">
      <tableStyleElement dxfId="1" type="headerRow"/>
      <tableStyleElement dxfId="2" type="firstRowStripe"/>
      <tableStyleElement dxfId="3" type="secondRowStripe"/>
    </tableStyle>
    <tableStyle count="3" pivot="0" name="Assign.1-style 2">
      <tableStyleElement dxfId="1" type="headerRow"/>
      <tableStyleElement dxfId="2" type="firstRowStripe"/>
      <tableStyleElement dxfId="3" type="secondRowStripe"/>
    </tableStyle>
    <tableStyle count="3" pivot="0" name="Assign.1-style 3">
      <tableStyleElement dxfId="1" type="headerRow"/>
      <tableStyleElement dxfId="2" type="firstRowStripe"/>
      <tableStyleElement dxfId="3" type="secondRowStripe"/>
    </tableStyle>
    <tableStyle count="3" pivot="0" name="Assign.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6:N33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Assign.1-style" showColumnStripes="0" showFirstColumn="1" showLastColumn="1" showRowStripes="1"/>
</table>
</file>

<file path=xl/tables/table2.xml><?xml version="1.0" encoding="utf-8"?>
<table xmlns="http://schemas.openxmlformats.org/spreadsheetml/2006/main" ref="G49:K54" displayName="Table_2" name="Table_2" id="2">
  <tableColumns count="5">
    <tableColumn name="Column1" id="1"/>
    <tableColumn name="Old" id="2"/>
    <tableColumn name="Taxes" id="3"/>
    <tableColumn name="New" id="4"/>
    <tableColumn name="Taxes2" id="5"/>
  </tableColumns>
  <tableStyleInfo name="Assign.1-style 2" showColumnStripes="0" showFirstColumn="1" showLastColumn="1" showRowStripes="1"/>
</table>
</file>

<file path=xl/tables/table3.xml><?xml version="1.0" encoding="utf-8"?>
<table xmlns="http://schemas.openxmlformats.org/spreadsheetml/2006/main" ref="B54:B57" displayName="Table_3" name="Table_3" id="3">
  <tableColumns count="1">
    <tableColumn name="dept." id="1"/>
  </tableColumns>
  <tableStyleInfo name="Assign.1-style 3" showColumnStripes="0" showFirstColumn="1" showLastColumn="1" showRowStripes="1"/>
</table>
</file>

<file path=xl/tables/table4.xml><?xml version="1.0" encoding="utf-8"?>
<table xmlns="http://schemas.openxmlformats.org/spreadsheetml/2006/main" ref="G58:K66" displayName="Table_4" name="Table_4" id="4">
  <tableColumns count="5">
    <tableColumn name="Column1" id="1"/>
    <tableColumn name="old" id="2"/>
    <tableColumn name="taxes" id="3"/>
    <tableColumn name="new" id="4"/>
    <tableColumn name="taxes2" id="5"/>
  </tableColumns>
  <tableStyleInfo name="Assign.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manpreet.b@asms.edu.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9.71"/>
    <col customWidth="1" min="9" max="9" width="8.71"/>
    <col customWidth="1" min="10" max="10" width="32.57"/>
    <col customWidth="1" min="11" max="26" width="8.71"/>
  </cols>
  <sheetData>
    <row r="1">
      <c r="A1" s="1" t="s">
        <v>0</v>
      </c>
      <c r="J1" s="2">
        <v>45538.0</v>
      </c>
    </row>
    <row r="2">
      <c r="J2" s="2">
        <v>45538.0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J3" s="1" t="s">
        <v>7</v>
      </c>
    </row>
    <row r="4">
      <c r="A4" s="1" t="s">
        <v>8</v>
      </c>
      <c r="B4" s="1">
        <v>100.0</v>
      </c>
      <c r="C4" s="1">
        <v>100.0</v>
      </c>
      <c r="D4" s="1">
        <v>125.0</v>
      </c>
      <c r="E4" s="1">
        <f t="shared" ref="E4:E8" si="1">B4+C4+D4</f>
        <v>325</v>
      </c>
      <c r="F4" s="3">
        <f t="shared" ref="F4:F9" si="2">E4/$E$9</f>
        <v>0.0637254902</v>
      </c>
      <c r="J4" s="1" t="s">
        <v>9</v>
      </c>
    </row>
    <row r="5">
      <c r="A5" s="1" t="s">
        <v>10</v>
      </c>
      <c r="B5" s="1">
        <v>150.0</v>
      </c>
      <c r="C5" s="1">
        <v>200.0</v>
      </c>
      <c r="D5" s="1">
        <v>175.0</v>
      </c>
      <c r="E5" s="1">
        <f t="shared" si="1"/>
        <v>525</v>
      </c>
      <c r="F5" s="3">
        <f t="shared" si="2"/>
        <v>0.1029411765</v>
      </c>
      <c r="I5" s="2"/>
      <c r="J5" s="1" t="s">
        <v>11</v>
      </c>
    </row>
    <row r="6">
      <c r="A6" s="1" t="s">
        <v>12</v>
      </c>
      <c r="B6" s="1">
        <v>300.0</v>
      </c>
      <c r="C6" s="1">
        <v>275.0</v>
      </c>
      <c r="D6" s="1">
        <v>350.0</v>
      </c>
      <c r="E6" s="1">
        <f t="shared" si="1"/>
        <v>925</v>
      </c>
      <c r="F6" s="3">
        <f t="shared" si="2"/>
        <v>0.181372549</v>
      </c>
    </row>
    <row r="7">
      <c r="A7" s="1" t="s">
        <v>13</v>
      </c>
      <c r="B7" s="1">
        <v>100.0</v>
      </c>
      <c r="C7" s="1">
        <v>125.0</v>
      </c>
      <c r="D7" s="1">
        <v>100.0</v>
      </c>
      <c r="E7" s="1">
        <f t="shared" si="1"/>
        <v>325</v>
      </c>
      <c r="F7" s="3">
        <f t="shared" si="2"/>
        <v>0.0637254902</v>
      </c>
    </row>
    <row r="8">
      <c r="A8" s="1" t="s">
        <v>14</v>
      </c>
      <c r="B8" s="1">
        <v>1000.0</v>
      </c>
      <c r="C8" s="1">
        <v>1000.0</v>
      </c>
      <c r="D8" s="1">
        <v>1000.0</v>
      </c>
      <c r="E8" s="1">
        <f t="shared" si="1"/>
        <v>3000</v>
      </c>
      <c r="F8" s="3">
        <f t="shared" si="2"/>
        <v>0.5882352941</v>
      </c>
    </row>
    <row r="9">
      <c r="A9" s="1" t="s">
        <v>5</v>
      </c>
      <c r="B9" s="1">
        <f>B4+B5+B6+B7+B8</f>
        <v>1650</v>
      </c>
      <c r="C9" s="1">
        <f>SUM(C4:C8)</f>
        <v>1700</v>
      </c>
      <c r="D9" s="1">
        <f>D4+D5+D6+D7+D8</f>
        <v>1750</v>
      </c>
      <c r="E9" s="1">
        <f>SUM(E4:E8)</f>
        <v>5100</v>
      </c>
      <c r="F9" s="3">
        <f t="shared" si="2"/>
        <v>1</v>
      </c>
    </row>
    <row r="12">
      <c r="B12" s="1">
        <f>SUM(C5:C8)</f>
        <v>1600</v>
      </c>
      <c r="C12" s="1">
        <f>SUM(B12)</f>
        <v>1600</v>
      </c>
      <c r="G12" s="1">
        <f>SUM(E6:E8)</f>
        <v>4250</v>
      </c>
    </row>
    <row r="13">
      <c r="B13" s="3"/>
      <c r="C13" s="3"/>
      <c r="D13" s="3"/>
      <c r="E13" s="3"/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71"/>
    <col customWidth="1" min="5" max="5" width="14.86"/>
    <col customWidth="1" min="6" max="8" width="8.71"/>
    <col customWidth="1" min="9" max="9" width="19.57"/>
    <col customWidth="1" min="10" max="10" width="10.57"/>
    <col customWidth="1" min="11" max="11" width="16.14"/>
    <col customWidth="1" min="12" max="12" width="8.71"/>
    <col customWidth="1" min="13" max="13" width="25.71"/>
    <col customWidth="1" min="14" max="26" width="8.71"/>
  </cols>
  <sheetData>
    <row r="1">
      <c r="F1" s="4"/>
      <c r="G1" s="4"/>
      <c r="H1" s="4"/>
    </row>
    <row r="2">
      <c r="E2" s="5" t="s">
        <v>15</v>
      </c>
      <c r="F2" s="4"/>
      <c r="G2" s="6"/>
      <c r="H2" s="4"/>
    </row>
    <row r="3">
      <c r="F3" s="4"/>
      <c r="G3" s="4"/>
      <c r="H3" s="4">
        <v>12.0</v>
      </c>
      <c r="I3" s="1">
        <v>22.0</v>
      </c>
      <c r="J3" s="1" t="s">
        <v>16</v>
      </c>
      <c r="L3" s="1" t="s">
        <v>17</v>
      </c>
    </row>
    <row r="4">
      <c r="A4" s="6"/>
      <c r="D4" s="7" t="s">
        <v>18</v>
      </c>
      <c r="E4" s="8" t="s">
        <v>18</v>
      </c>
      <c r="F4" s="9" t="s">
        <v>18</v>
      </c>
      <c r="H4" s="1">
        <v>11.0</v>
      </c>
      <c r="I4" s="1">
        <v>20.0</v>
      </c>
      <c r="J4" s="1" t="s">
        <v>19</v>
      </c>
      <c r="L4" s="1" t="s">
        <v>20</v>
      </c>
      <c r="P4" s="1" t="s">
        <v>21</v>
      </c>
      <c r="R4" s="1" t="s">
        <v>22</v>
      </c>
    </row>
    <row r="5">
      <c r="A5" s="6"/>
      <c r="D5" s="7" t="s">
        <v>23</v>
      </c>
      <c r="E5" s="8"/>
      <c r="F5" s="9" t="s">
        <v>23</v>
      </c>
      <c r="H5" s="1">
        <v>10.0</v>
      </c>
      <c r="I5" s="1">
        <v>18.0</v>
      </c>
      <c r="J5" s="1" t="s">
        <v>24</v>
      </c>
      <c r="L5" s="1" t="s">
        <v>16</v>
      </c>
      <c r="P5" s="1" t="s">
        <v>25</v>
      </c>
      <c r="R5" s="1" t="s">
        <v>26</v>
      </c>
    </row>
    <row r="6">
      <c r="A6" s="6"/>
      <c r="D6" s="7" t="s">
        <v>27</v>
      </c>
      <c r="E6" s="8"/>
      <c r="F6" s="9" t="s">
        <v>27</v>
      </c>
      <c r="H6" s="1">
        <v>9.0</v>
      </c>
      <c r="I6" s="1">
        <v>16.0</v>
      </c>
      <c r="J6" s="1" t="s">
        <v>28</v>
      </c>
      <c r="L6" s="1" t="s">
        <v>29</v>
      </c>
      <c r="P6" s="1" t="s">
        <v>30</v>
      </c>
      <c r="R6" s="1" t="s">
        <v>31</v>
      </c>
    </row>
    <row r="7">
      <c r="A7" s="6"/>
      <c r="D7" s="7" t="s">
        <v>32</v>
      </c>
      <c r="E7" s="8"/>
      <c r="F7" s="9" t="s">
        <v>32</v>
      </c>
      <c r="H7" s="1">
        <v>8.0</v>
      </c>
      <c r="I7" s="1">
        <v>14.0</v>
      </c>
      <c r="J7" s="1" t="s">
        <v>20</v>
      </c>
      <c r="L7" s="1" t="s">
        <v>33</v>
      </c>
      <c r="P7" s="1" t="s">
        <v>22</v>
      </c>
      <c r="R7" s="1" t="s">
        <v>21</v>
      </c>
    </row>
    <row r="8">
      <c r="A8" s="6"/>
      <c r="D8" s="7" t="s">
        <v>34</v>
      </c>
      <c r="E8" s="8"/>
      <c r="F8" s="9" t="s">
        <v>34</v>
      </c>
      <c r="H8" s="1">
        <v>7.0</v>
      </c>
      <c r="I8" s="1">
        <v>12.0</v>
      </c>
      <c r="J8" s="1" t="s">
        <v>35</v>
      </c>
      <c r="L8" s="1" t="s">
        <v>35</v>
      </c>
      <c r="P8" s="1" t="s">
        <v>26</v>
      </c>
      <c r="R8" s="1" t="s">
        <v>25</v>
      </c>
    </row>
    <row r="9">
      <c r="A9" s="6"/>
      <c r="D9" s="7" t="s">
        <v>36</v>
      </c>
      <c r="E9" s="8"/>
      <c r="F9" s="9" t="s">
        <v>18</v>
      </c>
      <c r="H9" s="1">
        <v>6.0</v>
      </c>
      <c r="I9" s="1">
        <v>10.0</v>
      </c>
      <c r="J9" s="1" t="s">
        <v>37</v>
      </c>
      <c r="L9" s="1" t="s">
        <v>37</v>
      </c>
      <c r="P9" s="1" t="s">
        <v>31</v>
      </c>
      <c r="R9" s="1" t="s">
        <v>30</v>
      </c>
    </row>
    <row r="10">
      <c r="A10" s="6"/>
      <c r="D10" s="7" t="s">
        <v>38</v>
      </c>
      <c r="E10" s="8"/>
      <c r="F10" s="9" t="s">
        <v>23</v>
      </c>
      <c r="H10" s="1">
        <v>5.0</v>
      </c>
      <c r="I10" s="1">
        <v>8.0</v>
      </c>
      <c r="J10" s="1" t="s">
        <v>39</v>
      </c>
      <c r="L10" s="1" t="s">
        <v>40</v>
      </c>
      <c r="P10" s="1" t="s">
        <v>21</v>
      </c>
      <c r="R10" s="1" t="s">
        <v>22</v>
      </c>
    </row>
    <row r="11">
      <c r="D11" s="7" t="s">
        <v>18</v>
      </c>
      <c r="E11" s="8"/>
      <c r="F11" s="9"/>
      <c r="H11" s="1">
        <v>4.0</v>
      </c>
      <c r="I11" s="1">
        <v>6.0</v>
      </c>
      <c r="J11" s="1" t="s">
        <v>17</v>
      </c>
      <c r="L11" s="1" t="s">
        <v>39</v>
      </c>
      <c r="P11" s="1" t="s">
        <v>25</v>
      </c>
      <c r="R11" s="1" t="s">
        <v>26</v>
      </c>
    </row>
    <row r="12">
      <c r="H12" s="1">
        <v>3.0</v>
      </c>
      <c r="I12" s="1">
        <v>4.0</v>
      </c>
      <c r="J12" s="1" t="s">
        <v>40</v>
      </c>
      <c r="L12" s="1" t="s">
        <v>19</v>
      </c>
      <c r="P12" s="1" t="s">
        <v>30</v>
      </c>
      <c r="R12" s="1" t="s">
        <v>31</v>
      </c>
    </row>
    <row r="13">
      <c r="H13" s="1">
        <v>2.0</v>
      </c>
      <c r="I13" s="1">
        <v>2.0</v>
      </c>
      <c r="J13" s="1" t="s">
        <v>29</v>
      </c>
      <c r="L13" s="1" t="s">
        <v>24</v>
      </c>
    </row>
    <row r="14">
      <c r="H14" s="1">
        <v>1.0</v>
      </c>
      <c r="I14" s="1">
        <v>0.0</v>
      </c>
      <c r="J14" s="1" t="s">
        <v>33</v>
      </c>
      <c r="L14" s="1" t="s">
        <v>28</v>
      </c>
    </row>
    <row r="17">
      <c r="A17" s="10" t="s">
        <v>41</v>
      </c>
    </row>
    <row r="18">
      <c r="A18" s="1" t="s">
        <v>42</v>
      </c>
      <c r="C18" s="1" t="s">
        <v>43</v>
      </c>
      <c r="E18" s="1" t="s">
        <v>44</v>
      </c>
      <c r="G18" s="1" t="s">
        <v>45</v>
      </c>
      <c r="I18" s="1" t="s">
        <v>46</v>
      </c>
      <c r="K18" s="1" t="s">
        <v>47</v>
      </c>
      <c r="M18" s="1" t="s">
        <v>48</v>
      </c>
    </row>
    <row r="19">
      <c r="A19" s="1">
        <v>72.0</v>
      </c>
      <c r="C19" s="1">
        <v>72.0</v>
      </c>
      <c r="E19" s="1">
        <v>72.0</v>
      </c>
      <c r="G19" s="1">
        <v>72.0</v>
      </c>
      <c r="I19" s="1">
        <v>72.0</v>
      </c>
      <c r="K19" s="1">
        <v>72.0</v>
      </c>
      <c r="M19" s="1">
        <v>72.0</v>
      </c>
    </row>
    <row r="20">
      <c r="A20" s="1">
        <v>5.0</v>
      </c>
      <c r="C20" s="1">
        <v>5.0</v>
      </c>
      <c r="E20" s="1">
        <v>5.0</v>
      </c>
      <c r="G20" s="1">
        <v>5.0</v>
      </c>
      <c r="I20" s="1">
        <v>5.0</v>
      </c>
      <c r="K20" s="1">
        <v>5.0</v>
      </c>
      <c r="M20" s="1">
        <v>5.0</v>
      </c>
    </row>
    <row r="21" ht="15.75" customHeight="1">
      <c r="A21" s="1">
        <v>18.0</v>
      </c>
      <c r="C21" s="1">
        <v>18.0</v>
      </c>
      <c r="E21" s="1">
        <v>18.0</v>
      </c>
      <c r="G21" s="1">
        <v>18.0</v>
      </c>
      <c r="I21" s="1" t="s">
        <v>49</v>
      </c>
      <c r="K21" s="1" t="s">
        <v>49</v>
      </c>
    </row>
    <row r="22" ht="15.75" customHeight="1">
      <c r="A22" s="1">
        <v>35.0</v>
      </c>
      <c r="C22" s="1">
        <v>35.0</v>
      </c>
      <c r="E22" s="1">
        <v>35.0</v>
      </c>
      <c r="G22" s="1">
        <v>35.0</v>
      </c>
      <c r="I22" s="1">
        <v>35.0</v>
      </c>
      <c r="K22" s="1">
        <v>35.0</v>
      </c>
    </row>
    <row r="23" ht="15.75" customHeight="1">
      <c r="A23" s="1">
        <v>47.0</v>
      </c>
      <c r="C23" s="1">
        <v>47.0</v>
      </c>
      <c r="E23" s="1">
        <v>47.0</v>
      </c>
      <c r="G23" s="1">
        <v>47.0</v>
      </c>
      <c r="I23" s="1">
        <v>47.0</v>
      </c>
      <c r="K23" s="1">
        <v>47.0</v>
      </c>
      <c r="M23" s="1">
        <v>47.0</v>
      </c>
    </row>
    <row r="24" ht="15.75" customHeight="1">
      <c r="A24" s="1">
        <v>10.0</v>
      </c>
      <c r="C24" s="1">
        <v>10.0</v>
      </c>
      <c r="E24" s="1">
        <v>10.0</v>
      </c>
      <c r="G24" s="1">
        <v>10.0</v>
      </c>
      <c r="I24" s="1">
        <v>10.0</v>
      </c>
      <c r="K24" s="1">
        <v>10.0</v>
      </c>
      <c r="M24" s="1">
        <v>10.0</v>
      </c>
    </row>
    <row r="25" ht="15.75" customHeight="1">
      <c r="A25" s="1">
        <f>SUM(A19:A24)</f>
        <v>187</v>
      </c>
      <c r="C25" s="1">
        <f>MAX(C19:C24)</f>
        <v>72</v>
      </c>
      <c r="E25" s="1">
        <f>MIN(E19:E24)</f>
        <v>5</v>
      </c>
      <c r="G25" s="1">
        <f>AVERAGE(G19:G24)</f>
        <v>31.16666667</v>
      </c>
      <c r="I25" s="1">
        <f>COUNT(I19:I24)</f>
        <v>5</v>
      </c>
      <c r="K25" s="1">
        <f>COUNTA(K19:K24)</f>
        <v>6</v>
      </c>
      <c r="M25" s="1">
        <f>COUNTBLANK(M19:M24)</f>
        <v>2</v>
      </c>
    </row>
    <row r="26" ht="15.75" customHeight="1">
      <c r="I26" s="1" t="s">
        <v>50</v>
      </c>
      <c r="M26" s="1" t="s">
        <v>51</v>
      </c>
    </row>
    <row r="27" ht="15.75" customHeight="1">
      <c r="K27" s="1" t="s">
        <v>52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7:D1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0"/>
    <col customWidth="1" min="4" max="26" width="8.71"/>
  </cols>
  <sheetData>
    <row r="3">
      <c r="A3" s="1" t="s">
        <v>53</v>
      </c>
      <c r="B3" s="1" t="s">
        <v>54</v>
      </c>
      <c r="C3" s="1" t="s">
        <v>55</v>
      </c>
    </row>
    <row r="4">
      <c r="A4" s="1" t="s">
        <v>56</v>
      </c>
      <c r="B4" s="11">
        <v>43101.0</v>
      </c>
      <c r="C4" s="1">
        <v>152.0</v>
      </c>
    </row>
    <row r="5">
      <c r="A5" s="1" t="s">
        <v>57</v>
      </c>
      <c r="B5" s="11">
        <v>43101.0</v>
      </c>
      <c r="C5" s="1">
        <v>171.0</v>
      </c>
    </row>
    <row r="6">
      <c r="A6" s="1" t="s">
        <v>58</v>
      </c>
      <c r="B6" s="11">
        <v>43101.0</v>
      </c>
      <c r="C6" s="1">
        <v>110.0</v>
      </c>
    </row>
    <row r="7">
      <c r="A7" s="1" t="s">
        <v>59</v>
      </c>
      <c r="B7" s="11">
        <v>43132.0</v>
      </c>
      <c r="C7" s="1">
        <v>173.0</v>
      </c>
    </row>
    <row r="8">
      <c r="A8" s="1" t="s">
        <v>60</v>
      </c>
      <c r="B8" s="11">
        <v>43132.0</v>
      </c>
      <c r="C8" s="1">
        <v>128.0</v>
      </c>
    </row>
    <row r="9">
      <c r="A9" s="1" t="s">
        <v>61</v>
      </c>
      <c r="B9" s="11">
        <v>43132.0</v>
      </c>
      <c r="C9" s="1">
        <v>107.0</v>
      </c>
    </row>
    <row r="10">
      <c r="A10" s="1" t="s">
        <v>62</v>
      </c>
      <c r="B10" s="11">
        <v>43160.0</v>
      </c>
      <c r="C10" s="1">
        <v>213.0</v>
      </c>
    </row>
    <row r="11">
      <c r="A11" s="1" t="s">
        <v>63</v>
      </c>
      <c r="B11" s="11">
        <v>43160.0</v>
      </c>
      <c r="C11" s="1">
        <v>238.0</v>
      </c>
    </row>
    <row r="12">
      <c r="A12" s="1" t="s">
        <v>64</v>
      </c>
      <c r="B12" s="11">
        <v>43160.0</v>
      </c>
      <c r="C12" s="1">
        <v>131.0</v>
      </c>
    </row>
    <row r="13">
      <c r="C13" s="1">
        <f>AVERAGE(C4:C12)</f>
        <v>158.1111111</v>
      </c>
    </row>
    <row r="17">
      <c r="A17" s="11">
        <v>43101.0</v>
      </c>
      <c r="B17" s="1">
        <f>AVERAGE($C$4:$C$6)</f>
        <v>144.3333333</v>
      </c>
    </row>
    <row r="18">
      <c r="A18" s="11">
        <v>43132.0</v>
      </c>
      <c r="B18" s="1">
        <f>AVERAGE(C7:C9)</f>
        <v>136</v>
      </c>
    </row>
    <row r="19">
      <c r="A19" s="11">
        <v>43160.0</v>
      </c>
      <c r="B19" s="1">
        <f>AVERAGE(C10:C12)</f>
        <v>194</v>
      </c>
    </row>
    <row r="21" ht="15.75" customHeight="1">
      <c r="A21" s="1" t="s">
        <v>65</v>
      </c>
    </row>
    <row r="22" ht="15.75" customHeight="1">
      <c r="B22" s="1" t="s">
        <v>66</v>
      </c>
      <c r="C22" s="1">
        <f>SUM(B17:B19)/COUNT(B17:$B$19)</f>
        <v>158.1111111</v>
      </c>
    </row>
    <row r="23" ht="15.75" customHeight="1">
      <c r="B23" s="1" t="s">
        <v>66</v>
      </c>
      <c r="C23" s="1">
        <f>SUM(C4:C12)/COUNT(C4:C12)</f>
        <v>158.1111111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8.71"/>
    <col customWidth="1" min="3" max="3" width="12.29"/>
    <col customWidth="1" min="4" max="8" width="8.71"/>
    <col customWidth="1" min="9" max="9" width="10.57"/>
    <col customWidth="1" min="10" max="10" width="18.14"/>
    <col customWidth="1" min="11" max="26" width="8.71"/>
  </cols>
  <sheetData>
    <row r="1">
      <c r="A1" s="12" t="s">
        <v>67</v>
      </c>
      <c r="C1" s="12">
        <v>25.0</v>
      </c>
      <c r="D1" s="1">
        <v>35.0</v>
      </c>
      <c r="N1" s="1">
        <v>55.0</v>
      </c>
      <c r="O1" s="1">
        <v>66.0</v>
      </c>
    </row>
    <row r="3">
      <c r="B3" s="1" t="s">
        <v>68</v>
      </c>
      <c r="C3" s="1" t="b">
        <f>C1=D1</f>
        <v>0</v>
      </c>
      <c r="F3" s="1" t="s">
        <v>69</v>
      </c>
      <c r="M3" s="1" t="s">
        <v>70</v>
      </c>
      <c r="N3" s="1" t="b">
        <f>N1=O1</f>
        <v>0</v>
      </c>
    </row>
    <row r="4">
      <c r="B4" s="1" t="s">
        <v>71</v>
      </c>
      <c r="C4" s="1" t="b">
        <f>C1&gt;D1</f>
        <v>0</v>
      </c>
      <c r="M4" s="1" t="s">
        <v>72</v>
      </c>
      <c r="N4" s="1" t="b">
        <f>IFN1&gt;O1</f>
        <v>0</v>
      </c>
    </row>
    <row r="5">
      <c r="B5" s="1" t="s">
        <v>73</v>
      </c>
      <c r="C5" s="1" t="b">
        <f>C1&lt;D1</f>
        <v>1</v>
      </c>
      <c r="M5" s="1" t="s">
        <v>74</v>
      </c>
      <c r="N5" s="1" t="b">
        <f>N1&lt;O1</f>
        <v>1</v>
      </c>
    </row>
    <row r="6">
      <c r="B6" s="1" t="s">
        <v>75</v>
      </c>
      <c r="C6" s="1" t="b">
        <f>C1&gt;=D1</f>
        <v>0</v>
      </c>
      <c r="M6" s="1" t="s">
        <v>76</v>
      </c>
      <c r="N6" s="1" t="b">
        <f>N1&gt;=$O$1</f>
        <v>0</v>
      </c>
    </row>
    <row r="7">
      <c r="B7" s="1" t="s">
        <v>77</v>
      </c>
      <c r="C7" s="1" t="b">
        <f>C1&lt;=D1</f>
        <v>1</v>
      </c>
      <c r="M7" s="1" t="s">
        <v>78</v>
      </c>
      <c r="N7" s="1" t="b">
        <f>N1&lt;=O1</f>
        <v>1</v>
      </c>
    </row>
    <row r="8">
      <c r="B8" s="1" t="s">
        <v>79</v>
      </c>
      <c r="C8" s="1" t="b">
        <f>C1&lt;&gt;D1</f>
        <v>1</v>
      </c>
      <c r="M8" s="1" t="s">
        <v>80</v>
      </c>
      <c r="N8" s="1" t="b">
        <f>N1&lt;&gt;O1</f>
        <v>1</v>
      </c>
    </row>
    <row r="9">
      <c r="C9" s="12"/>
    </row>
    <row r="10">
      <c r="B10" s="1">
        <v>25.0</v>
      </c>
      <c r="C10" s="1">
        <v>35.0</v>
      </c>
      <c r="F10" s="1" t="s">
        <v>81</v>
      </c>
    </row>
    <row r="11">
      <c r="F11" s="1" t="s">
        <v>82</v>
      </c>
    </row>
    <row r="12">
      <c r="A12" s="1" t="s">
        <v>83</v>
      </c>
      <c r="B12" s="1" t="b">
        <f>B10=C10</f>
        <v>0</v>
      </c>
    </row>
    <row r="13">
      <c r="A13" s="1" t="s">
        <v>84</v>
      </c>
      <c r="B13" s="1" t="str">
        <f>IF(B10=C10,"yes","no")</f>
        <v>no</v>
      </c>
    </row>
    <row r="14">
      <c r="A14" s="1" t="s">
        <v>85</v>
      </c>
      <c r="B14" s="1" t="str">
        <f>IF(B10=C10,"1","0")</f>
        <v>0</v>
      </c>
    </row>
    <row r="15">
      <c r="A15" s="1" t="s">
        <v>86</v>
      </c>
      <c r="B15" s="1" t="str">
        <f>IF(B10=C10,"pass","fail")</f>
        <v>fail</v>
      </c>
    </row>
    <row r="16">
      <c r="A16" s="12"/>
    </row>
    <row r="18">
      <c r="B18" s="1" t="s">
        <v>87</v>
      </c>
      <c r="C18" s="1" t="s">
        <v>88</v>
      </c>
      <c r="D18" s="1" t="s">
        <v>89</v>
      </c>
    </row>
    <row r="19">
      <c r="B19" s="1" t="s">
        <v>90</v>
      </c>
      <c r="C19" s="1">
        <v>318.0</v>
      </c>
      <c r="D19" s="1" t="str">
        <f t="shared" ref="D19:D27" si="1">IF(C19&gt;500,"yes","no")</f>
        <v>no</v>
      </c>
      <c r="F19" s="1" t="str">
        <f t="shared" ref="F19:F27" si="2">IF(C19&lt;500,"1","0")</f>
        <v>1</v>
      </c>
      <c r="G19" s="1" t="str">
        <f t="shared" ref="G19:G27" si="3">IF(B19="grass","yes","no")</f>
        <v>yes</v>
      </c>
      <c r="H19" s="1" t="str">
        <f t="shared" ref="H19:H27" si="4">IF(C19&gt;500,"pass","fail")</f>
        <v>fail</v>
      </c>
    </row>
    <row r="20">
      <c r="B20" s="1" t="s">
        <v>90</v>
      </c>
      <c r="C20" s="1">
        <v>405.0</v>
      </c>
      <c r="D20" s="1" t="str">
        <f t="shared" si="1"/>
        <v>no</v>
      </c>
      <c r="F20" s="1" t="str">
        <f t="shared" si="2"/>
        <v>1</v>
      </c>
      <c r="G20" s="1" t="str">
        <f t="shared" si="3"/>
        <v>yes</v>
      </c>
      <c r="H20" s="1" t="str">
        <f t="shared" si="4"/>
        <v>fail</v>
      </c>
    </row>
    <row r="21" ht="15.75" customHeight="1">
      <c r="B21" s="1" t="s">
        <v>90</v>
      </c>
      <c r="C21" s="1">
        <v>525.0</v>
      </c>
      <c r="D21" s="1" t="str">
        <f t="shared" si="1"/>
        <v>yes</v>
      </c>
      <c r="F21" s="1" t="str">
        <f t="shared" si="2"/>
        <v>0</v>
      </c>
      <c r="G21" s="1" t="str">
        <f t="shared" si="3"/>
        <v>yes</v>
      </c>
      <c r="H21" s="1" t="str">
        <f t="shared" si="4"/>
        <v>pass</v>
      </c>
      <c r="J21" s="1">
        <f>SUMIF(B19:B21,"grass",C19:C21)</f>
        <v>1248</v>
      </c>
    </row>
    <row r="22" ht="15.75" customHeight="1">
      <c r="B22" s="1" t="s">
        <v>91</v>
      </c>
      <c r="C22" s="1">
        <v>309.0</v>
      </c>
      <c r="D22" s="1" t="str">
        <f t="shared" si="1"/>
        <v>no</v>
      </c>
      <c r="F22" s="1" t="str">
        <f t="shared" si="2"/>
        <v>1</v>
      </c>
      <c r="G22" s="1" t="str">
        <f t="shared" si="3"/>
        <v>no</v>
      </c>
      <c r="H22" s="1" t="str">
        <f t="shared" si="4"/>
        <v>fail</v>
      </c>
    </row>
    <row r="23" ht="15.75" customHeight="1">
      <c r="B23" s="1" t="s">
        <v>91</v>
      </c>
      <c r="C23" s="1">
        <v>405.0</v>
      </c>
      <c r="D23" s="1" t="str">
        <f t="shared" si="1"/>
        <v>no</v>
      </c>
      <c r="F23" s="1" t="str">
        <f t="shared" si="2"/>
        <v>1</v>
      </c>
      <c r="G23" s="1" t="str">
        <f t="shared" si="3"/>
        <v>no</v>
      </c>
      <c r="H23" s="1" t="str">
        <f t="shared" si="4"/>
        <v>fail</v>
      </c>
    </row>
    <row r="24" ht="15.75" customHeight="1">
      <c r="B24" s="1" t="s">
        <v>91</v>
      </c>
      <c r="C24" s="1">
        <v>534.0</v>
      </c>
      <c r="D24" s="1" t="str">
        <f t="shared" si="1"/>
        <v>yes</v>
      </c>
      <c r="F24" s="1" t="str">
        <f t="shared" si="2"/>
        <v>0</v>
      </c>
      <c r="G24" s="1" t="str">
        <f t="shared" si="3"/>
        <v>no</v>
      </c>
      <c r="H24" s="1" t="str">
        <f t="shared" si="4"/>
        <v>pass</v>
      </c>
    </row>
    <row r="25" ht="15.75" customHeight="1">
      <c r="B25" s="1" t="s">
        <v>92</v>
      </c>
      <c r="C25" s="1">
        <v>314.0</v>
      </c>
      <c r="D25" s="1" t="str">
        <f t="shared" si="1"/>
        <v>no</v>
      </c>
      <c r="F25" s="1" t="str">
        <f t="shared" si="2"/>
        <v>1</v>
      </c>
      <c r="G25" s="1" t="str">
        <f t="shared" si="3"/>
        <v>no</v>
      </c>
      <c r="H25" s="1" t="str">
        <f t="shared" si="4"/>
        <v>fail</v>
      </c>
    </row>
    <row r="26" ht="15.75" customHeight="1">
      <c r="B26" s="1" t="s">
        <v>92</v>
      </c>
      <c r="C26" s="1">
        <v>405.0</v>
      </c>
      <c r="D26" s="1" t="str">
        <f t="shared" si="1"/>
        <v>no</v>
      </c>
      <c r="F26" s="1" t="str">
        <f t="shared" si="2"/>
        <v>1</v>
      </c>
      <c r="G26" s="1" t="str">
        <f t="shared" si="3"/>
        <v>no</v>
      </c>
      <c r="H26" s="1" t="str">
        <f t="shared" si="4"/>
        <v>fail</v>
      </c>
    </row>
    <row r="27" ht="15.75" customHeight="1">
      <c r="B27" s="1" t="s">
        <v>92</v>
      </c>
      <c r="C27" s="1">
        <v>530.0</v>
      </c>
      <c r="D27" s="1" t="str">
        <f t="shared" si="1"/>
        <v>yes</v>
      </c>
      <c r="F27" s="1" t="str">
        <f t="shared" si="2"/>
        <v>0</v>
      </c>
      <c r="G27" s="1" t="str">
        <f t="shared" si="3"/>
        <v>no</v>
      </c>
      <c r="H27" s="1" t="str">
        <f t="shared" si="4"/>
        <v>pass</v>
      </c>
    </row>
    <row r="28" ht="15.75" customHeight="1"/>
    <row r="29" ht="15.75" customHeight="1">
      <c r="C29" s="1">
        <v>25.0</v>
      </c>
      <c r="D29" s="1">
        <v>35.0</v>
      </c>
    </row>
    <row r="30" ht="15.75" customHeight="1">
      <c r="A30" s="1" t="s">
        <v>93</v>
      </c>
    </row>
    <row r="31" ht="15.75" customHeight="1">
      <c r="C31" s="1" t="s">
        <v>94</v>
      </c>
      <c r="J31" s="13" t="s">
        <v>95</v>
      </c>
    </row>
    <row r="32" ht="15.75" customHeight="1">
      <c r="C32" s="1">
        <f>IF((C29+D29)&gt;50,(C29+D29)*0.1,0)</f>
        <v>6</v>
      </c>
    </row>
    <row r="33" ht="15.75" customHeight="1">
      <c r="M33" s="1">
        <f>IF((C29+D29)&gt;50,(C29+D29)*0.1,0)</f>
        <v>6</v>
      </c>
    </row>
    <row r="34" ht="15.75" customHeight="1"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88</v>
      </c>
      <c r="I34" s="1" t="s">
        <v>6</v>
      </c>
      <c r="J34" s="1" t="s">
        <v>101</v>
      </c>
    </row>
    <row r="35" ht="15.75" customHeight="1">
      <c r="B35" s="1" t="s">
        <v>102</v>
      </c>
      <c r="C35" s="1">
        <v>51.0</v>
      </c>
      <c r="D35" s="1">
        <v>61.0</v>
      </c>
      <c r="E35" s="1">
        <v>91.0</v>
      </c>
      <c r="F35" s="1">
        <v>71.0</v>
      </c>
      <c r="G35" s="1">
        <v>81.0</v>
      </c>
      <c r="H35" s="1">
        <f t="shared" ref="H35:H44" si="5">SUM(C35:G35)</f>
        <v>355</v>
      </c>
      <c r="I35" s="1">
        <f t="shared" ref="I35:I44" si="6">H35/5</f>
        <v>71</v>
      </c>
      <c r="J35" s="1" t="str">
        <f t="shared" ref="J35:J44" si="7">IF(I35&gt;75,"distinction","need improvement")</f>
        <v>need improvement</v>
      </c>
    </row>
    <row r="36" ht="15.75" customHeight="1">
      <c r="B36" s="1" t="s">
        <v>103</v>
      </c>
      <c r="C36" s="1">
        <v>52.0</v>
      </c>
      <c r="D36" s="1">
        <v>62.0</v>
      </c>
      <c r="E36" s="1">
        <v>92.0</v>
      </c>
      <c r="F36" s="1">
        <v>72.0</v>
      </c>
      <c r="G36" s="1">
        <v>82.0</v>
      </c>
      <c r="H36" s="1">
        <f t="shared" si="5"/>
        <v>360</v>
      </c>
      <c r="I36" s="1">
        <f t="shared" si="6"/>
        <v>72</v>
      </c>
      <c r="J36" s="1" t="str">
        <f t="shared" si="7"/>
        <v>need improvement</v>
      </c>
    </row>
    <row r="37" ht="15.75" customHeight="1">
      <c r="B37" s="1" t="s">
        <v>104</v>
      </c>
      <c r="C37" s="1">
        <v>53.0</v>
      </c>
      <c r="D37" s="1">
        <v>63.0</v>
      </c>
      <c r="E37" s="1">
        <v>93.0</v>
      </c>
      <c r="F37" s="1">
        <v>73.0</v>
      </c>
      <c r="G37" s="1">
        <v>83.0</v>
      </c>
      <c r="H37" s="1">
        <f t="shared" si="5"/>
        <v>365</v>
      </c>
      <c r="I37" s="1">
        <f t="shared" si="6"/>
        <v>73</v>
      </c>
      <c r="J37" s="1" t="str">
        <f t="shared" si="7"/>
        <v>need improvement</v>
      </c>
    </row>
    <row r="38" ht="15.75" customHeight="1">
      <c r="B38" s="1" t="s">
        <v>105</v>
      </c>
      <c r="C38" s="1">
        <v>54.0</v>
      </c>
      <c r="D38" s="1">
        <v>64.0</v>
      </c>
      <c r="E38" s="1">
        <v>94.0</v>
      </c>
      <c r="F38" s="1">
        <v>74.0</v>
      </c>
      <c r="G38" s="1">
        <v>84.0</v>
      </c>
      <c r="H38" s="1">
        <f t="shared" si="5"/>
        <v>370</v>
      </c>
      <c r="I38" s="1">
        <f t="shared" si="6"/>
        <v>74</v>
      </c>
      <c r="J38" s="1" t="str">
        <f t="shared" si="7"/>
        <v>need improvement</v>
      </c>
    </row>
    <row r="39" ht="15.75" customHeight="1">
      <c r="B39" s="1" t="s">
        <v>106</v>
      </c>
      <c r="C39" s="1">
        <v>55.0</v>
      </c>
      <c r="D39" s="1">
        <v>65.0</v>
      </c>
      <c r="E39" s="1">
        <v>95.0</v>
      </c>
      <c r="F39" s="1">
        <v>75.0</v>
      </c>
      <c r="G39" s="1">
        <v>85.0</v>
      </c>
      <c r="H39" s="1">
        <f t="shared" si="5"/>
        <v>375</v>
      </c>
      <c r="I39" s="1">
        <f t="shared" si="6"/>
        <v>75</v>
      </c>
      <c r="J39" s="1" t="str">
        <f t="shared" si="7"/>
        <v>need improvement</v>
      </c>
    </row>
    <row r="40" ht="15.75" customHeight="1">
      <c r="B40" s="1" t="s">
        <v>107</v>
      </c>
      <c r="C40" s="1">
        <v>56.0</v>
      </c>
      <c r="D40" s="1">
        <v>66.0</v>
      </c>
      <c r="E40" s="1">
        <v>96.0</v>
      </c>
      <c r="F40" s="1">
        <v>76.0</v>
      </c>
      <c r="G40" s="1">
        <v>86.0</v>
      </c>
      <c r="H40" s="1">
        <f t="shared" si="5"/>
        <v>380</v>
      </c>
      <c r="I40" s="1">
        <f t="shared" si="6"/>
        <v>76</v>
      </c>
      <c r="J40" s="1" t="str">
        <f t="shared" si="7"/>
        <v>distinction</v>
      </c>
    </row>
    <row r="41" ht="15.75" customHeight="1">
      <c r="B41" s="1" t="s">
        <v>108</v>
      </c>
      <c r="C41" s="1">
        <v>57.0</v>
      </c>
      <c r="D41" s="1">
        <v>67.0</v>
      </c>
      <c r="E41" s="1">
        <v>97.0</v>
      </c>
      <c r="F41" s="1">
        <v>77.0</v>
      </c>
      <c r="G41" s="1">
        <v>87.0</v>
      </c>
      <c r="H41" s="1">
        <f t="shared" si="5"/>
        <v>385</v>
      </c>
      <c r="I41" s="1">
        <f t="shared" si="6"/>
        <v>77</v>
      </c>
      <c r="J41" s="1" t="str">
        <f t="shared" si="7"/>
        <v>distinction</v>
      </c>
    </row>
    <row r="42" ht="15.75" customHeight="1">
      <c r="B42" s="1" t="s">
        <v>109</v>
      </c>
      <c r="C42" s="1">
        <v>58.0</v>
      </c>
      <c r="D42" s="1">
        <v>68.0</v>
      </c>
      <c r="E42" s="1">
        <v>98.0</v>
      </c>
      <c r="F42" s="1">
        <v>78.0</v>
      </c>
      <c r="G42" s="1">
        <v>88.0</v>
      </c>
      <c r="H42" s="1">
        <f t="shared" si="5"/>
        <v>390</v>
      </c>
      <c r="I42" s="1">
        <f t="shared" si="6"/>
        <v>78</v>
      </c>
      <c r="J42" s="1" t="str">
        <f t="shared" si="7"/>
        <v>distinction</v>
      </c>
    </row>
    <row r="43" ht="15.75" customHeight="1">
      <c r="B43" s="1" t="s">
        <v>110</v>
      </c>
      <c r="C43" s="1">
        <v>59.0</v>
      </c>
      <c r="D43" s="1">
        <v>69.0</v>
      </c>
      <c r="E43" s="1">
        <v>99.0</v>
      </c>
      <c r="F43" s="1">
        <v>79.0</v>
      </c>
      <c r="G43" s="1">
        <v>89.0</v>
      </c>
      <c r="H43" s="1">
        <f t="shared" si="5"/>
        <v>395</v>
      </c>
      <c r="I43" s="1">
        <f t="shared" si="6"/>
        <v>79</v>
      </c>
      <c r="J43" s="1" t="str">
        <f t="shared" si="7"/>
        <v>distinction</v>
      </c>
    </row>
    <row r="44" ht="15.75" customHeight="1">
      <c r="B44" s="1" t="s">
        <v>111</v>
      </c>
      <c r="C44" s="1">
        <v>60.0</v>
      </c>
      <c r="D44" s="1">
        <v>70.0</v>
      </c>
      <c r="E44" s="1">
        <v>100.0</v>
      </c>
      <c r="F44" s="1">
        <v>80.0</v>
      </c>
      <c r="G44" s="1">
        <v>90.0</v>
      </c>
      <c r="H44" s="1">
        <f t="shared" si="5"/>
        <v>400</v>
      </c>
      <c r="I44" s="1">
        <f t="shared" si="6"/>
        <v>80</v>
      </c>
      <c r="J44" s="1" t="str">
        <f t="shared" si="7"/>
        <v>distinction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31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0"/>
    <col customWidth="1" min="3" max="11" width="8.71"/>
    <col customWidth="1" min="12" max="12" width="12.86"/>
    <col customWidth="1" min="13" max="13" width="11.29"/>
    <col customWidth="1" min="14" max="14" width="8.71"/>
    <col customWidth="1" min="15" max="15" width="14.43"/>
    <col customWidth="1" min="16" max="16" width="12.86"/>
    <col customWidth="1" min="17" max="17" width="14.71"/>
    <col customWidth="1" min="18" max="26" width="8.71"/>
  </cols>
  <sheetData>
    <row r="1">
      <c r="A1" s="1" t="s">
        <v>102</v>
      </c>
      <c r="B1" s="1">
        <v>5.0</v>
      </c>
      <c r="L1" s="1" t="s">
        <v>112</v>
      </c>
      <c r="M1" s="1" t="s">
        <v>113</v>
      </c>
      <c r="O1" s="1" t="s">
        <v>114</v>
      </c>
    </row>
    <row r="2">
      <c r="A2" s="1" t="s">
        <v>103</v>
      </c>
      <c r="B2" s="1">
        <v>8.0</v>
      </c>
      <c r="L2" s="14">
        <f t="shared" ref="L2:L9" si="1">RANDBETWEEN(10000,200000)</f>
        <v>95097</v>
      </c>
      <c r="M2" s="14">
        <f t="shared" ref="M2:M10" si="2">IF(L2&gt;20000,L2*0.1,IF(L2&gt;50000,3000+L2*0.2,IF(L2&gt;100000,3000+10000+L2*0.3,0)))</f>
        <v>9509.7</v>
      </c>
      <c r="O2" s="14">
        <f t="shared" ref="O2:O10" si="3">IF(L2&gt;100000,3000+10000+(L2-100000)*0.3,IF(L2&gt;50000,3000+(L2-50000)*0.2,IF(L2&gt;20000,(L2-20000)*0.1,0)))</f>
        <v>12019.4</v>
      </c>
      <c r="P2" s="1" t="s">
        <v>115</v>
      </c>
    </row>
    <row r="3">
      <c r="A3" s="1" t="s">
        <v>104</v>
      </c>
      <c r="B3" s="1">
        <v>3.0</v>
      </c>
      <c r="L3" s="14">
        <f t="shared" si="1"/>
        <v>195130</v>
      </c>
      <c r="M3" s="14">
        <f t="shared" si="2"/>
        <v>19513</v>
      </c>
      <c r="O3" s="14">
        <f t="shared" si="3"/>
        <v>41539</v>
      </c>
      <c r="P3" s="1" t="s">
        <v>116</v>
      </c>
    </row>
    <row r="4">
      <c r="A4" s="1" t="s">
        <v>117</v>
      </c>
      <c r="B4" s="1">
        <f>B2^2-4*B1*B3</f>
        <v>4</v>
      </c>
      <c r="L4" s="14">
        <f t="shared" si="1"/>
        <v>124906</v>
      </c>
      <c r="M4" s="14">
        <f t="shared" si="2"/>
        <v>12490.6</v>
      </c>
      <c r="O4" s="14">
        <f t="shared" si="3"/>
        <v>20471.8</v>
      </c>
      <c r="P4" s="1" t="s">
        <v>118</v>
      </c>
    </row>
    <row r="5">
      <c r="A5" s="1" t="s">
        <v>119</v>
      </c>
      <c r="B5" s="1" t="str">
        <f>IF(B4&gt;0,"real and distinct",IF(B4=0,"real and same","composite"))</f>
        <v>real and distinct</v>
      </c>
      <c r="L5" s="14">
        <f t="shared" si="1"/>
        <v>135140</v>
      </c>
      <c r="M5" s="14">
        <f t="shared" si="2"/>
        <v>13514</v>
      </c>
      <c r="O5" s="14">
        <f t="shared" si="3"/>
        <v>23542</v>
      </c>
    </row>
    <row r="6">
      <c r="A6" s="1" t="s">
        <v>120</v>
      </c>
      <c r="B6" s="1">
        <f>(-B2+SQRT(B4))/(2*B1)</f>
        <v>-0.6</v>
      </c>
      <c r="L6" s="14">
        <f t="shared" si="1"/>
        <v>84436</v>
      </c>
      <c r="M6" s="14">
        <f t="shared" si="2"/>
        <v>8443.6</v>
      </c>
      <c r="O6" s="14">
        <f t="shared" si="3"/>
        <v>9887.2</v>
      </c>
    </row>
    <row r="7">
      <c r="A7" s="1" t="s">
        <v>121</v>
      </c>
      <c r="B7" s="1">
        <f>(-B2-SQRT(B4))/(2*B1)</f>
        <v>-1</v>
      </c>
      <c r="L7" s="14">
        <f t="shared" si="1"/>
        <v>172737</v>
      </c>
      <c r="M7" s="14">
        <f t="shared" si="2"/>
        <v>17273.7</v>
      </c>
      <c r="O7" s="14">
        <f t="shared" si="3"/>
        <v>34821.1</v>
      </c>
    </row>
    <row r="8">
      <c r="L8" s="14">
        <f t="shared" si="1"/>
        <v>177863</v>
      </c>
      <c r="M8" s="14">
        <f t="shared" si="2"/>
        <v>17786.3</v>
      </c>
      <c r="O8" s="14">
        <f t="shared" si="3"/>
        <v>36358.9</v>
      </c>
    </row>
    <row r="9">
      <c r="L9" s="14">
        <f t="shared" si="1"/>
        <v>49651</v>
      </c>
      <c r="M9" s="14">
        <f t="shared" si="2"/>
        <v>4965.1</v>
      </c>
      <c r="O9" s="14">
        <f t="shared" si="3"/>
        <v>2965.1</v>
      </c>
    </row>
    <row r="10">
      <c r="L10" s="1">
        <v>15000.0</v>
      </c>
      <c r="M10" s="14">
        <f t="shared" si="2"/>
        <v>0</v>
      </c>
      <c r="O10" s="14">
        <f t="shared" si="3"/>
        <v>0</v>
      </c>
    </row>
    <row r="11">
      <c r="L11" s="14"/>
    </row>
    <row r="13">
      <c r="L13" s="1" t="s">
        <v>122</v>
      </c>
      <c r="M13" s="1" t="s">
        <v>123</v>
      </c>
      <c r="N13" s="1" t="s">
        <v>124</v>
      </c>
      <c r="O13" s="1" t="s">
        <v>125</v>
      </c>
      <c r="Q13" s="1" t="s">
        <v>125</v>
      </c>
    </row>
    <row r="14">
      <c r="L14" s="1">
        <f t="shared" ref="L14:L22" si="4">RANDBETWEEN(0,100)</f>
        <v>12</v>
      </c>
      <c r="M14" s="1">
        <f t="shared" ref="M14:M22" si="5">L14*100</f>
        <v>1200</v>
      </c>
      <c r="N14" s="1">
        <f t="shared" ref="N14:N22" si="6">IF(L14&gt;=50,M14*0.2,IF(L14&gt;=30,M14*0.15,IF(L14&gt;=20,M14*0.1,IF(L14&gt;=10,M14*0.05,0))))</f>
        <v>60</v>
      </c>
      <c r="O14" s="1">
        <f t="shared" ref="O14:O22" si="7">M14-N14</f>
        <v>1140</v>
      </c>
      <c r="Q14" s="1">
        <f t="shared" ref="Q14:Q22" si="8">IF(L14&gt;=50,M14-M14*0.2,IF(L14&gt;=30,M14-M14*0.15,IF(L14&gt;=20,M14-M14*0.1,IF(L14&gt;=10,M14-M14*0.05,M14))))</f>
        <v>1140</v>
      </c>
    </row>
    <row r="15">
      <c r="L15" s="1">
        <f t="shared" si="4"/>
        <v>49</v>
      </c>
      <c r="M15" s="1">
        <f t="shared" si="5"/>
        <v>4900</v>
      </c>
      <c r="N15" s="1">
        <f t="shared" si="6"/>
        <v>735</v>
      </c>
      <c r="O15" s="1">
        <f t="shared" si="7"/>
        <v>4165</v>
      </c>
      <c r="Q15" s="1">
        <f t="shared" si="8"/>
        <v>4165</v>
      </c>
    </row>
    <row r="16">
      <c r="L16" s="1">
        <f t="shared" si="4"/>
        <v>53</v>
      </c>
      <c r="M16" s="1">
        <f t="shared" si="5"/>
        <v>5300</v>
      </c>
      <c r="N16" s="1">
        <f t="shared" si="6"/>
        <v>1060</v>
      </c>
      <c r="O16" s="1">
        <f t="shared" si="7"/>
        <v>4240</v>
      </c>
      <c r="Q16" s="1">
        <f t="shared" si="8"/>
        <v>4240</v>
      </c>
    </row>
    <row r="17">
      <c r="L17" s="1">
        <f t="shared" si="4"/>
        <v>16</v>
      </c>
      <c r="M17" s="1">
        <f t="shared" si="5"/>
        <v>1600</v>
      </c>
      <c r="N17" s="1">
        <f t="shared" si="6"/>
        <v>80</v>
      </c>
      <c r="O17" s="1">
        <f t="shared" si="7"/>
        <v>1520</v>
      </c>
      <c r="Q17" s="1">
        <f t="shared" si="8"/>
        <v>1520</v>
      </c>
    </row>
    <row r="18">
      <c r="L18" s="1">
        <f t="shared" si="4"/>
        <v>54</v>
      </c>
      <c r="M18" s="1">
        <f t="shared" si="5"/>
        <v>5400</v>
      </c>
      <c r="N18" s="1">
        <f t="shared" si="6"/>
        <v>1080</v>
      </c>
      <c r="O18" s="1">
        <f t="shared" si="7"/>
        <v>4320</v>
      </c>
      <c r="Q18" s="1">
        <f t="shared" si="8"/>
        <v>4320</v>
      </c>
    </row>
    <row r="19">
      <c r="L19" s="1">
        <f t="shared" si="4"/>
        <v>87</v>
      </c>
      <c r="M19" s="1">
        <f t="shared" si="5"/>
        <v>8700</v>
      </c>
      <c r="N19" s="1">
        <f t="shared" si="6"/>
        <v>1740</v>
      </c>
      <c r="O19" s="1">
        <f t="shared" si="7"/>
        <v>6960</v>
      </c>
      <c r="Q19" s="1">
        <f t="shared" si="8"/>
        <v>6960</v>
      </c>
    </row>
    <row r="20">
      <c r="L20" s="1">
        <f t="shared" si="4"/>
        <v>5</v>
      </c>
      <c r="M20" s="1">
        <f t="shared" si="5"/>
        <v>500</v>
      </c>
      <c r="N20" s="1">
        <f t="shared" si="6"/>
        <v>0</v>
      </c>
      <c r="O20" s="1">
        <f t="shared" si="7"/>
        <v>500</v>
      </c>
      <c r="Q20" s="1">
        <f t="shared" si="8"/>
        <v>500</v>
      </c>
    </row>
    <row r="21" ht="15.75" customHeight="1">
      <c r="L21" s="1">
        <f t="shared" si="4"/>
        <v>80</v>
      </c>
      <c r="M21" s="1">
        <f t="shared" si="5"/>
        <v>8000</v>
      </c>
      <c r="N21" s="1">
        <f t="shared" si="6"/>
        <v>1600</v>
      </c>
      <c r="O21" s="1">
        <f t="shared" si="7"/>
        <v>6400</v>
      </c>
      <c r="Q21" s="1">
        <f t="shared" si="8"/>
        <v>6400</v>
      </c>
    </row>
    <row r="22" ht="15.75" customHeight="1">
      <c r="L22" s="1">
        <f t="shared" si="4"/>
        <v>93</v>
      </c>
      <c r="M22" s="1">
        <f t="shared" si="5"/>
        <v>9300</v>
      </c>
      <c r="N22" s="1">
        <f t="shared" si="6"/>
        <v>1860</v>
      </c>
      <c r="O22" s="1">
        <f t="shared" si="7"/>
        <v>7440</v>
      </c>
      <c r="Q22" s="1">
        <f t="shared" si="8"/>
        <v>7440</v>
      </c>
    </row>
    <row r="23" ht="15.75" customHeight="1">
      <c r="A23" s="1" t="s">
        <v>126</v>
      </c>
      <c r="B23" s="1" t="s">
        <v>127</v>
      </c>
    </row>
    <row r="24" ht="15.75" customHeight="1">
      <c r="A24" s="1">
        <f t="shared" ref="A24:A34" si="9">RANDBETWEEN(0,25000)</f>
        <v>19105</v>
      </c>
      <c r="B24" s="1">
        <f t="shared" ref="B24:B34" si="10">IF(A24&gt;10000,A24*0.1,IF(A24&gt;5000,A24*0.07,IF(A24&gt;2000,A24*0.05,A24*0.02)))</f>
        <v>1910.5</v>
      </c>
    </row>
    <row r="25" ht="15.75" customHeight="1">
      <c r="A25" s="1">
        <f t="shared" si="9"/>
        <v>10636</v>
      </c>
      <c r="B25" s="1">
        <f t="shared" si="10"/>
        <v>1063.6</v>
      </c>
    </row>
    <row r="26" ht="15.75" customHeight="1">
      <c r="A26" s="1">
        <f t="shared" si="9"/>
        <v>3748</v>
      </c>
      <c r="B26" s="1">
        <f t="shared" si="10"/>
        <v>187.4</v>
      </c>
    </row>
    <row r="27" ht="15.75" customHeight="1">
      <c r="A27" s="1">
        <f t="shared" si="9"/>
        <v>627</v>
      </c>
      <c r="B27" s="1">
        <f t="shared" si="10"/>
        <v>12.54</v>
      </c>
    </row>
    <row r="28" ht="15.75" customHeight="1">
      <c r="A28" s="1">
        <f t="shared" si="9"/>
        <v>11545</v>
      </c>
      <c r="B28" s="1">
        <f t="shared" si="10"/>
        <v>1154.5</v>
      </c>
    </row>
    <row r="29" ht="15.75" customHeight="1">
      <c r="A29" s="1">
        <f t="shared" si="9"/>
        <v>21885</v>
      </c>
      <c r="B29" s="1">
        <f t="shared" si="10"/>
        <v>2188.5</v>
      </c>
    </row>
    <row r="30" ht="15.75" customHeight="1">
      <c r="A30" s="1">
        <f t="shared" si="9"/>
        <v>16664</v>
      </c>
      <c r="B30" s="1">
        <f t="shared" si="10"/>
        <v>1666.4</v>
      </c>
    </row>
    <row r="31" ht="15.75" customHeight="1">
      <c r="A31" s="1">
        <f t="shared" si="9"/>
        <v>17990</v>
      </c>
      <c r="B31" s="1">
        <f t="shared" si="10"/>
        <v>1799</v>
      </c>
    </row>
    <row r="32" ht="15.75" customHeight="1">
      <c r="A32" s="1">
        <f t="shared" si="9"/>
        <v>1697</v>
      </c>
      <c r="B32" s="1">
        <f t="shared" si="10"/>
        <v>33.94</v>
      </c>
    </row>
    <row r="33" ht="15.75" customHeight="1">
      <c r="A33" s="1">
        <f t="shared" si="9"/>
        <v>3665</v>
      </c>
      <c r="B33" s="1">
        <f t="shared" si="10"/>
        <v>183.25</v>
      </c>
    </row>
    <row r="34" ht="15.75" customHeight="1">
      <c r="A34" s="1">
        <f t="shared" si="9"/>
        <v>19940</v>
      </c>
      <c r="B34" s="1">
        <f t="shared" si="10"/>
        <v>1994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1.57"/>
    <col customWidth="1" min="3" max="3" width="21.71"/>
    <col customWidth="1" min="4" max="4" width="11.71"/>
    <col customWidth="1" min="5" max="5" width="24.29"/>
    <col customWidth="1" min="6" max="6" width="16.57"/>
    <col customWidth="1" min="7" max="26" width="8.71"/>
  </cols>
  <sheetData>
    <row r="1">
      <c r="A1" s="1" t="s">
        <v>128</v>
      </c>
      <c r="B1" s="1" t="s">
        <v>129</v>
      </c>
    </row>
    <row r="2">
      <c r="A2" s="1">
        <v>30.0</v>
      </c>
      <c r="B2" s="1">
        <v>50.0</v>
      </c>
      <c r="C2" s="1" t="str">
        <f t="shared" ref="C2:C8" si="1">IF(AND(A2&gt;=75,B2&gt;80),"entitled for scholarship","no scholarship")</f>
        <v>no scholarship</v>
      </c>
      <c r="E2" s="1" t="str">
        <f t="shared" ref="E2:E8" si="2">IF(OR(A2&lt;30,B2&lt;40),"debarred","not debarred")</f>
        <v>not debarred</v>
      </c>
    </row>
    <row r="3">
      <c r="A3" s="1">
        <v>45.0</v>
      </c>
      <c r="B3" s="1">
        <v>65.0</v>
      </c>
      <c r="C3" s="1" t="str">
        <f t="shared" si="1"/>
        <v>no scholarship</v>
      </c>
      <c r="E3" s="1" t="str">
        <f t="shared" si="2"/>
        <v>not debarred</v>
      </c>
    </row>
    <row r="4">
      <c r="A4" s="1">
        <v>20.0</v>
      </c>
      <c r="B4" s="1">
        <v>40.0</v>
      </c>
      <c r="C4" s="1" t="str">
        <f t="shared" si="1"/>
        <v>no scholarship</v>
      </c>
      <c r="E4" s="1" t="str">
        <f t="shared" si="2"/>
        <v>debarred</v>
      </c>
    </row>
    <row r="5">
      <c r="A5" s="1">
        <v>60.0</v>
      </c>
      <c r="B5" s="1">
        <v>80.0</v>
      </c>
      <c r="C5" s="1" t="str">
        <f t="shared" si="1"/>
        <v>no scholarship</v>
      </c>
      <c r="E5" s="1" t="str">
        <f t="shared" si="2"/>
        <v>not debarred</v>
      </c>
    </row>
    <row r="6">
      <c r="A6" s="1">
        <v>70.0</v>
      </c>
      <c r="B6" s="1">
        <v>86.0</v>
      </c>
      <c r="C6" s="1" t="str">
        <f t="shared" si="1"/>
        <v>no scholarship</v>
      </c>
      <c r="E6" s="1" t="str">
        <f t="shared" si="2"/>
        <v>not debarred</v>
      </c>
    </row>
    <row r="7">
      <c r="A7" s="1">
        <v>90.0</v>
      </c>
      <c r="B7" s="1">
        <v>95.0</v>
      </c>
      <c r="C7" s="1" t="str">
        <f t="shared" si="1"/>
        <v>entitled for scholarship</v>
      </c>
      <c r="E7" s="1" t="str">
        <f t="shared" si="2"/>
        <v>not debarred</v>
      </c>
    </row>
    <row r="8">
      <c r="A8" s="1">
        <v>10.0</v>
      </c>
      <c r="B8" s="1">
        <v>33.0</v>
      </c>
      <c r="C8" s="1" t="str">
        <f t="shared" si="1"/>
        <v>no scholarship</v>
      </c>
      <c r="E8" s="1" t="str">
        <f t="shared" si="2"/>
        <v>debarred</v>
      </c>
    </row>
    <row r="13">
      <c r="A13" s="1" t="s">
        <v>130</v>
      </c>
    </row>
    <row r="14">
      <c r="A14" s="1" t="s">
        <v>131</v>
      </c>
    </row>
    <row r="15">
      <c r="A15" s="1">
        <f t="shared" ref="A15:A23" si="3">RANDBETWEEN(-5000,5000)</f>
        <v>-3679</v>
      </c>
      <c r="B15" s="1" t="str">
        <f t="shared" ref="B15:B24" si="4">IF(AND(A15&gt;0,ISEVEN(A15)),"number is even and positive","number is not positive or odd")</f>
        <v>number is not positive or odd</v>
      </c>
      <c r="D15" s="15" t="str">
        <f t="shared" ref="D15:D24" si="5">IF(AND(A15&gt;0,(MOD(A15,2)=0)),"number is even and positive","numbere is not positive or odd")</f>
        <v>numbere is not positive or odd</v>
      </c>
    </row>
    <row r="16">
      <c r="A16" s="1">
        <f t="shared" si="3"/>
        <v>1097</v>
      </c>
      <c r="B16" s="1" t="str">
        <f t="shared" si="4"/>
        <v>number is not positive or odd</v>
      </c>
      <c r="D16" s="1" t="str">
        <f t="shared" si="5"/>
        <v>numbere is not positive or odd</v>
      </c>
    </row>
    <row r="17">
      <c r="A17" s="1">
        <f t="shared" si="3"/>
        <v>-3263</v>
      </c>
      <c r="B17" s="1" t="str">
        <f t="shared" si="4"/>
        <v>number is not positive or odd</v>
      </c>
      <c r="D17" s="1" t="str">
        <f t="shared" si="5"/>
        <v>numbere is not positive or odd</v>
      </c>
    </row>
    <row r="18">
      <c r="A18" s="1">
        <f t="shared" si="3"/>
        <v>2073</v>
      </c>
      <c r="B18" s="1" t="str">
        <f t="shared" si="4"/>
        <v>number is not positive or odd</v>
      </c>
      <c r="D18" s="1" t="str">
        <f t="shared" si="5"/>
        <v>numbere is not positive or odd</v>
      </c>
    </row>
    <row r="19">
      <c r="A19" s="1">
        <f t="shared" si="3"/>
        <v>-4506</v>
      </c>
      <c r="B19" s="1" t="str">
        <f t="shared" si="4"/>
        <v>number is not positive or odd</v>
      </c>
      <c r="D19" s="1" t="str">
        <f t="shared" si="5"/>
        <v>numbere is not positive or odd</v>
      </c>
    </row>
    <row r="20">
      <c r="A20" s="1">
        <f t="shared" si="3"/>
        <v>-786</v>
      </c>
      <c r="B20" s="1" t="str">
        <f t="shared" si="4"/>
        <v>number is not positive or odd</v>
      </c>
      <c r="D20" s="1" t="str">
        <f t="shared" si="5"/>
        <v>numbere is not positive or odd</v>
      </c>
    </row>
    <row r="21" ht="15.75" customHeight="1">
      <c r="A21" s="1">
        <f t="shared" si="3"/>
        <v>-4034</v>
      </c>
      <c r="B21" s="1" t="str">
        <f t="shared" si="4"/>
        <v>number is not positive or odd</v>
      </c>
      <c r="D21" s="1" t="str">
        <f t="shared" si="5"/>
        <v>numbere is not positive or odd</v>
      </c>
    </row>
    <row r="22" ht="15.75" customHeight="1">
      <c r="A22" s="1">
        <f t="shared" si="3"/>
        <v>-4484</v>
      </c>
      <c r="B22" s="1" t="str">
        <f t="shared" si="4"/>
        <v>number is not positive or odd</v>
      </c>
      <c r="D22" s="1" t="str">
        <f t="shared" si="5"/>
        <v>numbere is not positive or odd</v>
      </c>
    </row>
    <row r="23" ht="15.75" customHeight="1">
      <c r="A23" s="1">
        <f t="shared" si="3"/>
        <v>-713</v>
      </c>
      <c r="B23" s="1" t="str">
        <f t="shared" si="4"/>
        <v>number is not positive or odd</v>
      </c>
      <c r="D23" s="1" t="str">
        <f t="shared" si="5"/>
        <v>numbere is not positive or odd</v>
      </c>
    </row>
    <row r="24" ht="15.75" customHeight="1">
      <c r="A24" s="1">
        <v>24.0</v>
      </c>
      <c r="B24" s="1" t="str">
        <f t="shared" si="4"/>
        <v>number is even and positive</v>
      </c>
      <c r="D24" s="1" t="str">
        <f t="shared" si="5"/>
        <v>number is even and positive</v>
      </c>
    </row>
    <row r="25" ht="15.75" customHeight="1"/>
    <row r="26" ht="15.75" customHeight="1">
      <c r="A26" s="1" t="s">
        <v>132</v>
      </c>
    </row>
    <row r="27" ht="15.75" customHeight="1"/>
    <row r="28" ht="15.75" customHeight="1"/>
    <row r="29" ht="15.75" customHeight="1">
      <c r="A29" s="1" t="s">
        <v>133</v>
      </c>
      <c r="B29" s="1" t="s">
        <v>134</v>
      </c>
    </row>
    <row r="30" ht="15.75" customHeight="1">
      <c r="A30" s="1">
        <v>20.0</v>
      </c>
      <c r="B30" s="1" t="s">
        <v>135</v>
      </c>
      <c r="C30" s="1" t="str">
        <f t="shared" ref="C30:C37" si="6">IF(AND(A30&gt;18,B30="yes"),"eligible","not eligible")</f>
        <v>eligible</v>
      </c>
      <c r="E30" s="1" t="s">
        <v>136</v>
      </c>
      <c r="F30" s="1" t="str">
        <f t="shared" ref="F30:F37" si="7">IF(AND(A30&gt;18,E30="indian"),"eligible","not eligible")</f>
        <v>eligible</v>
      </c>
    </row>
    <row r="31" ht="15.75" customHeight="1">
      <c r="A31" s="1">
        <f t="shared" ref="A31:A37" si="8">RANDBETWEEN(0,50)</f>
        <v>46</v>
      </c>
      <c r="B31" s="1" t="s">
        <v>137</v>
      </c>
      <c r="C31" s="1" t="str">
        <f t="shared" si="6"/>
        <v>not eligible</v>
      </c>
      <c r="F31" s="1" t="str">
        <f t="shared" si="7"/>
        <v>not eligible</v>
      </c>
    </row>
    <row r="32" ht="15.75" customHeight="1">
      <c r="A32" s="1">
        <f t="shared" si="8"/>
        <v>3</v>
      </c>
      <c r="B32" s="1" t="s">
        <v>135</v>
      </c>
      <c r="C32" s="1" t="str">
        <f t="shared" si="6"/>
        <v>not eligible</v>
      </c>
      <c r="E32" s="1" t="s">
        <v>136</v>
      </c>
      <c r="F32" s="1" t="str">
        <f t="shared" si="7"/>
        <v>not eligible</v>
      </c>
    </row>
    <row r="33" ht="15.75" customHeight="1">
      <c r="A33" s="1">
        <f t="shared" si="8"/>
        <v>38</v>
      </c>
      <c r="B33" s="1" t="s">
        <v>137</v>
      </c>
      <c r="C33" s="1" t="str">
        <f t="shared" si="6"/>
        <v>not eligible</v>
      </c>
      <c r="E33" s="1" t="s">
        <v>136</v>
      </c>
      <c r="F33" s="1" t="str">
        <f t="shared" si="7"/>
        <v>eligible</v>
      </c>
    </row>
    <row r="34" ht="15.75" customHeight="1">
      <c r="A34" s="1">
        <f t="shared" si="8"/>
        <v>7</v>
      </c>
      <c r="B34" s="1" t="s">
        <v>135</v>
      </c>
      <c r="C34" s="1" t="str">
        <f t="shared" si="6"/>
        <v>not eligible</v>
      </c>
      <c r="E34" s="1" t="s">
        <v>136</v>
      </c>
      <c r="F34" s="1" t="str">
        <f t="shared" si="7"/>
        <v>not eligible</v>
      </c>
    </row>
    <row r="35" ht="15.75" customHeight="1">
      <c r="A35" s="1">
        <f t="shared" si="8"/>
        <v>9</v>
      </c>
      <c r="B35" s="1" t="s">
        <v>135</v>
      </c>
      <c r="C35" s="1" t="str">
        <f t="shared" si="6"/>
        <v>not eligible</v>
      </c>
      <c r="E35" s="1" t="s">
        <v>136</v>
      </c>
      <c r="F35" s="1" t="str">
        <f t="shared" si="7"/>
        <v>not eligible</v>
      </c>
    </row>
    <row r="36" ht="15.75" customHeight="1">
      <c r="A36" s="1">
        <f t="shared" si="8"/>
        <v>36</v>
      </c>
      <c r="B36" s="1" t="s">
        <v>137</v>
      </c>
      <c r="C36" s="1" t="str">
        <f t="shared" si="6"/>
        <v>not eligible</v>
      </c>
      <c r="E36" s="1" t="s">
        <v>136</v>
      </c>
      <c r="F36" s="1" t="str">
        <f t="shared" si="7"/>
        <v>eligible</v>
      </c>
    </row>
    <row r="37" ht="15.75" customHeight="1">
      <c r="A37" s="1">
        <f t="shared" si="8"/>
        <v>4</v>
      </c>
      <c r="B37" s="1" t="s">
        <v>137</v>
      </c>
      <c r="C37" s="1" t="str">
        <f t="shared" si="6"/>
        <v>not eligible</v>
      </c>
      <c r="F37" s="1" t="str">
        <f t="shared" si="7"/>
        <v>not eligible</v>
      </c>
    </row>
    <row r="38" ht="15.75" customHeight="1"/>
    <row r="39" ht="15.75" customHeight="1"/>
    <row r="40" ht="15.75" customHeight="1">
      <c r="A40" s="1" t="s">
        <v>138</v>
      </c>
    </row>
    <row r="41" ht="15.75" customHeight="1">
      <c r="A41" s="1" t="s">
        <v>139</v>
      </c>
      <c r="B41" s="1" t="s">
        <v>140</v>
      </c>
      <c r="C41" s="1" t="s">
        <v>141</v>
      </c>
    </row>
    <row r="42" ht="15.75" customHeight="1">
      <c r="B42" s="1" t="s">
        <v>135</v>
      </c>
      <c r="C42" s="1" t="s">
        <v>137</v>
      </c>
      <c r="E42" s="1" t="str">
        <f t="shared" ref="E42:E48" si="9">IF(OR(B42="yes",C42="yes"),"eligible for discount","not eligible for discount")</f>
        <v>eligible for discount</v>
      </c>
    </row>
    <row r="43" ht="15.75" customHeight="1">
      <c r="B43" s="1" t="s">
        <v>137</v>
      </c>
      <c r="C43" s="1" t="s">
        <v>137</v>
      </c>
      <c r="E43" s="1" t="str">
        <f t="shared" si="9"/>
        <v>not eligible for discount</v>
      </c>
    </row>
    <row r="44" ht="15.75" customHeight="1">
      <c r="B44" s="1" t="s">
        <v>135</v>
      </c>
      <c r="C44" s="1" t="s">
        <v>137</v>
      </c>
      <c r="E44" s="1" t="str">
        <f t="shared" si="9"/>
        <v>eligible for discount</v>
      </c>
    </row>
    <row r="45" ht="15.75" customHeight="1">
      <c r="B45" s="1" t="s">
        <v>135</v>
      </c>
      <c r="C45" s="1" t="s">
        <v>135</v>
      </c>
      <c r="E45" s="1" t="str">
        <f t="shared" si="9"/>
        <v>eligible for discount</v>
      </c>
    </row>
    <row r="46" ht="15.75" customHeight="1">
      <c r="B46" s="1" t="s">
        <v>135</v>
      </c>
      <c r="C46" s="1" t="s">
        <v>135</v>
      </c>
      <c r="E46" s="1" t="str">
        <f t="shared" si="9"/>
        <v>eligible for discount</v>
      </c>
    </row>
    <row r="47" ht="15.75" customHeight="1">
      <c r="B47" s="1" t="s">
        <v>137</v>
      </c>
      <c r="C47" s="1" t="s">
        <v>137</v>
      </c>
      <c r="E47" s="1" t="str">
        <f t="shared" si="9"/>
        <v>not eligible for discount</v>
      </c>
    </row>
    <row r="48" ht="15.75" customHeight="1">
      <c r="B48" s="1" t="s">
        <v>135</v>
      </c>
      <c r="E48" s="1" t="str">
        <f t="shared" si="9"/>
        <v>eligible for discount</v>
      </c>
    </row>
    <row r="49" ht="15.75" customHeight="1"/>
    <row r="50" ht="15.75" customHeight="1">
      <c r="A50" s="1" t="s">
        <v>142</v>
      </c>
      <c r="B50" s="1" t="s">
        <v>143</v>
      </c>
    </row>
    <row r="51" ht="15.75" customHeight="1">
      <c r="A51" s="1" t="s">
        <v>144</v>
      </c>
      <c r="B51" s="1" t="s">
        <v>145</v>
      </c>
      <c r="C51" s="1" t="s">
        <v>146</v>
      </c>
    </row>
    <row r="52" ht="15.75" customHeight="1">
      <c r="A52" s="1" t="s">
        <v>135</v>
      </c>
      <c r="B52" s="1">
        <v>2.0</v>
      </c>
      <c r="C52" s="1" t="s">
        <v>147</v>
      </c>
      <c r="E52" s="1" t="str">
        <f t="shared" ref="E52:E58" si="10">IF(IF(AND(A52="yes",B52&gt;2),C52&lt;&gt;"no"),"bonus awarded","no bonus")</f>
        <v>no bonus</v>
      </c>
      <c r="F52" s="1" t="str">
        <f t="shared" ref="F52:F58" si="11">IF(AND(A52="yes",B52&gt;2),IF(C52&lt;&gt;"no","bonus awarded","no bonus"),"no bonus")</f>
        <v>no bonus</v>
      </c>
    </row>
    <row r="53" ht="15.75" customHeight="1">
      <c r="A53" s="1" t="s">
        <v>135</v>
      </c>
      <c r="B53" s="1">
        <v>3.0</v>
      </c>
      <c r="C53" s="1" t="s">
        <v>147</v>
      </c>
      <c r="E53" s="1" t="str">
        <f t="shared" si="10"/>
        <v>bonus awarded</v>
      </c>
      <c r="F53" s="1" t="str">
        <f t="shared" si="11"/>
        <v>bonus awarded</v>
      </c>
    </row>
    <row r="54" ht="15.75" customHeight="1">
      <c r="A54" s="1" t="s">
        <v>137</v>
      </c>
      <c r="B54" s="1">
        <v>4.0</v>
      </c>
      <c r="C54" s="1" t="s">
        <v>147</v>
      </c>
      <c r="E54" s="1" t="str">
        <f t="shared" si="10"/>
        <v>no bonus</v>
      </c>
      <c r="F54" s="1" t="str">
        <f t="shared" si="11"/>
        <v>no bonus</v>
      </c>
    </row>
    <row r="55" ht="15.75" customHeight="1">
      <c r="A55" s="1" t="s">
        <v>135</v>
      </c>
      <c r="B55" s="1">
        <v>5.0</v>
      </c>
      <c r="C55" s="1" t="s">
        <v>147</v>
      </c>
      <c r="E55" s="1" t="str">
        <f t="shared" si="10"/>
        <v>bonus awarded</v>
      </c>
      <c r="F55" s="1" t="str">
        <f t="shared" si="11"/>
        <v>bonus awarded</v>
      </c>
    </row>
    <row r="56" ht="15.75" customHeight="1">
      <c r="A56" s="1" t="s">
        <v>137</v>
      </c>
      <c r="B56" s="1">
        <v>6.0</v>
      </c>
      <c r="C56" s="1" t="s">
        <v>135</v>
      </c>
      <c r="E56" s="1" t="str">
        <f t="shared" si="10"/>
        <v>no bonus</v>
      </c>
      <c r="F56" s="1" t="str">
        <f t="shared" si="11"/>
        <v>no bonus</v>
      </c>
    </row>
    <row r="57" ht="15.75" customHeight="1">
      <c r="A57" s="1" t="s">
        <v>135</v>
      </c>
      <c r="B57" s="1">
        <v>7.0</v>
      </c>
      <c r="C57" s="1" t="s">
        <v>147</v>
      </c>
      <c r="E57" s="1" t="str">
        <f t="shared" si="10"/>
        <v>bonus awarded</v>
      </c>
      <c r="F57" s="1" t="str">
        <f t="shared" si="11"/>
        <v>bonus awarded</v>
      </c>
    </row>
    <row r="58" ht="15.75" customHeight="1">
      <c r="A58" s="1" t="s">
        <v>135</v>
      </c>
      <c r="B58" s="1">
        <v>8.0</v>
      </c>
      <c r="C58" s="1" t="s">
        <v>135</v>
      </c>
      <c r="E58" s="1" t="str">
        <f t="shared" si="10"/>
        <v>bonus awarded</v>
      </c>
      <c r="F58" s="1" t="str">
        <f t="shared" si="11"/>
        <v>bonus awarded</v>
      </c>
    </row>
    <row r="59" ht="15.75" customHeight="1"/>
    <row r="60" ht="15.75" customHeight="1">
      <c r="A60" s="1" t="s">
        <v>148</v>
      </c>
    </row>
    <row r="61" ht="15.75" customHeight="1"/>
    <row r="62" ht="15.75" customHeight="1">
      <c r="A62" s="1" t="s">
        <v>149</v>
      </c>
      <c r="B62" s="1" t="s">
        <v>150</v>
      </c>
      <c r="C62" s="1" t="s">
        <v>151</v>
      </c>
    </row>
    <row r="63" ht="15.75" customHeight="1">
      <c r="A63" s="1" t="s">
        <v>135</v>
      </c>
      <c r="B63" s="14">
        <f t="shared" ref="B63:B68" si="12">RANDBETWEEN(0,1000)</f>
        <v>460</v>
      </c>
      <c r="C63" s="1" t="str">
        <f t="shared" ref="C63:C70" si="13">IF(OR(A63="yes",B63&gt;100),"special offer available","no special offer")</f>
        <v>special offer available</v>
      </c>
    </row>
    <row r="64" ht="15.75" customHeight="1">
      <c r="A64" s="1" t="s">
        <v>135</v>
      </c>
      <c r="B64" s="14">
        <f t="shared" si="12"/>
        <v>598</v>
      </c>
      <c r="C64" s="1" t="str">
        <f t="shared" si="13"/>
        <v>special offer available</v>
      </c>
    </row>
    <row r="65" ht="15.75" customHeight="1">
      <c r="A65" s="1" t="s">
        <v>137</v>
      </c>
      <c r="B65" s="14">
        <f t="shared" si="12"/>
        <v>13</v>
      </c>
      <c r="C65" s="1" t="str">
        <f t="shared" si="13"/>
        <v>no special offer</v>
      </c>
    </row>
    <row r="66" ht="15.75" customHeight="1">
      <c r="A66" s="1" t="s">
        <v>137</v>
      </c>
      <c r="B66" s="14">
        <f t="shared" si="12"/>
        <v>239</v>
      </c>
      <c r="C66" s="1" t="str">
        <f t="shared" si="13"/>
        <v>special offer available</v>
      </c>
    </row>
    <row r="67" ht="15.75" customHeight="1">
      <c r="A67" s="1" t="s">
        <v>135</v>
      </c>
      <c r="B67" s="14">
        <f t="shared" si="12"/>
        <v>275</v>
      </c>
      <c r="C67" s="1" t="str">
        <f t="shared" si="13"/>
        <v>special offer available</v>
      </c>
    </row>
    <row r="68" ht="15.75" customHeight="1">
      <c r="A68" s="1" t="s">
        <v>137</v>
      </c>
      <c r="B68" s="14">
        <f t="shared" si="12"/>
        <v>453</v>
      </c>
      <c r="C68" s="1" t="str">
        <f t="shared" si="13"/>
        <v>special offer available</v>
      </c>
    </row>
    <row r="69" ht="15.75" customHeight="1">
      <c r="A69" s="1" t="s">
        <v>135</v>
      </c>
      <c r="B69" s="14">
        <v>87.0</v>
      </c>
      <c r="C69" s="1" t="str">
        <f t="shared" si="13"/>
        <v>special offer available</v>
      </c>
    </row>
    <row r="70" ht="15.75" customHeight="1">
      <c r="A70" s="1" t="s">
        <v>137</v>
      </c>
      <c r="B70" s="1">
        <v>50.0</v>
      </c>
      <c r="C70" s="1" t="str">
        <f t="shared" si="13"/>
        <v>no special offer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8.71"/>
    <col customWidth="1" min="3" max="3" width="12.57"/>
    <col customWidth="1" min="4" max="4" width="15.14"/>
    <col customWidth="1" min="5" max="5" width="12.0"/>
    <col customWidth="1" min="6" max="9" width="8.71"/>
    <col customWidth="1" min="10" max="10" width="15.29"/>
    <col customWidth="1" min="11" max="26" width="8.71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G1" s="1" t="s">
        <v>153</v>
      </c>
      <c r="H1" s="1" t="s">
        <v>155</v>
      </c>
      <c r="I1" s="1" t="s">
        <v>154</v>
      </c>
      <c r="K1" s="1" t="s">
        <v>103</v>
      </c>
      <c r="L1" s="1" t="str">
        <f t="shared" ref="L1:L5" si="1">VLOOKUP(K1,$B$2:$D$7,3,0)</f>
        <v>nepal</v>
      </c>
      <c r="O1" s="1" t="s">
        <v>156</v>
      </c>
      <c r="P1" s="1" t="s">
        <v>113</v>
      </c>
    </row>
    <row r="2">
      <c r="A2" s="1">
        <v>1.0</v>
      </c>
      <c r="B2" s="1" t="s">
        <v>102</v>
      </c>
      <c r="C2" s="1">
        <f t="shared" ref="C2:C6" si="2">RANDBETWEEN(10,70)</f>
        <v>53</v>
      </c>
      <c r="D2" s="1" t="s">
        <v>21</v>
      </c>
      <c r="G2" s="1" t="s">
        <v>107</v>
      </c>
      <c r="H2" s="1" t="str">
        <f>VLOOKUP(G2,B2:D7,3,0)</f>
        <v>usa</v>
      </c>
      <c r="I2" s="1">
        <f>VLOOKUP(G2,B2:D7,2,0)</f>
        <v>55</v>
      </c>
      <c r="K2" s="1" t="s">
        <v>104</v>
      </c>
      <c r="L2" s="1" t="str">
        <f t="shared" si="1"/>
        <v>china</v>
      </c>
      <c r="O2" s="1">
        <v>20000.0</v>
      </c>
      <c r="P2" s="1">
        <v>20.0</v>
      </c>
      <c r="R2" s="16" t="s">
        <v>157</v>
      </c>
    </row>
    <row r="3">
      <c r="A3" s="1">
        <v>2.0</v>
      </c>
      <c r="B3" s="1" t="s">
        <v>103</v>
      </c>
      <c r="C3" s="1">
        <f t="shared" si="2"/>
        <v>28</v>
      </c>
      <c r="D3" s="1" t="s">
        <v>30</v>
      </c>
      <c r="K3" s="1" t="s">
        <v>105</v>
      </c>
      <c r="L3" s="1" t="str">
        <f t="shared" si="1"/>
        <v>japan</v>
      </c>
      <c r="O3" s="1">
        <v>30000.0</v>
      </c>
      <c r="P3" s="1">
        <v>30.0</v>
      </c>
    </row>
    <row r="4">
      <c r="A4" s="1">
        <v>3.0</v>
      </c>
      <c r="B4" s="1" t="s">
        <v>104</v>
      </c>
      <c r="C4" s="1">
        <f t="shared" si="2"/>
        <v>53</v>
      </c>
      <c r="D4" s="1" t="s">
        <v>22</v>
      </c>
      <c r="K4" s="1" t="s">
        <v>102</v>
      </c>
      <c r="L4" s="1" t="str">
        <f t="shared" si="1"/>
        <v>india</v>
      </c>
      <c r="O4" s="1">
        <v>40000.0</v>
      </c>
      <c r="P4" s="1">
        <v>40.0</v>
      </c>
      <c r="R4" s="1">
        <v>59999.0</v>
      </c>
      <c r="S4" s="1">
        <f>VLOOKUP(R4,O2:P10,2,1)</f>
        <v>50</v>
      </c>
    </row>
    <row r="5">
      <c r="A5" s="1">
        <v>4.0</v>
      </c>
      <c r="B5" s="1" t="s">
        <v>105</v>
      </c>
      <c r="C5" s="1">
        <f t="shared" si="2"/>
        <v>25</v>
      </c>
      <c r="D5" s="1" t="s">
        <v>158</v>
      </c>
      <c r="H5" s="1">
        <v>47.0</v>
      </c>
      <c r="I5" s="1" t="str">
        <f>VLOOKUP(H5,C2:D7,2,0)</f>
        <v>#N/A</v>
      </c>
      <c r="K5" s="1" t="s">
        <v>102</v>
      </c>
      <c r="L5" s="1" t="str">
        <f t="shared" si="1"/>
        <v>india</v>
      </c>
      <c r="O5" s="1">
        <v>50000.0</v>
      </c>
      <c r="P5" s="1">
        <v>50.0</v>
      </c>
    </row>
    <row r="6">
      <c r="A6" s="1">
        <v>5.0</v>
      </c>
      <c r="B6" s="1" t="s">
        <v>106</v>
      </c>
      <c r="C6" s="1">
        <f t="shared" si="2"/>
        <v>42</v>
      </c>
      <c r="D6" s="1" t="s">
        <v>159</v>
      </c>
      <c r="E6" s="1" t="s">
        <v>102</v>
      </c>
      <c r="F6" s="1">
        <f>VLOOKUP(E6,B2:D6,2,0)</f>
        <v>53</v>
      </c>
      <c r="G6" s="1" t="str">
        <f>VLOOKUP(E6,B2:D6,3,0)</f>
        <v>india</v>
      </c>
      <c r="O6" s="1">
        <v>60000.0</v>
      </c>
      <c r="P6" s="1">
        <v>60.0</v>
      </c>
    </row>
    <row r="7">
      <c r="A7" s="1">
        <v>6.0</v>
      </c>
      <c r="B7" s="1" t="s">
        <v>107</v>
      </c>
      <c r="C7" s="1">
        <v>55.0</v>
      </c>
      <c r="D7" s="1" t="s">
        <v>160</v>
      </c>
      <c r="O7" s="1">
        <v>70000.0</v>
      </c>
      <c r="P7" s="1">
        <v>70.0</v>
      </c>
    </row>
    <row r="8">
      <c r="E8" s="1" t="s">
        <v>103</v>
      </c>
      <c r="F8" s="1" t="str">
        <f>VLOOKUP(E8,A2:D6,3,0)</f>
        <v>#N/A</v>
      </c>
      <c r="G8" s="1">
        <f>VLOOKUP(E8,B2:D6,2,0)</f>
        <v>28</v>
      </c>
      <c r="O8" s="1">
        <v>80000.0</v>
      </c>
      <c r="P8" s="1">
        <v>80.0</v>
      </c>
    </row>
    <row r="9">
      <c r="O9" s="1">
        <v>90000.0</v>
      </c>
      <c r="P9" s="1">
        <v>90.0</v>
      </c>
    </row>
    <row r="10">
      <c r="O10" s="1">
        <v>100000.0</v>
      </c>
      <c r="P10" s="1">
        <v>100.0</v>
      </c>
    </row>
    <row r="13">
      <c r="A13" s="17"/>
    </row>
    <row r="15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170</v>
      </c>
      <c r="K15" s="1" t="s">
        <v>171</v>
      </c>
      <c r="L15" s="1" t="s">
        <v>6</v>
      </c>
    </row>
    <row r="16">
      <c r="A16" s="1">
        <v>1.0</v>
      </c>
      <c r="B16" s="1" t="s">
        <v>172</v>
      </c>
      <c r="C16" s="1">
        <v>21.0</v>
      </c>
      <c r="D16" s="1" t="s">
        <v>173</v>
      </c>
      <c r="E16" s="1" t="s">
        <v>174</v>
      </c>
      <c r="F16" s="1">
        <f t="shared" ref="F16:J16" si="3">RANDBETWEEN(20,100)</f>
        <v>35</v>
      </c>
      <c r="G16" s="1">
        <f t="shared" si="3"/>
        <v>80</v>
      </c>
      <c r="H16" s="1">
        <f t="shared" si="3"/>
        <v>34</v>
      </c>
      <c r="I16" s="1">
        <f t="shared" si="3"/>
        <v>85</v>
      </c>
      <c r="J16" s="1">
        <f t="shared" si="3"/>
        <v>65</v>
      </c>
      <c r="K16" s="1">
        <f t="shared" ref="K16:K20" si="5">SUM(F16:J16)</f>
        <v>299</v>
      </c>
      <c r="L16" s="1">
        <f t="shared" ref="L16:L20" si="6">K16/5</f>
        <v>59.8</v>
      </c>
      <c r="M16" s="1">
        <f t="shared" ref="M16:M20" si="7">IF(L16&gt;90,K16+5,0)</f>
        <v>0</v>
      </c>
    </row>
    <row r="17">
      <c r="A17" s="1">
        <v>2.0</v>
      </c>
      <c r="B17" s="1" t="s">
        <v>175</v>
      </c>
      <c r="C17" s="1">
        <v>22.0</v>
      </c>
      <c r="D17" s="1" t="s">
        <v>176</v>
      </c>
      <c r="E17" s="1" t="s">
        <v>177</v>
      </c>
      <c r="F17" s="1">
        <f t="shared" ref="F17:J17" si="4">RANDBETWEEN(20,100)</f>
        <v>42</v>
      </c>
      <c r="G17" s="1">
        <f t="shared" si="4"/>
        <v>48</v>
      </c>
      <c r="H17" s="1">
        <f t="shared" si="4"/>
        <v>85</v>
      </c>
      <c r="I17" s="1">
        <f t="shared" si="4"/>
        <v>94</v>
      </c>
      <c r="J17" s="1">
        <f t="shared" si="4"/>
        <v>65</v>
      </c>
      <c r="K17" s="1">
        <f t="shared" si="5"/>
        <v>334</v>
      </c>
      <c r="L17" s="1">
        <f t="shared" si="6"/>
        <v>66.8</v>
      </c>
      <c r="M17" s="1">
        <f t="shared" si="7"/>
        <v>0</v>
      </c>
    </row>
    <row r="18">
      <c r="A18" s="1">
        <v>3.0</v>
      </c>
      <c r="B18" s="1" t="s">
        <v>178</v>
      </c>
      <c r="C18" s="1">
        <v>23.0</v>
      </c>
      <c r="D18" s="1" t="s">
        <v>179</v>
      </c>
      <c r="E18" s="1" t="s">
        <v>180</v>
      </c>
      <c r="F18" s="1">
        <f t="shared" ref="F18:J18" si="8">RANDBETWEEN(20,100)</f>
        <v>78</v>
      </c>
      <c r="G18" s="1">
        <f t="shared" si="8"/>
        <v>42</v>
      </c>
      <c r="H18" s="1">
        <f t="shared" si="8"/>
        <v>82</v>
      </c>
      <c r="I18" s="1">
        <f t="shared" si="8"/>
        <v>58</v>
      </c>
      <c r="J18" s="1">
        <f t="shared" si="8"/>
        <v>88</v>
      </c>
      <c r="K18" s="1">
        <f t="shared" si="5"/>
        <v>348</v>
      </c>
      <c r="L18" s="1">
        <f t="shared" si="6"/>
        <v>69.6</v>
      </c>
      <c r="M18" s="1">
        <f t="shared" si="7"/>
        <v>0</v>
      </c>
    </row>
    <row r="19">
      <c r="A19" s="1">
        <v>4.0</v>
      </c>
      <c r="B19" s="1" t="s">
        <v>181</v>
      </c>
      <c r="C19" s="1">
        <v>24.0</v>
      </c>
      <c r="D19" s="1" t="s">
        <v>182</v>
      </c>
      <c r="E19" s="1" t="s">
        <v>183</v>
      </c>
      <c r="F19" s="1">
        <f t="shared" ref="F19:J19" si="9">RANDBETWEEN(20,100)</f>
        <v>68</v>
      </c>
      <c r="G19" s="1">
        <f t="shared" si="9"/>
        <v>78</v>
      </c>
      <c r="H19" s="1">
        <f t="shared" si="9"/>
        <v>36</v>
      </c>
      <c r="I19" s="1">
        <f t="shared" si="9"/>
        <v>29</v>
      </c>
      <c r="J19" s="1">
        <f t="shared" si="9"/>
        <v>25</v>
      </c>
      <c r="K19" s="1">
        <f t="shared" si="5"/>
        <v>236</v>
      </c>
      <c r="L19" s="1">
        <f t="shared" si="6"/>
        <v>47.2</v>
      </c>
      <c r="M19" s="1">
        <f t="shared" si="7"/>
        <v>0</v>
      </c>
    </row>
    <row r="20">
      <c r="A20" s="1">
        <v>5.0</v>
      </c>
      <c r="B20" s="1" t="s">
        <v>184</v>
      </c>
      <c r="C20" s="1">
        <v>25.0</v>
      </c>
      <c r="D20" s="1" t="s">
        <v>185</v>
      </c>
      <c r="E20" s="1" t="s">
        <v>186</v>
      </c>
      <c r="F20" s="1">
        <f t="shared" ref="F20:J20" si="10">RANDBETWEEN(20,100)</f>
        <v>71</v>
      </c>
      <c r="G20" s="1">
        <f t="shared" si="10"/>
        <v>69</v>
      </c>
      <c r="H20" s="1">
        <f t="shared" si="10"/>
        <v>32</v>
      </c>
      <c r="I20" s="1">
        <f t="shared" si="10"/>
        <v>26</v>
      </c>
      <c r="J20" s="1">
        <f t="shared" si="10"/>
        <v>64</v>
      </c>
      <c r="K20" s="1">
        <f t="shared" si="5"/>
        <v>262</v>
      </c>
      <c r="L20" s="1">
        <f t="shared" si="6"/>
        <v>52.4</v>
      </c>
      <c r="M20" s="1">
        <f t="shared" si="7"/>
        <v>0</v>
      </c>
    </row>
    <row r="21" ht="15.75" customHeight="1"/>
    <row r="22" ht="15.75" customHeight="1"/>
    <row r="23" ht="15.75" customHeight="1">
      <c r="A23" s="1" t="s">
        <v>187</v>
      </c>
      <c r="B23" s="1" t="s">
        <v>162</v>
      </c>
      <c r="C23" s="1" t="s">
        <v>163</v>
      </c>
      <c r="D23" s="1" t="s">
        <v>188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  <c r="L23" s="1" t="s">
        <v>6</v>
      </c>
    </row>
    <row r="24" ht="15.75" customHeight="1">
      <c r="A24" s="1">
        <v>1.0</v>
      </c>
      <c r="B24" s="1" t="s">
        <v>172</v>
      </c>
      <c r="C24" s="1">
        <f t="shared" ref="C24:K24" si="11">VLOOKUP(B24,B16:M20,2,0)</f>
        <v>21</v>
      </c>
      <c r="D24" s="1" t="str">
        <f t="shared" si="11"/>
        <v>AA</v>
      </c>
      <c r="E24" s="1" t="str">
        <f t="shared" si="11"/>
        <v>DELHI</v>
      </c>
      <c r="F24" s="1">
        <f t="shared" si="11"/>
        <v>35</v>
      </c>
      <c r="G24" s="1">
        <f t="shared" si="11"/>
        <v>80</v>
      </c>
      <c r="H24" s="1">
        <f t="shared" si="11"/>
        <v>34</v>
      </c>
      <c r="I24" s="1">
        <f t="shared" si="11"/>
        <v>85</v>
      </c>
      <c r="J24" s="1">
        <f t="shared" si="11"/>
        <v>65</v>
      </c>
      <c r="K24" s="1">
        <f t="shared" si="11"/>
        <v>299</v>
      </c>
      <c r="L24" s="1">
        <f t="shared" ref="L24:L28" si="13">VLOOKUP(K24,K16:L20,2,0)</f>
        <v>59.8</v>
      </c>
    </row>
    <row r="25" ht="15.75" customHeight="1">
      <c r="A25" s="1">
        <v>2.0</v>
      </c>
      <c r="B25" s="1" t="s">
        <v>175</v>
      </c>
      <c r="C25" s="1">
        <f t="shared" ref="C25:K25" si="12">VLOOKUP(B25,B17:M21,2,0)</f>
        <v>22</v>
      </c>
      <c r="D25" s="1" t="str">
        <f t="shared" si="12"/>
        <v>BB</v>
      </c>
      <c r="E25" s="1" t="str">
        <f t="shared" si="12"/>
        <v>JAIPUR</v>
      </c>
      <c r="F25" s="1">
        <f t="shared" si="12"/>
        <v>42</v>
      </c>
      <c r="G25" s="1">
        <f t="shared" si="12"/>
        <v>48</v>
      </c>
      <c r="H25" s="1">
        <f t="shared" si="12"/>
        <v>85</v>
      </c>
      <c r="I25" s="1">
        <f t="shared" si="12"/>
        <v>94</v>
      </c>
      <c r="J25" s="1">
        <f t="shared" si="12"/>
        <v>65</v>
      </c>
      <c r="K25" s="1">
        <f t="shared" si="12"/>
        <v>334</v>
      </c>
      <c r="L25" s="1">
        <f t="shared" si="13"/>
        <v>66.8</v>
      </c>
    </row>
    <row r="26" ht="15.75" customHeight="1">
      <c r="A26" s="1">
        <v>3.0</v>
      </c>
      <c r="B26" s="1" t="s">
        <v>178</v>
      </c>
      <c r="C26" s="1">
        <f t="shared" ref="C26:K26" si="14">VLOOKUP(B26,B18:M22,2,0)</f>
        <v>23</v>
      </c>
      <c r="D26" s="1" t="str">
        <f t="shared" si="14"/>
        <v>CC</v>
      </c>
      <c r="E26" s="1" t="str">
        <f t="shared" si="14"/>
        <v>GURGAON</v>
      </c>
      <c r="F26" s="1">
        <f t="shared" si="14"/>
        <v>78</v>
      </c>
      <c r="G26" s="1">
        <f t="shared" si="14"/>
        <v>42</v>
      </c>
      <c r="H26" s="1">
        <f t="shared" si="14"/>
        <v>82</v>
      </c>
      <c r="I26" s="1">
        <f t="shared" si="14"/>
        <v>58</v>
      </c>
      <c r="J26" s="1">
        <f t="shared" si="14"/>
        <v>88</v>
      </c>
      <c r="K26" s="1">
        <f t="shared" si="14"/>
        <v>348</v>
      </c>
      <c r="L26" s="1">
        <f t="shared" si="13"/>
        <v>69.6</v>
      </c>
    </row>
    <row r="27" ht="15.75" customHeight="1">
      <c r="A27" s="1">
        <v>4.0</v>
      </c>
      <c r="B27" s="1" t="s">
        <v>181</v>
      </c>
      <c r="C27" s="1">
        <f t="shared" ref="C27:K27" si="15">VLOOKUP(B27,B19:M23,2,0)</f>
        <v>24</v>
      </c>
      <c r="D27" s="1" t="str">
        <f t="shared" si="15"/>
        <v>DD</v>
      </c>
      <c r="E27" s="1" t="str">
        <f t="shared" si="15"/>
        <v>JALANDHAR</v>
      </c>
      <c r="F27" s="1">
        <f t="shared" si="15"/>
        <v>68</v>
      </c>
      <c r="G27" s="1">
        <f t="shared" si="15"/>
        <v>78</v>
      </c>
      <c r="H27" s="1">
        <f t="shared" si="15"/>
        <v>36</v>
      </c>
      <c r="I27" s="1">
        <f t="shared" si="15"/>
        <v>29</v>
      </c>
      <c r="J27" s="1">
        <f t="shared" si="15"/>
        <v>25</v>
      </c>
      <c r="K27" s="1">
        <f t="shared" si="15"/>
        <v>236</v>
      </c>
      <c r="L27" s="1">
        <f t="shared" si="13"/>
        <v>47.2</v>
      </c>
    </row>
    <row r="28" ht="15.75" customHeight="1">
      <c r="A28" s="1">
        <v>5.0</v>
      </c>
      <c r="B28" s="1" t="s">
        <v>184</v>
      </c>
      <c r="C28" s="1">
        <f t="shared" ref="C28:K28" si="16">VLOOKUP(B28,B20:M24,2,0)</f>
        <v>25</v>
      </c>
      <c r="D28" s="1" t="str">
        <f t="shared" si="16"/>
        <v>EE</v>
      </c>
      <c r="E28" s="1" t="str">
        <f t="shared" si="16"/>
        <v>PATIALA</v>
      </c>
      <c r="F28" s="1">
        <f t="shared" si="16"/>
        <v>71</v>
      </c>
      <c r="G28" s="1">
        <f t="shared" si="16"/>
        <v>69</v>
      </c>
      <c r="H28" s="1">
        <f t="shared" si="16"/>
        <v>32</v>
      </c>
      <c r="I28" s="1">
        <f t="shared" si="16"/>
        <v>26</v>
      </c>
      <c r="J28" s="1">
        <f t="shared" si="16"/>
        <v>64</v>
      </c>
      <c r="K28" s="1">
        <f t="shared" si="16"/>
        <v>262</v>
      </c>
      <c r="L28" s="1">
        <f t="shared" si="13"/>
        <v>52.4</v>
      </c>
    </row>
    <row r="29" ht="15.75" customHeight="1"/>
    <row r="30" ht="15.75" customHeight="1">
      <c r="A30" s="1" t="s">
        <v>189</v>
      </c>
    </row>
    <row r="31" ht="15.75" customHeight="1"/>
    <row r="32" ht="15.75" customHeight="1">
      <c r="A32" s="1" t="s">
        <v>187</v>
      </c>
      <c r="B32" s="1" t="s">
        <v>162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 s="1" t="s">
        <v>195</v>
      </c>
      <c r="I32" s="1" t="s">
        <v>196</v>
      </c>
      <c r="J32" s="1" t="s">
        <v>197</v>
      </c>
      <c r="K32" s="1" t="s">
        <v>171</v>
      </c>
      <c r="L32" s="1" t="s">
        <v>6</v>
      </c>
      <c r="M32" s="1" t="s">
        <v>198</v>
      </c>
    </row>
    <row r="33" ht="15.75" customHeight="1">
      <c r="A33" s="1">
        <v>1.0</v>
      </c>
      <c r="B33" s="1" t="s">
        <v>199</v>
      </c>
      <c r="C33" s="1" t="s">
        <v>200</v>
      </c>
      <c r="D33" s="1" t="s">
        <v>201</v>
      </c>
      <c r="E33" s="1" t="s">
        <v>202</v>
      </c>
      <c r="F33" s="1">
        <f t="shared" ref="F33:J33" si="17">RANDBETWEEN(30,100)</f>
        <v>42</v>
      </c>
      <c r="G33" s="1">
        <f t="shared" si="17"/>
        <v>40</v>
      </c>
      <c r="H33" s="1">
        <f t="shared" si="17"/>
        <v>35</v>
      </c>
      <c r="I33" s="1">
        <f t="shared" si="17"/>
        <v>93</v>
      </c>
      <c r="J33" s="1">
        <f t="shared" si="17"/>
        <v>80</v>
      </c>
      <c r="K33" s="1">
        <f t="shared" ref="K33:K38" si="19">SUM(F33:J33)</f>
        <v>290</v>
      </c>
      <c r="L33" s="1">
        <f t="shared" ref="L33:L38" si="20">K33/5</f>
        <v>58</v>
      </c>
      <c r="M33" s="1" t="str">
        <f t="shared" ref="M33:M38" si="21">IF(L33&gt;90,"A",IF(L33&gt;60,"B",IF(L33&gt;40,"C","D")))</f>
        <v>C</v>
      </c>
    </row>
    <row r="34" ht="15.75" customHeight="1">
      <c r="A34" s="1">
        <v>2.0</v>
      </c>
      <c r="B34" s="1" t="s">
        <v>203</v>
      </c>
      <c r="C34" s="1" t="s">
        <v>204</v>
      </c>
      <c r="D34" s="1" t="s">
        <v>205</v>
      </c>
      <c r="E34" s="1" t="s">
        <v>206</v>
      </c>
      <c r="F34" s="1">
        <f t="shared" ref="F34:J34" si="18">RANDBETWEEN(30,100)</f>
        <v>46</v>
      </c>
      <c r="G34" s="1">
        <f t="shared" si="18"/>
        <v>84</v>
      </c>
      <c r="H34" s="1">
        <f t="shared" si="18"/>
        <v>84</v>
      </c>
      <c r="I34" s="1">
        <f t="shared" si="18"/>
        <v>57</v>
      </c>
      <c r="J34" s="1">
        <f t="shared" si="18"/>
        <v>42</v>
      </c>
      <c r="K34" s="1">
        <f t="shared" si="19"/>
        <v>313</v>
      </c>
      <c r="L34" s="1">
        <f t="shared" si="20"/>
        <v>62.6</v>
      </c>
      <c r="M34" s="1" t="str">
        <f t="shared" si="21"/>
        <v>B</v>
      </c>
    </row>
    <row r="35" ht="15.75" customHeight="1">
      <c r="A35" s="1">
        <v>3.0</v>
      </c>
      <c r="B35" s="1" t="s">
        <v>207</v>
      </c>
      <c r="C35" s="1" t="s">
        <v>208</v>
      </c>
      <c r="D35" s="1" t="s">
        <v>209</v>
      </c>
      <c r="E35" s="1" t="s">
        <v>210</v>
      </c>
      <c r="F35" s="1">
        <f t="shared" ref="F35:J35" si="22">RANDBETWEEN(30,100)</f>
        <v>71</v>
      </c>
      <c r="G35" s="1">
        <f t="shared" si="22"/>
        <v>66</v>
      </c>
      <c r="H35" s="1">
        <f t="shared" si="22"/>
        <v>62</v>
      </c>
      <c r="I35" s="1">
        <f t="shared" si="22"/>
        <v>36</v>
      </c>
      <c r="J35" s="1">
        <f t="shared" si="22"/>
        <v>46</v>
      </c>
      <c r="K35" s="1">
        <f t="shared" si="19"/>
        <v>281</v>
      </c>
      <c r="L35" s="1">
        <f t="shared" si="20"/>
        <v>56.2</v>
      </c>
      <c r="M35" s="1" t="str">
        <f t="shared" si="21"/>
        <v>C</v>
      </c>
    </row>
    <row r="36" ht="15.75" customHeight="1">
      <c r="A36" s="1">
        <v>4.0</v>
      </c>
      <c r="B36" s="1" t="s">
        <v>211</v>
      </c>
      <c r="C36" s="1" t="s">
        <v>208</v>
      </c>
      <c r="D36" s="1" t="s">
        <v>209</v>
      </c>
      <c r="E36" s="1" t="s">
        <v>212</v>
      </c>
      <c r="F36" s="1">
        <f t="shared" ref="F36:J36" si="23">RANDBETWEEN(30,100)</f>
        <v>95</v>
      </c>
      <c r="G36" s="1">
        <f t="shared" si="23"/>
        <v>30</v>
      </c>
      <c r="H36" s="1">
        <f t="shared" si="23"/>
        <v>53</v>
      </c>
      <c r="I36" s="1">
        <f t="shared" si="23"/>
        <v>33</v>
      </c>
      <c r="J36" s="1">
        <f t="shared" si="23"/>
        <v>38</v>
      </c>
      <c r="K36" s="1">
        <f t="shared" si="19"/>
        <v>249</v>
      </c>
      <c r="L36" s="1">
        <f t="shared" si="20"/>
        <v>49.8</v>
      </c>
      <c r="M36" s="1" t="str">
        <f t="shared" si="21"/>
        <v>C</v>
      </c>
    </row>
    <row r="37" ht="15.75" customHeight="1">
      <c r="A37" s="1">
        <v>5.0</v>
      </c>
      <c r="B37" s="1" t="s">
        <v>213</v>
      </c>
      <c r="C37" s="1" t="s">
        <v>200</v>
      </c>
      <c r="D37" s="1" t="s">
        <v>201</v>
      </c>
      <c r="E37" s="1" t="s">
        <v>214</v>
      </c>
      <c r="F37" s="1">
        <f t="shared" ref="F37:J37" si="24">RANDBETWEEN(30,100)</f>
        <v>30</v>
      </c>
      <c r="G37" s="1">
        <f t="shared" si="24"/>
        <v>48</v>
      </c>
      <c r="H37" s="1">
        <f t="shared" si="24"/>
        <v>62</v>
      </c>
      <c r="I37" s="1">
        <f t="shared" si="24"/>
        <v>47</v>
      </c>
      <c r="J37" s="1">
        <f t="shared" si="24"/>
        <v>30</v>
      </c>
      <c r="K37" s="1">
        <f t="shared" si="19"/>
        <v>217</v>
      </c>
      <c r="L37" s="1">
        <f t="shared" si="20"/>
        <v>43.4</v>
      </c>
      <c r="M37" s="1" t="str">
        <f t="shared" si="21"/>
        <v>C</v>
      </c>
    </row>
    <row r="38" ht="15.75" customHeight="1">
      <c r="A38" s="1">
        <v>6.0</v>
      </c>
      <c r="B38" s="1" t="s">
        <v>215</v>
      </c>
      <c r="C38" s="1" t="s">
        <v>204</v>
      </c>
      <c r="D38" s="1" t="s">
        <v>205</v>
      </c>
      <c r="E38" s="1" t="s">
        <v>216</v>
      </c>
      <c r="F38" s="1">
        <f t="shared" ref="F38:J38" si="25">RANDBETWEEN(30,100)</f>
        <v>74</v>
      </c>
      <c r="G38" s="1">
        <f t="shared" si="25"/>
        <v>56</v>
      </c>
      <c r="H38" s="1">
        <f t="shared" si="25"/>
        <v>30</v>
      </c>
      <c r="I38" s="1">
        <f t="shared" si="25"/>
        <v>66</v>
      </c>
      <c r="J38" s="1">
        <f t="shared" si="25"/>
        <v>83</v>
      </c>
      <c r="K38" s="1">
        <f t="shared" si="19"/>
        <v>309</v>
      </c>
      <c r="L38" s="1">
        <f t="shared" si="20"/>
        <v>61.8</v>
      </c>
      <c r="M38" s="1" t="str">
        <f t="shared" si="21"/>
        <v>B</v>
      </c>
    </row>
    <row r="39" ht="15.75" customHeight="1"/>
    <row r="40" ht="15.75" customHeight="1">
      <c r="A40" s="1" t="s">
        <v>187</v>
      </c>
      <c r="B40" s="1" t="s">
        <v>162</v>
      </c>
      <c r="C40" s="1" t="s">
        <v>190</v>
      </c>
      <c r="D40" s="1" t="s">
        <v>191</v>
      </c>
      <c r="E40" s="1" t="s">
        <v>192</v>
      </c>
      <c r="F40" s="1" t="s">
        <v>193</v>
      </c>
      <c r="G40" s="1" t="s">
        <v>194</v>
      </c>
      <c r="H40" s="1" t="s">
        <v>195</v>
      </c>
      <c r="I40" s="1" t="s">
        <v>196</v>
      </c>
      <c r="J40" s="1" t="s">
        <v>197</v>
      </c>
      <c r="K40" s="1" t="s">
        <v>171</v>
      </c>
      <c r="L40" s="1" t="s">
        <v>6</v>
      </c>
      <c r="M40" s="1" t="s">
        <v>198</v>
      </c>
    </row>
    <row r="41" ht="15.75" customHeight="1">
      <c r="A41" s="1">
        <v>1.0</v>
      </c>
      <c r="B41" s="1" t="s">
        <v>199</v>
      </c>
      <c r="C41" s="1" t="str">
        <f t="shared" ref="C41:M41" si="26">VLOOKUP(B41,B33:M38,2,0)</f>
        <v>BACHAELOR'S</v>
      </c>
      <c r="D41" s="1" t="str">
        <f t="shared" si="26"/>
        <v>B1</v>
      </c>
      <c r="E41" s="1" t="str">
        <f t="shared" si="26"/>
        <v>UK</v>
      </c>
      <c r="F41" s="1">
        <f t="shared" si="26"/>
        <v>42</v>
      </c>
      <c r="G41" s="1">
        <f t="shared" si="26"/>
        <v>40</v>
      </c>
      <c r="H41" s="1">
        <f t="shared" si="26"/>
        <v>35</v>
      </c>
      <c r="I41" s="1">
        <f t="shared" si="26"/>
        <v>93</v>
      </c>
      <c r="J41" s="1">
        <f t="shared" si="26"/>
        <v>80</v>
      </c>
      <c r="K41" s="1">
        <f t="shared" si="26"/>
        <v>290</v>
      </c>
      <c r="L41" s="1">
        <f t="shared" si="26"/>
        <v>58</v>
      </c>
      <c r="M41" s="1" t="str">
        <f t="shared" si="26"/>
        <v>C</v>
      </c>
    </row>
    <row r="42" ht="15.75" customHeight="1">
      <c r="A42" s="1">
        <v>2.0</v>
      </c>
      <c r="B42" s="1" t="s">
        <v>203</v>
      </c>
      <c r="C42" s="1" t="str">
        <f t="shared" ref="C42:M42" si="27">VLOOKUP(B42,B34:M39,2,0)</f>
        <v>MASTER'S</v>
      </c>
      <c r="D42" s="1" t="str">
        <f t="shared" si="27"/>
        <v>M1</v>
      </c>
      <c r="E42" s="1" t="str">
        <f t="shared" si="27"/>
        <v>USA</v>
      </c>
      <c r="F42" s="1">
        <f t="shared" si="27"/>
        <v>46</v>
      </c>
      <c r="G42" s="1">
        <f t="shared" si="27"/>
        <v>84</v>
      </c>
      <c r="H42" s="1">
        <f t="shared" si="27"/>
        <v>84</v>
      </c>
      <c r="I42" s="1">
        <f t="shared" si="27"/>
        <v>57</v>
      </c>
      <c r="J42" s="1">
        <f t="shared" si="27"/>
        <v>42</v>
      </c>
      <c r="K42" s="1">
        <f t="shared" si="27"/>
        <v>313</v>
      </c>
      <c r="L42" s="1">
        <f t="shared" si="27"/>
        <v>62.6</v>
      </c>
      <c r="M42" s="1" t="str">
        <f t="shared" si="27"/>
        <v>B</v>
      </c>
    </row>
    <row r="43" ht="15.75" customHeight="1">
      <c r="A43" s="1">
        <v>3.0</v>
      </c>
      <c r="B43" s="1" t="s">
        <v>207</v>
      </c>
      <c r="C43" s="1" t="str">
        <f t="shared" ref="C43:M43" si="28">VLOOKUP(B43,B35:M40,2,0)</f>
        <v>DIPLOMA</v>
      </c>
      <c r="D43" s="1" t="str">
        <f t="shared" si="28"/>
        <v>D1</v>
      </c>
      <c r="E43" s="1" t="str">
        <f t="shared" si="28"/>
        <v>JAPAN</v>
      </c>
      <c r="F43" s="1">
        <f t="shared" si="28"/>
        <v>71</v>
      </c>
      <c r="G43" s="1">
        <f t="shared" si="28"/>
        <v>66</v>
      </c>
      <c r="H43" s="1">
        <f t="shared" si="28"/>
        <v>62</v>
      </c>
      <c r="I43" s="1">
        <f t="shared" si="28"/>
        <v>36</v>
      </c>
      <c r="J43" s="1">
        <f t="shared" si="28"/>
        <v>46</v>
      </c>
      <c r="K43" s="1">
        <f t="shared" si="28"/>
        <v>281</v>
      </c>
      <c r="L43" s="1">
        <f t="shared" si="28"/>
        <v>56.2</v>
      </c>
      <c r="M43" s="1" t="str">
        <f t="shared" si="28"/>
        <v>C</v>
      </c>
    </row>
    <row r="44" ht="15.75" customHeight="1">
      <c r="A44" s="1">
        <v>4.0</v>
      </c>
      <c r="B44" s="1" t="s">
        <v>211</v>
      </c>
      <c r="C44" s="1" t="str">
        <f t="shared" ref="C44:M44" si="29">VLOOKUP(B44,B36:M41,2,0)</f>
        <v>DIPLOMA</v>
      </c>
      <c r="D44" s="1" t="str">
        <f t="shared" si="29"/>
        <v>D1</v>
      </c>
      <c r="E44" s="1" t="str">
        <f t="shared" si="29"/>
        <v>CHINA</v>
      </c>
      <c r="F44" s="1">
        <f t="shared" si="29"/>
        <v>95</v>
      </c>
      <c r="G44" s="1">
        <f t="shared" si="29"/>
        <v>30</v>
      </c>
      <c r="H44" s="1">
        <f t="shared" si="29"/>
        <v>53</v>
      </c>
      <c r="I44" s="1">
        <f t="shared" si="29"/>
        <v>33</v>
      </c>
      <c r="J44" s="1">
        <f t="shared" si="29"/>
        <v>38</v>
      </c>
      <c r="K44" s="1">
        <f t="shared" si="29"/>
        <v>249</v>
      </c>
      <c r="L44" s="1">
        <f t="shared" si="29"/>
        <v>49.8</v>
      </c>
      <c r="M44" s="1" t="str">
        <f t="shared" si="29"/>
        <v>C</v>
      </c>
    </row>
    <row r="45" ht="15.75" customHeight="1">
      <c r="A45" s="1">
        <v>5.0</v>
      </c>
      <c r="B45" s="1" t="s">
        <v>213</v>
      </c>
      <c r="C45" s="1" t="str">
        <f t="shared" ref="C45:M45" si="30">VLOOKUP(B45,B37:M42,2,0)</f>
        <v>BACHAELOR'S</v>
      </c>
      <c r="D45" s="1" t="str">
        <f t="shared" si="30"/>
        <v>B1</v>
      </c>
      <c r="E45" s="1" t="str">
        <f t="shared" si="30"/>
        <v>CANADA</v>
      </c>
      <c r="F45" s="1">
        <f t="shared" si="30"/>
        <v>30</v>
      </c>
      <c r="G45" s="1">
        <f t="shared" si="30"/>
        <v>48</v>
      </c>
      <c r="H45" s="1">
        <f t="shared" si="30"/>
        <v>62</v>
      </c>
      <c r="I45" s="1">
        <f t="shared" si="30"/>
        <v>47</v>
      </c>
      <c r="J45" s="1">
        <f t="shared" si="30"/>
        <v>30</v>
      </c>
      <c r="K45" s="1">
        <f t="shared" si="30"/>
        <v>217</v>
      </c>
      <c r="L45" s="1">
        <f t="shared" si="30"/>
        <v>43.4</v>
      </c>
      <c r="M45" s="1" t="str">
        <f t="shared" si="30"/>
        <v>C</v>
      </c>
    </row>
    <row r="46" ht="15.75" customHeight="1">
      <c r="A46" s="1">
        <v>6.0</v>
      </c>
      <c r="B46" s="1" t="s">
        <v>215</v>
      </c>
      <c r="C46" s="1" t="str">
        <f t="shared" ref="C46:M46" si="31">VLOOKUP(B46,B38:M43,2,0)</f>
        <v>MASTER'S</v>
      </c>
      <c r="D46" s="1" t="str">
        <f t="shared" si="31"/>
        <v>M1</v>
      </c>
      <c r="E46" s="1" t="str">
        <f t="shared" si="31"/>
        <v>FRANCE</v>
      </c>
      <c r="F46" s="1">
        <f t="shared" si="31"/>
        <v>74</v>
      </c>
      <c r="G46" s="1">
        <f t="shared" si="31"/>
        <v>56</v>
      </c>
      <c r="H46" s="1">
        <f t="shared" si="31"/>
        <v>30</v>
      </c>
      <c r="I46" s="1">
        <f t="shared" si="31"/>
        <v>66</v>
      </c>
      <c r="J46" s="1">
        <f t="shared" si="31"/>
        <v>83</v>
      </c>
      <c r="K46" s="1">
        <f t="shared" si="31"/>
        <v>309</v>
      </c>
      <c r="L46" s="1">
        <f t="shared" si="31"/>
        <v>61.8</v>
      </c>
      <c r="M46" s="1" t="str">
        <f t="shared" si="31"/>
        <v>B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A58" s="1" t="s">
        <v>217</v>
      </c>
    </row>
    <row r="59" ht="15.75" customHeight="1"/>
    <row r="60" ht="15.75" customHeight="1">
      <c r="A60" s="1" t="s">
        <v>218</v>
      </c>
      <c r="B60" s="1" t="s">
        <v>102</v>
      </c>
      <c r="C60" s="1" t="s">
        <v>103</v>
      </c>
      <c r="D60" s="1" t="s">
        <v>104</v>
      </c>
      <c r="E60" s="1" t="s">
        <v>105</v>
      </c>
      <c r="F60" s="1" t="s">
        <v>106</v>
      </c>
      <c r="G60" s="1" t="s">
        <v>107</v>
      </c>
      <c r="H60" s="1" t="s">
        <v>108</v>
      </c>
    </row>
    <row r="61" ht="15.75" customHeight="1">
      <c r="A61" s="1" t="s">
        <v>154</v>
      </c>
      <c r="B61" s="1">
        <v>51.0</v>
      </c>
      <c r="C61" s="1">
        <v>23.0</v>
      </c>
      <c r="D61" s="1">
        <v>32.0</v>
      </c>
      <c r="E61" s="1">
        <v>67.0</v>
      </c>
      <c r="F61" s="1">
        <v>45.0</v>
      </c>
      <c r="G61" s="1">
        <v>34.0</v>
      </c>
      <c r="H61" s="1">
        <v>45.0</v>
      </c>
    </row>
    <row r="62" ht="15.75" customHeight="1"/>
    <row r="63" ht="15.75" customHeight="1"/>
    <row r="64" ht="15.75" customHeight="1">
      <c r="C64" s="1" t="s">
        <v>108</v>
      </c>
      <c r="D64" s="1">
        <f>HLOOKUP(C64,B60:H61,2,0)</f>
        <v>45</v>
      </c>
    </row>
    <row r="65" ht="15.75" customHeight="1"/>
    <row r="66" ht="15.75" customHeight="1">
      <c r="A66" s="1" t="s">
        <v>219</v>
      </c>
      <c r="B66" s="1" t="s">
        <v>153</v>
      </c>
      <c r="C66" s="1" t="s">
        <v>220</v>
      </c>
      <c r="D66" s="1" t="s">
        <v>221</v>
      </c>
      <c r="E66" s="1" t="s">
        <v>154</v>
      </c>
    </row>
    <row r="67" ht="15.75" customHeight="1">
      <c r="A67" s="1">
        <v>55555.0</v>
      </c>
      <c r="B67" s="1" t="s">
        <v>102</v>
      </c>
      <c r="C67" s="1" t="s">
        <v>222</v>
      </c>
      <c r="D67" s="1">
        <v>35000.0</v>
      </c>
      <c r="E67" s="1">
        <v>34.0</v>
      </c>
    </row>
    <row r="68" ht="15.75" customHeight="1">
      <c r="A68" s="1">
        <v>55556.0</v>
      </c>
      <c r="B68" s="1" t="s">
        <v>103</v>
      </c>
      <c r="C68" s="1" t="s">
        <v>223</v>
      </c>
      <c r="D68" s="1">
        <v>45000.0</v>
      </c>
      <c r="E68" s="1">
        <v>34.0</v>
      </c>
      <c r="H68" s="1">
        <v>55562.0</v>
      </c>
      <c r="I68" s="1" t="str">
        <f>LOOKUP(H68,A67:C76)</f>
        <v>udaipur</v>
      </c>
    </row>
    <row r="69" ht="15.75" customHeight="1">
      <c r="A69" s="1">
        <v>55557.0</v>
      </c>
      <c r="B69" s="1" t="s">
        <v>104</v>
      </c>
      <c r="C69" s="1" t="s">
        <v>224</v>
      </c>
      <c r="D69" s="1">
        <v>55000.0</v>
      </c>
      <c r="E69" s="1">
        <v>23.0</v>
      </c>
      <c r="H69" s="1">
        <v>55555.0</v>
      </c>
      <c r="I69" s="1">
        <f>LOOKUP(H69,A67:D76)</f>
        <v>35000</v>
      </c>
    </row>
    <row r="70" ht="15.75" customHeight="1">
      <c r="A70" s="1">
        <v>55558.0</v>
      </c>
      <c r="B70" s="1" t="s">
        <v>105</v>
      </c>
      <c r="C70" s="1" t="s">
        <v>225</v>
      </c>
      <c r="D70" s="1">
        <v>65000.0</v>
      </c>
      <c r="E70" s="1">
        <v>54.0</v>
      </c>
    </row>
    <row r="71" ht="15.75" customHeight="1">
      <c r="A71" s="1">
        <v>55559.0</v>
      </c>
      <c r="B71" s="1" t="s">
        <v>106</v>
      </c>
      <c r="C71" s="1" t="s">
        <v>226</v>
      </c>
      <c r="D71" s="1">
        <v>75000.0</v>
      </c>
      <c r="E71" s="1">
        <v>34.0</v>
      </c>
    </row>
    <row r="72" ht="15.75" customHeight="1">
      <c r="A72" s="1">
        <v>55560.0</v>
      </c>
      <c r="B72" s="1" t="s">
        <v>107</v>
      </c>
      <c r="C72" s="1" t="s">
        <v>227</v>
      </c>
      <c r="D72" s="1">
        <v>85000.0</v>
      </c>
      <c r="E72" s="1">
        <v>23.0</v>
      </c>
    </row>
    <row r="73" ht="15.75" customHeight="1">
      <c r="A73" s="1">
        <v>55561.0</v>
      </c>
      <c r="B73" s="1" t="s">
        <v>108</v>
      </c>
      <c r="C73" s="1" t="s">
        <v>228</v>
      </c>
      <c r="D73" s="1">
        <v>95000.0</v>
      </c>
      <c r="E73" s="1">
        <v>46.0</v>
      </c>
    </row>
    <row r="74" ht="15.75" customHeight="1">
      <c r="A74" s="1">
        <v>55562.0</v>
      </c>
      <c r="B74" s="1" t="s">
        <v>109</v>
      </c>
      <c r="C74" s="1" t="s">
        <v>229</v>
      </c>
      <c r="D74" s="1">
        <v>105000.0</v>
      </c>
      <c r="E74" s="1">
        <v>43.0</v>
      </c>
    </row>
    <row r="75" ht="15.75" customHeight="1">
      <c r="A75" s="1">
        <v>55563.0</v>
      </c>
      <c r="B75" s="1" t="s">
        <v>110</v>
      </c>
      <c r="C75" s="1" t="s">
        <v>230</v>
      </c>
      <c r="D75" s="1">
        <v>115000.0</v>
      </c>
      <c r="E75" s="1">
        <v>45.0</v>
      </c>
    </row>
    <row r="76" ht="15.75" customHeight="1">
      <c r="A76" s="1">
        <v>55564.0</v>
      </c>
      <c r="B76" s="1" t="s">
        <v>111</v>
      </c>
      <c r="C76" s="1" t="s">
        <v>231</v>
      </c>
      <c r="D76" s="1">
        <v>125000.0</v>
      </c>
      <c r="E76" s="1">
        <v>23.0</v>
      </c>
    </row>
    <row r="77" ht="15.75" customHeight="1"/>
    <row r="78" ht="15.75" customHeight="1"/>
    <row r="79" ht="15.75" customHeight="1"/>
    <row r="80" ht="15.75" customHeight="1">
      <c r="D80" s="1" t="s">
        <v>219</v>
      </c>
      <c r="E80" s="1" t="s">
        <v>153</v>
      </c>
      <c r="F80" s="1" t="s">
        <v>220</v>
      </c>
      <c r="G80" s="1" t="s">
        <v>221</v>
      </c>
      <c r="H80" s="1" t="s">
        <v>154</v>
      </c>
    </row>
    <row r="81" ht="15.75" customHeight="1">
      <c r="D81" s="1">
        <v>55556.0</v>
      </c>
      <c r="E81" s="1" t="str">
        <f>VLOOKUP(D81,A67:E76,2,0)</f>
        <v>b</v>
      </c>
      <c r="F81" s="1" t="str">
        <f t="array" ref="F81">VLOOKUP(E81,B67:F76,{2,3,4,5},0)</f>
        <v>mumbai</v>
      </c>
      <c r="G81" s="1">
        <f t="shared" ref="G81:H81" si="32">VLOOKUP(F81,C67:G76,2,0)</f>
        <v>45000</v>
      </c>
      <c r="H81" s="1">
        <f t="shared" si="32"/>
        <v>34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G2 E6">
      <formula1>$B$2:$B$7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6" width="8.71"/>
  </cols>
  <sheetData>
    <row r="1" ht="24.0" customHeight="1">
      <c r="A1" s="1" t="s">
        <v>232</v>
      </c>
    </row>
    <row r="2" ht="18.75" customHeight="1">
      <c r="A2" s="1" t="s">
        <v>233</v>
      </c>
    </row>
    <row r="3" ht="22.5" customHeight="1">
      <c r="A3" s="1" t="s">
        <v>234</v>
      </c>
    </row>
    <row r="4">
      <c r="A4" s="1" t="s">
        <v>235</v>
      </c>
    </row>
    <row r="5">
      <c r="A5" s="1" t="s">
        <v>233</v>
      </c>
    </row>
    <row r="6">
      <c r="A6" s="1" t="s">
        <v>233</v>
      </c>
    </row>
    <row r="7">
      <c r="A7" s="1" t="s">
        <v>233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71"/>
    <col customWidth="1" min="3" max="3" width="23.86"/>
    <col customWidth="1" min="4" max="4" width="12.57"/>
    <col customWidth="1" min="5" max="5" width="15.0"/>
    <col customWidth="1" min="6" max="6" width="17.43"/>
    <col customWidth="1" min="7" max="7" width="15.0"/>
    <col customWidth="1" min="8" max="8" width="12.0"/>
    <col customWidth="1" min="9" max="9" width="19.0"/>
    <col customWidth="1" min="10" max="10" width="12.0"/>
    <col customWidth="1" min="11" max="11" width="14.57"/>
    <col customWidth="1" min="12" max="13" width="13.86"/>
    <col customWidth="1" min="14" max="14" width="13.71"/>
    <col customWidth="1" min="15" max="26" width="8.71"/>
  </cols>
  <sheetData>
    <row r="6">
      <c r="K6" s="1" t="s">
        <v>236</v>
      </c>
      <c r="N6" s="1">
        <f>(L11-250000)*0.05</f>
        <v>81500</v>
      </c>
    </row>
    <row r="8">
      <c r="C8" s="1" t="s">
        <v>237</v>
      </c>
      <c r="K8" s="1" t="s">
        <v>112</v>
      </c>
      <c r="L8" s="18">
        <v>2000000.0</v>
      </c>
      <c r="N8" s="1">
        <f>(L11-1000000)*0.3</f>
        <v>264000</v>
      </c>
    </row>
    <row r="9">
      <c r="A9" s="1" t="s">
        <v>156</v>
      </c>
      <c r="B9" s="1" t="s">
        <v>238</v>
      </c>
      <c r="C9" s="1" t="s">
        <v>239</v>
      </c>
      <c r="D9" s="1" t="s">
        <v>240</v>
      </c>
      <c r="E9" s="1" t="s">
        <v>241</v>
      </c>
      <c r="K9" s="1" t="s">
        <v>242</v>
      </c>
      <c r="L9" s="1">
        <v>70000.0</v>
      </c>
    </row>
    <row r="10">
      <c r="K10" s="1" t="s">
        <v>243</v>
      </c>
      <c r="L10" s="1">
        <v>50000.0</v>
      </c>
    </row>
    <row r="11">
      <c r="K11" s="1" t="s">
        <v>244</v>
      </c>
      <c r="L11" s="18">
        <f>(L8-(L9+L10))</f>
        <v>1880000</v>
      </c>
    </row>
    <row r="12">
      <c r="K12" s="1" t="s">
        <v>245</v>
      </c>
      <c r="L12" s="1">
        <f>IF(L11&gt;250000,5%,IF(L11&gt;500000,20%,IF(L11&gt;1000000,30%,nil)))</f>
        <v>0.05</v>
      </c>
    </row>
    <row r="13">
      <c r="K13" s="1" t="s">
        <v>246</v>
      </c>
      <c r="L13" s="1">
        <f>IF(L11&gt;250000,(L11-250000)*0.05,IF(L11&gt;500000,(L11-250000)*0.05+(L11-500000)*0.2,IF(L11&gt;1000000,(L11-250000)*0.05+(L11-500000)*0.2+(L11-1000000)*0.3,nil)))</f>
        <v>81500</v>
      </c>
      <c r="N13" s="1">
        <f>IF(L11&lt;250000,nil,IF(L11&lt;=500000,(L11-250000)*0.05,IF(L11&lt;=1000000,12500+(L11-500000)*0.2,12500+100000+(L11-1000000)*0.3)))</f>
        <v>376500</v>
      </c>
    </row>
    <row r="14">
      <c r="K14" s="1" t="s">
        <v>247</v>
      </c>
      <c r="L14" s="18">
        <f>L11-L13</f>
        <v>1798500</v>
      </c>
    </row>
    <row r="17">
      <c r="K17" s="1" t="s">
        <v>248</v>
      </c>
    </row>
    <row r="18">
      <c r="K18" s="1" t="s">
        <v>156</v>
      </c>
      <c r="L18" s="1">
        <v>2000000.0</v>
      </c>
    </row>
    <row r="19">
      <c r="K19" s="1" t="s">
        <v>242</v>
      </c>
      <c r="L19" s="1">
        <v>70000.0</v>
      </c>
    </row>
    <row r="20">
      <c r="K20" s="1" t="s">
        <v>243</v>
      </c>
      <c r="L20" s="1">
        <v>50000.0</v>
      </c>
    </row>
    <row r="21" ht="15.75" customHeight="1">
      <c r="K21" s="1" t="s">
        <v>244</v>
      </c>
      <c r="L21" s="1">
        <f>L18-L19</f>
        <v>1930000</v>
      </c>
    </row>
    <row r="22" ht="15.75" customHeight="1"/>
    <row r="23" ht="15.75" customHeight="1">
      <c r="K23" s="1" t="s">
        <v>245</v>
      </c>
      <c r="L23" s="1">
        <f>IF(L11&gt;1000000,30%,IF(L11&gt;500000,20%,IF(L11&gt;250000,10%,nil)))</f>
        <v>0.3</v>
      </c>
    </row>
    <row r="24" ht="15.75" customHeight="1">
      <c r="K24" s="1" t="s">
        <v>249</v>
      </c>
      <c r="L24" s="1">
        <f>IF(L21&gt;300000,(L21-300000)*0.05,IF(L21&gt;600000,15000+(L21-600000)*0.1,IF(L21&gt;1200000,15000+30000+(L21-1200000)*0.2,IF(L21&gt;1500000,15000+30000+90000+(L21-1500000)*0.3,nil))))</f>
        <v>81500</v>
      </c>
      <c r="N24" s="1">
        <f>IF(L21&lt;300000,nil,IF(L21&lt;=600000,(L21-300000)*0.05,IF(L21&lt;=900000,15000+(L21-600000)*0.1,IF(L21&lt;=120000,15000+30000+(L21-900000)*0.15,IF(L21&lt;=1500000,15000+30000+45000+(L21-1200000)*0.2,15000+30000+45000+60000+(L21-1500000)*0.3)))))</f>
        <v>279000</v>
      </c>
    </row>
    <row r="25" ht="15.75" customHeight="1">
      <c r="K25" s="1" t="s">
        <v>247</v>
      </c>
      <c r="L25" s="1">
        <f>L21-L24</f>
        <v>1848500</v>
      </c>
      <c r="N25" s="1">
        <f>IF(L21&lt;=300000,nil,IF(L21&lt;=600000,(L21-300000)*0.05,IF(L21&lt;=900000,(L21-300000)*0.05+(L21-600000)*0.1,IF(L21&lt;=1200000,(L21-300000)*0.05+(L21-600000)*0.1+(L21-900000)*0.15,IF(L21&lt;=1500000,(L21-300000)*0.05+(L21-600000)*0.1+(L21-900000)*0.15+(L21-120000)*0.2,(L21-300000)*0.05+(L21-600000)*0.1+(L21-900000)*0.15+(L21-120000)*0.2+(L21-1500000)*0.3)))))</f>
        <v>860000</v>
      </c>
    </row>
    <row r="26" ht="17.25" hidden="1" customHeight="1">
      <c r="A26" s="19" t="s">
        <v>250</v>
      </c>
      <c r="B26" s="20" t="s">
        <v>251</v>
      </c>
      <c r="C26" s="20" t="s">
        <v>252</v>
      </c>
      <c r="D26" s="20" t="s">
        <v>253</v>
      </c>
      <c r="E26" s="20" t="s">
        <v>254</v>
      </c>
      <c r="F26" s="20" t="s">
        <v>255</v>
      </c>
      <c r="G26" s="20" t="s">
        <v>256</v>
      </c>
      <c r="H26" s="20" t="s">
        <v>257</v>
      </c>
      <c r="I26" s="20" t="s">
        <v>258</v>
      </c>
      <c r="J26" s="20" t="s">
        <v>259</v>
      </c>
      <c r="K26" s="20" t="s">
        <v>260</v>
      </c>
      <c r="L26" s="20" t="s">
        <v>261</v>
      </c>
      <c r="M26" s="20" t="s">
        <v>262</v>
      </c>
      <c r="N26" s="21" t="s">
        <v>263</v>
      </c>
    </row>
    <row r="27" ht="9.0" hidden="1" customHeight="1">
      <c r="A27" s="22"/>
      <c r="B27" s="23"/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</row>
    <row r="28" ht="30.0" customHeight="1">
      <c r="A28" s="26" t="s">
        <v>264</v>
      </c>
      <c r="B28" s="27"/>
      <c r="C28" s="28"/>
      <c r="D28" s="29"/>
      <c r="E28" s="29"/>
      <c r="F28" s="30" t="s">
        <v>265</v>
      </c>
      <c r="G28" s="30"/>
      <c r="H28" s="30"/>
      <c r="I28" s="30"/>
      <c r="J28" s="30"/>
      <c r="K28" s="30"/>
      <c r="L28" s="30"/>
      <c r="M28" s="30"/>
      <c r="N28" s="31"/>
    </row>
    <row r="29" ht="15.75" customHeight="1">
      <c r="A29" s="26"/>
      <c r="B29" s="27"/>
      <c r="C29" s="27"/>
      <c r="D29" s="32"/>
      <c r="E29" s="32"/>
      <c r="F29" s="33"/>
      <c r="G29" s="33"/>
      <c r="H29" s="33"/>
      <c r="I29" s="33"/>
      <c r="J29" s="33"/>
      <c r="K29" s="33"/>
      <c r="L29" s="33"/>
      <c r="M29" s="33"/>
      <c r="N29" s="34"/>
    </row>
    <row r="30" ht="15.75" customHeight="1">
      <c r="A30" s="35" t="s">
        <v>266</v>
      </c>
      <c r="B30" s="36" t="s">
        <v>267</v>
      </c>
      <c r="C30" s="36" t="s">
        <v>268</v>
      </c>
      <c r="D30" s="36" t="s">
        <v>269</v>
      </c>
      <c r="E30" s="36" t="s">
        <v>270</v>
      </c>
      <c r="F30" s="37" t="s">
        <v>271</v>
      </c>
      <c r="G30" s="38" t="s">
        <v>272</v>
      </c>
      <c r="H30" s="38" t="s">
        <v>273</v>
      </c>
      <c r="I30" s="37" t="s">
        <v>274</v>
      </c>
      <c r="J30" s="39" t="s">
        <v>275</v>
      </c>
      <c r="K30" s="40" t="s">
        <v>276</v>
      </c>
      <c r="L30" s="40" t="s">
        <v>277</v>
      </c>
      <c r="M30" s="40" t="s">
        <v>278</v>
      </c>
      <c r="N30" s="41" t="s">
        <v>279</v>
      </c>
    </row>
    <row r="31" ht="15.75" customHeight="1">
      <c r="A31" s="22"/>
      <c r="B31" s="23"/>
      <c r="C31" s="23"/>
      <c r="D31" s="23"/>
      <c r="E31" s="23"/>
      <c r="F31" s="23">
        <v>2000000.0</v>
      </c>
      <c r="G31" s="23">
        <v>70000.0</v>
      </c>
      <c r="H31" s="23">
        <v>50000.0</v>
      </c>
      <c r="I31" s="23">
        <f>F31-(G31+H31)</f>
        <v>1880000</v>
      </c>
      <c r="J31" s="23">
        <f t="shared" ref="J31:J33" si="1">IF(I31&lt;250000,nil,IF(I31&lt;=500000,5%,IF(I31&lt;=1000000,20%,30%)))</f>
        <v>0.3</v>
      </c>
      <c r="K31" s="23">
        <f t="shared" ref="K31:K33" si="2">IF(I31&lt;=250000,nil,IF(I31&lt;=500000,(I31-250000)*0.05,IF(I31&lt;=1000000,12500+(I31-500000)*0.2,12500+100000+(I31-1000000)*0.3)))</f>
        <v>376500</v>
      </c>
      <c r="L31" s="23">
        <f t="shared" ref="L31:L33" si="3">IF(I31&lt;5000000,0,IF(AND(I31&gt;5000000,I31&lt;=10000000),I31*0.1,IF(AND(I31&gt;10000000,I31&lt;=20000000),I31*0.15,IF(AND(I31&gt;20000000,I31&lt;=50000000),I31*0.25,I31*0.37))))</f>
        <v>0</v>
      </c>
      <c r="M31" s="23">
        <f>Assign.1!$L31*0.04</f>
        <v>0</v>
      </c>
      <c r="N31" s="42">
        <f>Assign.1!$I31-(Assign.1!$K31+Assign.1!$L31+Assign.1!$M31)</f>
        <v>1503500</v>
      </c>
    </row>
    <row r="32" ht="15.75" customHeight="1">
      <c r="A32" s="22"/>
      <c r="B32" s="23"/>
      <c r="C32" s="23"/>
      <c r="D32" s="23"/>
      <c r="E32" s="23"/>
      <c r="F32" s="23"/>
      <c r="G32" s="23"/>
      <c r="H32" s="23"/>
      <c r="I32" s="23">
        <v>5.5E8</v>
      </c>
      <c r="J32" s="23">
        <f t="shared" si="1"/>
        <v>0.3</v>
      </c>
      <c r="K32" s="23">
        <f t="shared" si="2"/>
        <v>164812500</v>
      </c>
      <c r="L32" s="23">
        <f t="shared" si="3"/>
        <v>203500000</v>
      </c>
      <c r="M32" s="23">
        <f>Assign.1!$L32*0.04</f>
        <v>8140000</v>
      </c>
      <c r="N32" s="42">
        <f>Assign.1!$I32-(Assign.1!$K32+Assign.1!$L32+Assign.1!$M32)</f>
        <v>173547500</v>
      </c>
    </row>
    <row r="33" ht="15.75" customHeight="1">
      <c r="A33" s="43"/>
      <c r="B33" s="24"/>
      <c r="C33" s="24"/>
      <c r="D33" s="24"/>
      <c r="E33" s="24"/>
      <c r="F33" s="24">
        <v>6000000.0</v>
      </c>
      <c r="G33" s="24"/>
      <c r="H33" s="24"/>
      <c r="I33" s="24">
        <v>6000000.0</v>
      </c>
      <c r="J33" s="24">
        <f t="shared" si="1"/>
        <v>0.3</v>
      </c>
      <c r="K33" s="24">
        <f t="shared" si="2"/>
        <v>1612500</v>
      </c>
      <c r="L33" s="24">
        <f t="shared" si="3"/>
        <v>600000</v>
      </c>
      <c r="M33" s="24">
        <f>Assign.1!$L33*0.04</f>
        <v>24000</v>
      </c>
      <c r="N33" s="25">
        <f>Assign.1!$I33-(Assign.1!$K33+Assign.1!$L33+Assign.1!$M33)</f>
        <v>3763500</v>
      </c>
    </row>
    <row r="34" ht="15.75" customHeight="1">
      <c r="J34" s="1">
        <f>IF(P31="yes",IF(I31&lt;250000,nil,IF(I31&lt;=500000,5%,IF(I31&lt;=1000000,20%,30%))),0)</f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A40" s="44" t="s">
        <v>280</v>
      </c>
      <c r="B40" s="45"/>
      <c r="C40" s="45"/>
      <c r="D40" s="45"/>
      <c r="E40" s="46"/>
      <c r="F40" s="47" t="s">
        <v>281</v>
      </c>
      <c r="G40" s="45"/>
      <c r="H40" s="45"/>
      <c r="I40" s="45"/>
      <c r="J40" s="45"/>
      <c r="K40" s="45"/>
      <c r="L40" s="45"/>
      <c r="M40" s="46"/>
      <c r="N40" s="48"/>
    </row>
    <row r="41" ht="15.75" customHeight="1">
      <c r="A41" s="49"/>
      <c r="B41" s="50"/>
      <c r="C41" s="50"/>
      <c r="D41" s="50"/>
      <c r="E41" s="51"/>
      <c r="F41" s="49"/>
      <c r="G41" s="50"/>
      <c r="H41" s="50"/>
      <c r="I41" s="50"/>
      <c r="J41" s="50"/>
      <c r="K41" s="50"/>
      <c r="L41" s="50"/>
      <c r="M41" s="51"/>
      <c r="N41" s="48"/>
    </row>
    <row r="42" ht="15.75" customHeight="1">
      <c r="A42" s="48" t="s">
        <v>266</v>
      </c>
      <c r="B42" s="48" t="s">
        <v>267</v>
      </c>
      <c r="C42" s="48" t="s">
        <v>268</v>
      </c>
      <c r="D42" s="48" t="s">
        <v>269</v>
      </c>
      <c r="E42" s="48" t="s">
        <v>270</v>
      </c>
      <c r="F42" s="52" t="s">
        <v>271</v>
      </c>
      <c r="G42" s="48" t="s">
        <v>272</v>
      </c>
      <c r="H42" s="48" t="s">
        <v>273</v>
      </c>
      <c r="I42" s="48" t="s">
        <v>274</v>
      </c>
      <c r="J42" s="48" t="s">
        <v>275</v>
      </c>
      <c r="K42" s="48" t="s">
        <v>276</v>
      </c>
      <c r="L42" s="48" t="s">
        <v>277</v>
      </c>
      <c r="M42" s="48" t="s">
        <v>278</v>
      </c>
      <c r="N42" s="48" t="s">
        <v>279</v>
      </c>
    </row>
    <row r="43" ht="15.75" customHeight="1">
      <c r="A43" s="4"/>
      <c r="B43" s="4"/>
      <c r="C43" s="4"/>
      <c r="D43" s="4"/>
      <c r="E43" s="4"/>
      <c r="F43" s="4">
        <v>2000000.0</v>
      </c>
      <c r="G43" s="4">
        <v>70000.0</v>
      </c>
      <c r="H43" s="4">
        <v>50000.0</v>
      </c>
      <c r="I43" s="4">
        <f>F43-G43</f>
        <v>1930000</v>
      </c>
      <c r="J43" s="4">
        <f t="shared" ref="J43:J45" si="4">IF(I43&lt;300000,nil,IF(AND(I43&gt;300000,I43&lt;=600000),5%,IF(AND(I43&gt;600000,I43&lt;=900000),10%,IF(AND(I43&gt;900000,I43&lt;=1200000),15%,IF(AND(I43&gt;1200000,I43&lt;=1500000),20%,30%)))))</f>
        <v>0.3</v>
      </c>
      <c r="K43" s="4">
        <f t="shared" ref="K43:K45" si="5">IF(I43&lt;=300000,nil,IF(I43&lt;=600000,(I43-300000)*0.05,IF(I43&lt;=900000,15000+(I43-600000)*0.1,IF(I43&lt;=1200000,15000+30000+(I43-900000)*0.15,IF(I43&lt;=1500000,15000+30000+45000+(I43-1200000)*0.2,15000+30000+45000+60000+(I43-1500000)*0.3)))))</f>
        <v>279000</v>
      </c>
      <c r="L43" s="4">
        <f t="shared" ref="L43:L45" si="6">IF(I43&lt;5000000,0,IF(AND(I43&gt;=50000000,I43&lt;=10000000),I43*0.1,IF(AND(I43&gt;10000000,I43&lt;=20000000),I43*0.15,IF(AND(I43&gt;20000000,I43&lt;=50000000),I43*0.25,I43*0.37))))</f>
        <v>0</v>
      </c>
      <c r="M43" s="53">
        <f t="shared" ref="M43:M45" si="7">L43*0.04</f>
        <v>0</v>
      </c>
      <c r="N43" s="4">
        <f t="shared" ref="N43:N45" si="8">I43-SUM(K43:M43)</f>
        <v>1651000</v>
      </c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>
        <v>5.5E8</v>
      </c>
      <c r="J44" s="4">
        <f t="shared" si="4"/>
        <v>0.3</v>
      </c>
      <c r="K44" s="4">
        <f t="shared" si="5"/>
        <v>164700000</v>
      </c>
      <c r="L44" s="4">
        <f t="shared" si="6"/>
        <v>203500000</v>
      </c>
      <c r="M44" s="53">
        <f t="shared" si="7"/>
        <v>8140000</v>
      </c>
      <c r="N44" s="4">
        <f t="shared" si="8"/>
        <v>173660000</v>
      </c>
    </row>
    <row r="45" ht="15.75" customHeight="1">
      <c r="A45" s="4"/>
      <c r="B45" s="4"/>
      <c r="C45" s="4"/>
      <c r="D45" s="4"/>
      <c r="E45" s="4"/>
      <c r="F45" s="4">
        <v>6000000.0</v>
      </c>
      <c r="G45" s="4"/>
      <c r="H45" s="4"/>
      <c r="I45" s="4">
        <v>6000000.0</v>
      </c>
      <c r="J45" s="4">
        <f t="shared" si="4"/>
        <v>0.3</v>
      </c>
      <c r="K45" s="4">
        <f t="shared" si="5"/>
        <v>1500000</v>
      </c>
      <c r="L45" s="4">
        <f t="shared" si="6"/>
        <v>2220000</v>
      </c>
      <c r="M45" s="53">
        <f t="shared" si="7"/>
        <v>88800</v>
      </c>
      <c r="N45" s="4">
        <f t="shared" si="8"/>
        <v>2191200</v>
      </c>
    </row>
    <row r="46" ht="15.75" customHeight="1"/>
    <row r="47" ht="15.75" customHeight="1"/>
    <row r="48" ht="15.75" customHeight="1"/>
    <row r="49" ht="15.75" customHeight="1">
      <c r="G49" s="54" t="s">
        <v>250</v>
      </c>
      <c r="H49" s="54" t="s">
        <v>282</v>
      </c>
      <c r="I49" s="54" t="s">
        <v>283</v>
      </c>
      <c r="J49" s="54" t="s">
        <v>284</v>
      </c>
      <c r="K49" s="54" t="s">
        <v>285</v>
      </c>
    </row>
    <row r="50" ht="15.75" customHeight="1">
      <c r="G50" s="54" t="s">
        <v>245</v>
      </c>
      <c r="H50" s="54" t="s">
        <v>135</v>
      </c>
      <c r="I50" s="54">
        <f>IF(H50="yes",IF(I$31&lt;250000,nil,IF(I$31&lt;=500000,5%,IF(I$31&lt;=1000000,20%,30%))),0)</f>
        <v>0.3</v>
      </c>
      <c r="J50" s="54" t="s">
        <v>135</v>
      </c>
      <c r="K50" s="54">
        <f>IF(J50="yes",IF(I43&lt;300000,nil,IF(AND(I43&gt;300000,I43&lt;=600000),5%,IF(AND(I43&gt;600000,I43&lt;=900000),10%,IF(AND(I43&gt;900000,I43&lt;=1200000),15%,IF(AND(I43&gt;1200000,I43&lt;=1500000),20%,30%))))),0)</f>
        <v>0.3</v>
      </c>
    </row>
    <row r="51" ht="15.75" customHeight="1">
      <c r="G51" s="54" t="s">
        <v>249</v>
      </c>
      <c r="H51" s="54" t="s">
        <v>135</v>
      </c>
      <c r="I51" s="54">
        <f>IF(H51="yes",IF(I31&lt;=250000,nil,IF(I31&lt;=500000,(I31-250000)*0.05,IF(I31&lt;=1000000,12500+(I31-500000)*0.2,12500+100000+(I31-1000000)*0.3))),0)</f>
        <v>376500</v>
      </c>
      <c r="J51" s="54" t="s">
        <v>135</v>
      </c>
      <c r="K51" s="54">
        <f>IF(J51="yes",IF(I43&lt;=300000,nil,IF(I43&lt;=600000,(I43-300000)*0.05,IF(I43&lt;=900000,15000+(I43-600000)*0.1,IF(I43&lt;=1200000,15000+30000+(I43-900000)*0.15,IF(I43&lt;=1500000,15000+30000+45000+(I43-1200000)*0.2,15000+30000+45000+60000+(I43-1500000)*0.3))))),0)</f>
        <v>279000</v>
      </c>
    </row>
    <row r="52" ht="15.75" customHeight="1">
      <c r="G52" s="54" t="s">
        <v>277</v>
      </c>
      <c r="H52" s="54" t="s">
        <v>135</v>
      </c>
      <c r="I52" s="54">
        <f>IF(H52="yes",IF(I31&lt;5000000,0,IF(AND(I31&gt;5000000,I31&lt;=10000000),I31*0.1,IF(AND(I31&gt;10000000,I31&lt;=20000000),I31*0.15,IF(AND(I31&gt;20000000,I31&lt;=50000000),I31*0.25,I31*0.37)))),0)</f>
        <v>0</v>
      </c>
      <c r="J52" s="54" t="s">
        <v>135</v>
      </c>
      <c r="K52" s="54">
        <f>IF(J52="yes",IF(I43&lt;5000000,0,IF(AND(I43&gt;=50000000,I43&lt;=10000000),I43*0.1,IF(AND(I43&gt;10000000,I43&lt;=20000000),I43*0.15,IF(AND(I43&gt;20000000,I43&lt;=50000000),I43*0.25,I43*0.37)))),0)</f>
        <v>0</v>
      </c>
    </row>
    <row r="53" ht="15.75" customHeight="1">
      <c r="G53" s="54" t="s">
        <v>247</v>
      </c>
      <c r="H53" s="54" t="s">
        <v>135</v>
      </c>
      <c r="I53" s="54">
        <f>IF(H53="yes",I31-(K31+L31),0)</f>
        <v>1503500</v>
      </c>
      <c r="J53" s="54" t="s">
        <v>135</v>
      </c>
      <c r="K53" s="54">
        <f>IF(J53="yes",I43-(K43+L43),0)</f>
        <v>1651000</v>
      </c>
    </row>
    <row r="54" ht="15.75" customHeight="1">
      <c r="B54" s="54" t="s">
        <v>286</v>
      </c>
      <c r="D54" s="1" t="s">
        <v>287</v>
      </c>
      <c r="G54" s="54" t="s">
        <v>278</v>
      </c>
      <c r="H54" s="54" t="s">
        <v>135</v>
      </c>
      <c r="I54" s="54">
        <f>IF(H54="yes",L31*0.04,0)</f>
        <v>0</v>
      </c>
      <c r="J54" s="54" t="s">
        <v>135</v>
      </c>
      <c r="K54" s="54">
        <f>IF(J54="yes",L43*0.04,0)</f>
        <v>0</v>
      </c>
    </row>
    <row r="55" ht="15.75" customHeight="1">
      <c r="B55" s="54" t="s">
        <v>287</v>
      </c>
      <c r="D55" s="1"/>
    </row>
    <row r="56" ht="15.75" customHeight="1">
      <c r="B56" s="54" t="s">
        <v>288</v>
      </c>
      <c r="D56" s="1"/>
    </row>
    <row r="57" ht="15.75" customHeight="1">
      <c r="B57" s="54" t="s">
        <v>289</v>
      </c>
      <c r="D57" s="1"/>
    </row>
    <row r="58" ht="15.75" customHeight="1">
      <c r="D58" s="1"/>
      <c r="G58" s="54" t="s">
        <v>250</v>
      </c>
      <c r="H58" s="54" t="s">
        <v>290</v>
      </c>
      <c r="I58" s="54" t="s">
        <v>291</v>
      </c>
      <c r="J58" s="54" t="s">
        <v>292</v>
      </c>
      <c r="K58" s="54" t="s">
        <v>293</v>
      </c>
    </row>
    <row r="59" ht="15.75" hidden="1" customHeight="1">
      <c r="D59" s="1"/>
      <c r="G59" s="54"/>
      <c r="H59" s="54"/>
      <c r="I59" s="54"/>
      <c r="J59" s="54"/>
      <c r="K59" s="54"/>
    </row>
    <row r="60" ht="15.75" hidden="1" customHeight="1">
      <c r="D60" s="1"/>
      <c r="G60" s="54"/>
      <c r="H60" s="54"/>
      <c r="I60" s="54"/>
      <c r="J60" s="54"/>
      <c r="K60" s="54"/>
    </row>
    <row r="61" ht="15.75" customHeight="1">
      <c r="D61" s="1"/>
      <c r="F61" s="1" t="s">
        <v>249</v>
      </c>
      <c r="G61" s="54" t="s">
        <v>294</v>
      </c>
      <c r="H61" s="54" t="s">
        <v>137</v>
      </c>
      <c r="I61" s="54"/>
      <c r="J61" s="54" t="s">
        <v>135</v>
      </c>
      <c r="K61" s="54"/>
    </row>
    <row r="62" ht="15.75" customHeight="1">
      <c r="D62" s="1"/>
      <c r="F62" s="1"/>
      <c r="G62" s="54" t="s">
        <v>295</v>
      </c>
      <c r="H62" s="54" t="s">
        <v>135</v>
      </c>
      <c r="I62" s="54"/>
      <c r="J62" s="54" t="s">
        <v>135</v>
      </c>
      <c r="K62" s="54"/>
    </row>
    <row r="63" ht="15.75" customHeight="1">
      <c r="D63" s="1"/>
      <c r="F63" s="1"/>
      <c r="G63" s="54" t="s">
        <v>249</v>
      </c>
      <c r="H63" s="54" t="s">
        <v>137</v>
      </c>
      <c r="I63" s="54"/>
      <c r="J63" s="54" t="s">
        <v>135</v>
      </c>
      <c r="K63" s="54"/>
    </row>
    <row r="64" ht="15.75" customHeight="1">
      <c r="D64" s="1"/>
      <c r="F64" s="1"/>
      <c r="G64" s="54" t="s">
        <v>277</v>
      </c>
      <c r="H64" s="54" t="s">
        <v>137</v>
      </c>
      <c r="I64" s="54"/>
      <c r="J64" s="54" t="s">
        <v>135</v>
      </c>
      <c r="K64" s="54"/>
    </row>
    <row r="65" ht="15.75" customHeight="1">
      <c r="D65" s="1"/>
      <c r="F65" s="1"/>
      <c r="G65" s="54" t="s">
        <v>278</v>
      </c>
      <c r="H65" s="54" t="s">
        <v>135</v>
      </c>
      <c r="I65" s="54"/>
      <c r="J65" s="54" t="s">
        <v>135</v>
      </c>
      <c r="K65" s="54"/>
    </row>
    <row r="66" ht="15.75" customHeight="1">
      <c r="D66" s="1"/>
      <c r="F66" s="1" t="s">
        <v>279</v>
      </c>
      <c r="G66" s="54" t="s">
        <v>279</v>
      </c>
      <c r="H66" s="54" t="s">
        <v>135</v>
      </c>
      <c r="I66" s="54"/>
      <c r="J66" s="54" t="s">
        <v>135</v>
      </c>
      <c r="K66" s="54"/>
    </row>
    <row r="67" ht="15.75" customHeight="1">
      <c r="D67" s="1"/>
      <c r="F67" s="1"/>
      <c r="H67" s="1"/>
    </row>
    <row r="68" ht="15.75" customHeight="1">
      <c r="D68" s="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E41"/>
    <mergeCell ref="F40:M41"/>
  </mergeCells>
  <dataValidations>
    <dataValidation type="list" allowBlank="1" showErrorMessage="1" sqref="H61:H67">
      <formula1>"yes,no"</formula1>
    </dataValidation>
    <dataValidation type="list" allowBlank="1" showErrorMessage="1" sqref="F61:F67">
      <formula1>"taxable amount,tax%,tax amount,surcharge,cess,net income"</formula1>
    </dataValidation>
    <dataValidation type="list" allowBlank="1" showErrorMessage="1" sqref="D54:D68">
      <formula1>"produce,meat,bakery"</formula1>
    </dataValidation>
  </dataValidations>
  <printOptions/>
  <pageMargins bottom="0.75" footer="0.0" header="0.0" left="0.7" right="0.7" top="0.75"/>
  <pageSetup orientation="portrait"/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6.14"/>
    <col customWidth="1" min="3" max="3" width="13.0"/>
    <col customWidth="1" min="4" max="4" width="18.86"/>
    <col customWidth="1" min="5" max="5" width="16.29"/>
    <col customWidth="1" min="6" max="6" width="29.57"/>
    <col customWidth="1" min="7" max="7" width="18.29"/>
    <col customWidth="1" min="8" max="8" width="8.71"/>
    <col customWidth="1" min="9" max="9" width="14.57"/>
    <col customWidth="1" min="10" max="26" width="8.71"/>
  </cols>
  <sheetData>
    <row r="1">
      <c r="A1" s="15"/>
      <c r="B1" s="55" t="s">
        <v>296</v>
      </c>
      <c r="C1" s="45"/>
      <c r="D1" s="45"/>
      <c r="E1" s="45"/>
      <c r="F1" s="46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56"/>
      <c r="F2" s="57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49"/>
      <c r="C3" s="50"/>
      <c r="D3" s="50"/>
      <c r="E3" s="50"/>
      <c r="F3" s="51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2.5" customHeight="1">
      <c r="A4" s="58" t="s">
        <v>297</v>
      </c>
      <c r="B4" s="45"/>
      <c r="C4" s="46"/>
      <c r="E4" s="59" t="s">
        <v>298</v>
      </c>
      <c r="G4" s="57"/>
    </row>
    <row r="5" ht="22.5" customHeight="1">
      <c r="A5" s="56"/>
      <c r="C5" s="57"/>
      <c r="D5" s="15"/>
      <c r="E5" s="56"/>
      <c r="G5" s="5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6.5" customHeight="1">
      <c r="A6" s="49"/>
      <c r="B6" s="50"/>
      <c r="C6" s="51"/>
      <c r="E6" s="49"/>
      <c r="F6" s="50"/>
      <c r="G6" s="51"/>
    </row>
    <row r="7" ht="16.5" customHeight="1">
      <c r="A7" s="60" t="s">
        <v>299</v>
      </c>
      <c r="B7" s="61"/>
      <c r="C7" s="62"/>
      <c r="D7" s="15"/>
      <c r="E7" s="63" t="s">
        <v>299</v>
      </c>
      <c r="F7" s="61"/>
      <c r="G7" s="62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6.5" customHeight="1">
      <c r="A8" s="49"/>
      <c r="B8" s="64" t="s">
        <v>300</v>
      </c>
      <c r="C8" s="65" t="s">
        <v>301</v>
      </c>
      <c r="D8" s="15"/>
      <c r="E8" s="49"/>
      <c r="F8" s="64" t="s">
        <v>302</v>
      </c>
      <c r="G8" s="66" t="s">
        <v>303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5.5" customHeight="1">
      <c r="A9" s="67" t="s">
        <v>304</v>
      </c>
      <c r="B9" s="68"/>
      <c r="C9" s="69" t="s">
        <v>305</v>
      </c>
      <c r="E9" s="67" t="s">
        <v>304</v>
      </c>
      <c r="F9" s="68"/>
      <c r="G9" s="70" t="s">
        <v>305</v>
      </c>
    </row>
    <row r="10" ht="15.0" customHeight="1">
      <c r="A10" s="48" t="s">
        <v>156</v>
      </c>
      <c r="B10" s="48"/>
      <c r="C10" s="4">
        <v>2000000.0</v>
      </c>
      <c r="E10" s="48" t="s">
        <v>156</v>
      </c>
      <c r="F10" s="48"/>
      <c r="G10" s="4">
        <v>2000000.0</v>
      </c>
    </row>
    <row r="11">
      <c r="A11" s="48" t="s">
        <v>238</v>
      </c>
      <c r="B11" s="48"/>
      <c r="C11" s="4">
        <v>50000.0</v>
      </c>
      <c r="E11" s="48" t="s">
        <v>238</v>
      </c>
      <c r="F11" s="48"/>
      <c r="G11" s="4">
        <v>50000.0</v>
      </c>
    </row>
    <row r="12">
      <c r="A12" s="48" t="s">
        <v>306</v>
      </c>
      <c r="B12" s="48"/>
      <c r="C12" s="4">
        <v>0.0</v>
      </c>
      <c r="E12" s="48" t="s">
        <v>306</v>
      </c>
      <c r="F12" s="48"/>
      <c r="G12" s="4"/>
    </row>
    <row r="13">
      <c r="A13" s="48" t="s">
        <v>241</v>
      </c>
      <c r="B13" s="48"/>
      <c r="C13" s="4">
        <v>25000.0</v>
      </c>
      <c r="E13" s="48" t="s">
        <v>241</v>
      </c>
      <c r="F13" s="48"/>
      <c r="G13" s="4">
        <v>25000.0</v>
      </c>
    </row>
    <row r="14">
      <c r="A14" s="48" t="s">
        <v>307</v>
      </c>
      <c r="B14" s="48"/>
      <c r="C14" s="4">
        <v>4000.0</v>
      </c>
      <c r="E14" s="48" t="s">
        <v>307</v>
      </c>
      <c r="F14" s="48"/>
      <c r="G14" s="4">
        <v>4000.0</v>
      </c>
    </row>
    <row r="15">
      <c r="A15" s="71" t="s">
        <v>308</v>
      </c>
      <c r="B15" s="48"/>
      <c r="C15" s="4">
        <f>SUM(C10:C14)</f>
        <v>2079000</v>
      </c>
      <c r="E15" s="71" t="s">
        <v>308</v>
      </c>
      <c r="F15" s="48"/>
      <c r="G15" s="4">
        <f>SUM(G10:G14)</f>
        <v>2079000</v>
      </c>
    </row>
    <row r="16">
      <c r="A16" s="48" t="s">
        <v>242</v>
      </c>
      <c r="B16" s="72"/>
      <c r="C16" s="4">
        <f>SUM(C17:C21)</f>
        <v>70000</v>
      </c>
      <c r="E16" s="48" t="s">
        <v>242</v>
      </c>
      <c r="F16" s="48"/>
      <c r="G16" s="4">
        <v>70000.0</v>
      </c>
    </row>
    <row r="17">
      <c r="A17" s="73"/>
      <c r="B17" s="74" t="s">
        <v>309</v>
      </c>
      <c r="C17" s="75">
        <v>70000.0</v>
      </c>
      <c r="D17" s="15"/>
      <c r="E17" s="48"/>
      <c r="F17" s="74" t="s">
        <v>309</v>
      </c>
      <c r="G17" s="4">
        <v>70000.0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73"/>
      <c r="B18" s="74" t="s">
        <v>310</v>
      </c>
      <c r="C18" s="75">
        <v>0.0</v>
      </c>
      <c r="D18" s="15"/>
      <c r="E18" s="48"/>
      <c r="F18" s="74" t="s">
        <v>310</v>
      </c>
      <c r="G18" s="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73"/>
      <c r="B19" s="74" t="s">
        <v>311</v>
      </c>
      <c r="C19" s="75">
        <v>0.0</v>
      </c>
      <c r="D19" s="15"/>
      <c r="E19" s="48"/>
      <c r="F19" s="74" t="s">
        <v>311</v>
      </c>
      <c r="G19" s="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73"/>
      <c r="B20" s="74" t="s">
        <v>312</v>
      </c>
      <c r="C20" s="75">
        <v>0.0</v>
      </c>
      <c r="D20" s="15"/>
      <c r="E20" s="48"/>
      <c r="F20" s="74" t="s">
        <v>312</v>
      </c>
      <c r="G20" s="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73"/>
      <c r="B21" s="74" t="s">
        <v>313</v>
      </c>
      <c r="C21" s="75">
        <v>0.0</v>
      </c>
      <c r="D21" s="15"/>
      <c r="E21" s="48"/>
      <c r="F21" s="74" t="s">
        <v>313</v>
      </c>
      <c r="G21" s="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48" t="s">
        <v>314</v>
      </c>
      <c r="B22" s="76"/>
      <c r="C22" s="4">
        <v>50000.0</v>
      </c>
      <c r="E22" s="77" t="s">
        <v>314</v>
      </c>
      <c r="F22" s="68"/>
      <c r="G22" s="4">
        <v>50000.0</v>
      </c>
    </row>
    <row r="23" ht="15.75" customHeight="1">
      <c r="A23" s="78" t="s">
        <v>244</v>
      </c>
      <c r="B23" s="68"/>
      <c r="C23" s="4">
        <f>C15-(C16+C22)</f>
        <v>1959000</v>
      </c>
      <c r="E23" s="78" t="s">
        <v>244</v>
      </c>
      <c r="F23" s="68"/>
      <c r="G23" s="4">
        <f>G15-G16</f>
        <v>2009000</v>
      </c>
    </row>
    <row r="24" ht="15.75" customHeight="1">
      <c r="A24" s="48" t="s">
        <v>245</v>
      </c>
      <c r="B24" s="4"/>
      <c r="C24" s="4">
        <f>IF(C23&lt;=2500000,0,IF(C23&lt;500000,5%,IF(C23&lt;1000000,20%,30%)))</f>
        <v>0</v>
      </c>
      <c r="E24" s="48" t="s">
        <v>245</v>
      </c>
      <c r="F24" s="4"/>
      <c r="G24" s="4">
        <f>IF(G23&lt;=2500000,0,IF(G23&lt;500000,5%,IF(G23&lt;1000000,20%,30%)))</f>
        <v>0</v>
      </c>
    </row>
    <row r="25" ht="15.75" customHeight="1">
      <c r="A25" s="48" t="s">
        <v>249</v>
      </c>
      <c r="B25" s="4"/>
      <c r="C25" s="4">
        <f>IF(C23&lt;=250000,nil,IF(C23&lt;=500000,(C23-250000)*0.05,IF(C23&lt;=1000000,12500+(C23-500000)*0.2,12500+100000+(C23-1000000)*0.3)))</f>
        <v>400200</v>
      </c>
      <c r="E25" s="48" t="s">
        <v>249</v>
      </c>
      <c r="F25" s="4"/>
      <c r="G25" s="4">
        <f>IF(G23&lt;=250000,nil,IF(G23&lt;=500000,(G23-250000)*0.05,IF(G23&lt;=1000000,12500+(G23-500000)*0.2,12500+100000+(G23-1000000)*0.3)))</f>
        <v>415200</v>
      </c>
    </row>
    <row r="26" ht="15.75" customHeight="1">
      <c r="A26" s="48" t="s">
        <v>277</v>
      </c>
      <c r="B26" s="4"/>
      <c r="C26" s="4">
        <f>IF(C23&lt;5000000,0,IF(AND(C23&gt;5000000,C23&lt;=10000000),C23*0.1,IF(AND(C23&gt;10000000,C23&lt;=20000000),C23*0.15,IF(AND(C23&gt;20000000,C23&lt;=50000000),C23*0.25,C23*0.37))))</f>
        <v>0</v>
      </c>
      <c r="E26" s="48" t="s">
        <v>277</v>
      </c>
      <c r="F26" s="4"/>
      <c r="G26" s="4">
        <f>IF(G23&lt;5000000,0,IF(AND(G23&gt;5000000,G23&lt;=10000000),G23*0.1,IF(AND(G23&gt;10000000,G23&lt;=20000000),G23*0.15,IF(AND(G23&gt;20000000,G23&lt;=50000000),G23*0.25,G23*0.37))))</f>
        <v>0</v>
      </c>
    </row>
    <row r="27" ht="15.75" customHeight="1">
      <c r="A27" s="48" t="s">
        <v>278</v>
      </c>
      <c r="B27" s="4"/>
      <c r="C27" s="4">
        <f>C26*0.04</f>
        <v>0</v>
      </c>
      <c r="E27" s="48" t="s">
        <v>278</v>
      </c>
      <c r="F27" s="4"/>
      <c r="G27" s="4">
        <f>G26*0.04</f>
        <v>0</v>
      </c>
    </row>
    <row r="28" ht="15.75" customHeight="1">
      <c r="A28" s="48" t="s">
        <v>247</v>
      </c>
      <c r="B28" s="4"/>
      <c r="C28" s="4">
        <f>C23-(C25+C26+C27)</f>
        <v>1558800</v>
      </c>
      <c r="E28" s="48" t="s">
        <v>247</v>
      </c>
      <c r="F28" s="4"/>
      <c r="G28" s="4">
        <f>G23-(G25+G26+G27)</f>
        <v>1593800</v>
      </c>
    </row>
    <row r="29" ht="15.75" customHeight="1">
      <c r="A29" s="79"/>
    </row>
    <row r="30" ht="15.75" customHeight="1">
      <c r="A30" s="79"/>
    </row>
    <row r="31" ht="15.75" customHeight="1"/>
    <row r="32" ht="37.5" customHeight="1">
      <c r="A32" s="80" t="s">
        <v>315</v>
      </c>
      <c r="B32" s="45"/>
      <c r="C32" s="45"/>
      <c r="D32" s="45"/>
      <c r="E32" s="45"/>
      <c r="F32" s="45"/>
      <c r="G32" s="45"/>
      <c r="H32" s="45"/>
      <c r="I32" s="46"/>
      <c r="L32" s="81" t="s">
        <v>316</v>
      </c>
      <c r="M32" s="82"/>
      <c r="N32" s="83"/>
    </row>
    <row r="33" ht="15.0" customHeight="1">
      <c r="A33" s="49"/>
      <c r="B33" s="50"/>
      <c r="C33" s="50"/>
      <c r="D33" s="50"/>
      <c r="E33" s="50"/>
      <c r="F33" s="50"/>
      <c r="G33" s="50"/>
      <c r="H33" s="50"/>
      <c r="I33" s="51"/>
      <c r="L33" s="84" t="s">
        <v>317</v>
      </c>
      <c r="M33" s="85"/>
      <c r="N33" s="86" t="s">
        <v>318</v>
      </c>
    </row>
    <row r="34" ht="22.5" customHeight="1">
      <c r="A34" s="87" t="s">
        <v>319</v>
      </c>
      <c r="B34" s="48" t="s">
        <v>308</v>
      </c>
      <c r="C34" s="88" t="s">
        <v>242</v>
      </c>
      <c r="D34" s="48" t="s">
        <v>244</v>
      </c>
      <c r="E34" s="48" t="s">
        <v>245</v>
      </c>
      <c r="F34" s="48" t="s">
        <v>249</v>
      </c>
      <c r="G34" s="48" t="s">
        <v>277</v>
      </c>
      <c r="H34" s="48" t="s">
        <v>278</v>
      </c>
      <c r="I34" s="48" t="s">
        <v>279</v>
      </c>
      <c r="L34" s="89">
        <v>250001.0</v>
      </c>
      <c r="M34" s="90">
        <v>500000.0</v>
      </c>
      <c r="N34" s="91">
        <v>0.05</v>
      </c>
    </row>
    <row r="35" ht="15.75" customHeight="1">
      <c r="A35" s="4">
        <v>1.0</v>
      </c>
      <c r="B35" s="4">
        <v>2000000.0</v>
      </c>
      <c r="C35" s="4">
        <v>70000.0</v>
      </c>
      <c r="D35" s="4" t="str">
        <f>B35-(#REF!+C35)</f>
        <v>#REF!</v>
      </c>
      <c r="E35" s="4" t="str">
        <f t="shared" ref="E35:E37" si="1">IF(D35&lt;250000,nil,IF(D35&lt;=500000,5%,IF(D35&lt;=1000000,20%,30%)))</f>
        <v>#REF!</v>
      </c>
      <c r="F35" s="4" t="str">
        <f t="shared" ref="F35:F37" si="2">IF(D35&lt;=250000,nil,IF(D35&lt;=500000,(D35-250000)*0.05,IF(D35&lt;=1000000,12500+(D35-500000)*0.2,12500+100000+(D35-1000000)*0.3)))</f>
        <v>#REF!</v>
      </c>
      <c r="G35" s="4" t="str">
        <f t="shared" ref="G35:G37" si="3">IF(D35&lt;5000000,0,IF(AND(D35&gt;5000000,D35&lt;=10000000),D35*0.1,IF(AND(D35&gt;10000000,D35&lt;=20000000),D35*0.15,IF(AND(D35&gt;20000000,D35&lt;=50000000),D35*0.25,D35*0.37))))</f>
        <v>#REF!</v>
      </c>
      <c r="H35" s="4" t="str">
        <f t="shared" ref="H35:H37" si="4">G35*0.04</f>
        <v>#REF!</v>
      </c>
      <c r="I35" s="4" t="str">
        <f t="shared" ref="I35:I37" si="5">D35-SUM(E35:H35)</f>
        <v>#REF!</v>
      </c>
      <c r="L35" s="89">
        <v>500001.0</v>
      </c>
      <c r="M35" s="90">
        <v>1000000.0</v>
      </c>
      <c r="N35" s="91">
        <v>0.2</v>
      </c>
    </row>
    <row r="36" ht="15.75" customHeight="1">
      <c r="A36" s="4">
        <v>2.0</v>
      </c>
      <c r="B36" s="4">
        <v>5.5E8</v>
      </c>
      <c r="C36" s="4"/>
      <c r="D36" s="4">
        <v>5.5E8</v>
      </c>
      <c r="E36" s="4">
        <f t="shared" si="1"/>
        <v>0.3</v>
      </c>
      <c r="F36" s="4">
        <f t="shared" si="2"/>
        <v>164812500</v>
      </c>
      <c r="G36" s="4">
        <f t="shared" si="3"/>
        <v>203500000</v>
      </c>
      <c r="H36" s="4">
        <f t="shared" si="4"/>
        <v>8140000</v>
      </c>
      <c r="I36" s="4">
        <f t="shared" si="5"/>
        <v>173547499.7</v>
      </c>
      <c r="L36" s="92" t="s">
        <v>320</v>
      </c>
      <c r="M36" s="93"/>
      <c r="N36" s="94">
        <v>0.3</v>
      </c>
    </row>
    <row r="37" ht="15.75" customHeight="1">
      <c r="A37" s="4">
        <v>3.0</v>
      </c>
      <c r="B37" s="4">
        <v>6000000.0</v>
      </c>
      <c r="C37" s="4"/>
      <c r="D37" s="4">
        <v>6000000.0</v>
      </c>
      <c r="E37" s="4">
        <f t="shared" si="1"/>
        <v>0.3</v>
      </c>
      <c r="F37" s="4">
        <f t="shared" si="2"/>
        <v>1612500</v>
      </c>
      <c r="G37" s="4">
        <f t="shared" si="3"/>
        <v>600000</v>
      </c>
      <c r="H37" s="4">
        <f t="shared" si="4"/>
        <v>24000</v>
      </c>
      <c r="I37" s="4">
        <f t="shared" si="5"/>
        <v>3763499.7</v>
      </c>
    </row>
    <row r="38" ht="15.75" customHeight="1">
      <c r="B38" s="95" t="s">
        <v>321</v>
      </c>
      <c r="C38" s="96"/>
      <c r="D38" s="96"/>
      <c r="E38" s="96"/>
      <c r="F38" s="68"/>
    </row>
    <row r="39" ht="15.75" customHeight="1"/>
    <row r="40" ht="15.0" customHeight="1">
      <c r="A40" s="80" t="s">
        <v>322</v>
      </c>
      <c r="B40" s="45"/>
      <c r="C40" s="45"/>
      <c r="D40" s="45"/>
      <c r="E40" s="45"/>
      <c r="F40" s="45"/>
      <c r="G40" s="45"/>
      <c r="H40" s="45"/>
      <c r="I40" s="46"/>
    </row>
    <row r="41" ht="15.0" customHeight="1">
      <c r="A41" s="49"/>
      <c r="B41" s="50"/>
      <c r="C41" s="50"/>
      <c r="D41" s="50"/>
      <c r="E41" s="50"/>
      <c r="F41" s="50"/>
      <c r="G41" s="50"/>
      <c r="H41" s="50"/>
      <c r="I41" s="51"/>
    </row>
    <row r="42" ht="37.5" customHeight="1">
      <c r="A42" s="87" t="s">
        <v>319</v>
      </c>
      <c r="B42" s="48" t="s">
        <v>308</v>
      </c>
      <c r="C42" s="88" t="s">
        <v>242</v>
      </c>
      <c r="D42" s="48" t="s">
        <v>244</v>
      </c>
      <c r="E42" s="48" t="s">
        <v>245</v>
      </c>
      <c r="F42" s="48" t="s">
        <v>249</v>
      </c>
      <c r="G42" s="48" t="s">
        <v>277</v>
      </c>
      <c r="H42" s="48" t="s">
        <v>278</v>
      </c>
      <c r="I42" s="48" t="s">
        <v>279</v>
      </c>
      <c r="L42" s="81" t="s">
        <v>323</v>
      </c>
      <c r="M42" s="82"/>
      <c r="N42" s="83"/>
    </row>
    <row r="43" ht="15.75" customHeight="1">
      <c r="A43" s="4">
        <v>1.0</v>
      </c>
      <c r="B43" s="4">
        <v>2000000.0</v>
      </c>
      <c r="C43" s="4">
        <v>70000.0</v>
      </c>
      <c r="D43" s="4">
        <f>B43-C43</f>
        <v>1930000</v>
      </c>
      <c r="E43" s="4">
        <f t="shared" ref="E43:E45" si="6">IF(D43&lt;300000,nil,IF(AND(D43&gt;300000,D43&lt;=600000),5%,IF(AND(D43&gt;600000,D43&lt;=900000),10%,IF(AND(D43&gt;900000,D43&lt;=1200000),15%,IF(AND(D43&gt;1200000,D43&lt;=1500000),20%,30%)))))</f>
        <v>0.3</v>
      </c>
      <c r="F43" s="4">
        <f t="shared" ref="F43:F45" si="7">IF(D43&lt;=300000,nil,IF(D43&lt;=600000,(D43-300000)*0.05,IF(D43&lt;=900000,15000+(D43-600000)*0.1,IF(D43&lt;=1200000,15000+30000+(D43-900000)*0.15,IF(D43&lt;=1500000,15000+30000+45000+(D43-1200000)*0.2,15000+30000+45000+60000+(D43-1500000)*0.3)))))</f>
        <v>279000</v>
      </c>
      <c r="G43" s="4">
        <f t="shared" ref="G43:G45" si="8">IF(D43&lt;5000000,0,IF(AND(D43&gt;=50000000,D43&lt;=10000000),D43*0.1,IF(AND(D43&gt;10000000,D43&lt;=20000000),D43*0.15,IF(AND(D43&gt;20000000,D43&lt;=50000000),D43*0.25,D43*0.37))))</f>
        <v>0</v>
      </c>
      <c r="H43" s="4">
        <f t="shared" ref="H43:H45" si="9">G43*0.04</f>
        <v>0</v>
      </c>
      <c r="I43" s="4">
        <f t="shared" ref="I43:I45" si="10">D43-SUM(F43:H43)</f>
        <v>1651000</v>
      </c>
      <c r="L43" s="84" t="s">
        <v>324</v>
      </c>
      <c r="M43" s="85"/>
      <c r="N43" s="86" t="s">
        <v>318</v>
      </c>
    </row>
    <row r="44" ht="15.75" customHeight="1">
      <c r="A44" s="4">
        <v>2.0</v>
      </c>
      <c r="B44" s="4"/>
      <c r="C44" s="4"/>
      <c r="D44" s="4">
        <v>5.5E8</v>
      </c>
      <c r="E44" s="4">
        <f t="shared" si="6"/>
        <v>0.3</v>
      </c>
      <c r="F44" s="4">
        <f t="shared" si="7"/>
        <v>164700000</v>
      </c>
      <c r="G44" s="4">
        <f t="shared" si="8"/>
        <v>203500000</v>
      </c>
      <c r="H44" s="4">
        <f t="shared" si="9"/>
        <v>8140000</v>
      </c>
      <c r="I44" s="4">
        <f t="shared" si="10"/>
        <v>173660000</v>
      </c>
      <c r="L44" s="89">
        <v>300001.0</v>
      </c>
      <c r="M44" s="90">
        <v>600000.0</v>
      </c>
      <c r="N44" s="91">
        <v>0.05</v>
      </c>
    </row>
    <row r="45" ht="15.75" customHeight="1">
      <c r="A45" s="4">
        <v>3.0</v>
      </c>
      <c r="B45" s="4"/>
      <c r="C45" s="4"/>
      <c r="D45" s="4">
        <v>6000000.0</v>
      </c>
      <c r="E45" s="4">
        <f t="shared" si="6"/>
        <v>0.3</v>
      </c>
      <c r="F45" s="4">
        <f t="shared" si="7"/>
        <v>1500000</v>
      </c>
      <c r="G45" s="4">
        <f t="shared" si="8"/>
        <v>2220000</v>
      </c>
      <c r="H45" s="4">
        <f t="shared" si="9"/>
        <v>88800</v>
      </c>
      <c r="I45" s="4">
        <f t="shared" si="10"/>
        <v>2191200</v>
      </c>
      <c r="L45" s="89">
        <v>600001.0</v>
      </c>
      <c r="M45" s="90">
        <v>900000.0</v>
      </c>
      <c r="N45" s="91">
        <v>0.1</v>
      </c>
    </row>
    <row r="46" ht="15.75" customHeight="1">
      <c r="B46" s="95" t="s">
        <v>321</v>
      </c>
      <c r="C46" s="96"/>
      <c r="D46" s="96"/>
      <c r="E46" s="96"/>
      <c r="F46" s="68"/>
      <c r="L46" s="89">
        <v>900001.0</v>
      </c>
      <c r="M46" s="90">
        <v>1200000.0</v>
      </c>
      <c r="N46" s="91">
        <v>0.15</v>
      </c>
    </row>
    <row r="47" ht="15.75" customHeight="1">
      <c r="L47" s="89">
        <v>1200001.0</v>
      </c>
      <c r="M47" s="90">
        <v>1500000.0</v>
      </c>
      <c r="N47" s="91">
        <v>0.2</v>
      </c>
    </row>
    <row r="48" ht="15.75" customHeight="1">
      <c r="L48" s="92" t="s">
        <v>325</v>
      </c>
      <c r="M48" s="93"/>
      <c r="N48" s="94">
        <v>0.3</v>
      </c>
    </row>
    <row r="49" ht="15.75" customHeight="1">
      <c r="D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1:F3"/>
    <mergeCell ref="A4:C6"/>
    <mergeCell ref="E4:G6"/>
    <mergeCell ref="A7:A8"/>
    <mergeCell ref="E7:E8"/>
    <mergeCell ref="A9:B9"/>
    <mergeCell ref="E9:F9"/>
    <mergeCell ref="B38:F38"/>
    <mergeCell ref="A40:I41"/>
    <mergeCell ref="L42:N42"/>
    <mergeCell ref="L43:M43"/>
    <mergeCell ref="B46:F46"/>
    <mergeCell ref="L48:M48"/>
    <mergeCell ref="E22:F22"/>
    <mergeCell ref="A23:B23"/>
    <mergeCell ref="E23:F23"/>
    <mergeCell ref="A32:I33"/>
    <mergeCell ref="L32:N32"/>
    <mergeCell ref="L33:M33"/>
    <mergeCell ref="L36:M36"/>
  </mergeCells>
  <dataValidations>
    <dataValidation type="list" allowBlank="1" showErrorMessage="1" sqref="D49">
      <formula1>"old,new"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8.71"/>
    <col customWidth="1" min="4" max="4" width="15.57"/>
    <col customWidth="1" min="5" max="26" width="8.71"/>
  </cols>
  <sheetData>
    <row r="1">
      <c r="A1" s="1">
        <v>50.0</v>
      </c>
      <c r="B1" s="1" t="str">
        <f t="shared" ref="B1:B3" si="1">IF(A1&gt;40,"yes","no")</f>
        <v>yes</v>
      </c>
      <c r="C1" s="1">
        <f>COUNTIF(A1:A3,"&gt;40")</f>
        <v>2</v>
      </c>
    </row>
    <row r="2">
      <c r="A2" s="1">
        <v>30.0</v>
      </c>
      <c r="B2" s="1" t="str">
        <f t="shared" si="1"/>
        <v>no</v>
      </c>
      <c r="D2" s="97">
        <f>NOW()</f>
        <v>45633.0245</v>
      </c>
    </row>
    <row r="3">
      <c r="A3" s="1">
        <v>80.0</v>
      </c>
      <c r="B3" s="1" t="str">
        <f t="shared" si="1"/>
        <v>yes</v>
      </c>
      <c r="D3" s="98">
        <f>TODAY()</f>
        <v>45633</v>
      </c>
      <c r="G3" s="1" t="s">
        <v>326</v>
      </c>
      <c r="H3" s="1">
        <f>LEN(G3)</f>
        <v>5</v>
      </c>
    </row>
    <row r="5">
      <c r="G5" s="1" t="s">
        <v>327</v>
      </c>
      <c r="H5" s="1">
        <v>30.0</v>
      </c>
    </row>
    <row r="6">
      <c r="G6" s="1" t="s">
        <v>328</v>
      </c>
      <c r="H6" s="1">
        <v>44.0</v>
      </c>
      <c r="I6" s="1" t="str">
        <f>CONCATENATE(G6,"  ",H6)</f>
        <v>banana  44</v>
      </c>
      <c r="M6" s="99" t="s">
        <v>329</v>
      </c>
      <c r="N6" s="99" t="s">
        <v>330</v>
      </c>
    </row>
    <row r="7">
      <c r="G7" s="1" t="s">
        <v>327</v>
      </c>
      <c r="H7" s="1">
        <v>55.0</v>
      </c>
      <c r="M7" s="100">
        <v>0.0</v>
      </c>
      <c r="N7" s="101">
        <v>0.05</v>
      </c>
      <c r="P7" s="1" t="str">
        <f>VLOOKUP(Sheet11E7,Sheet10!M7:N10,2,1)</f>
        <v>#NAME?</v>
      </c>
    </row>
    <row r="8">
      <c r="H8" s="1">
        <f>SUMIF(G5:G7,"apple",H5:H7)</f>
        <v>85</v>
      </c>
      <c r="M8" s="100">
        <v>50000.0</v>
      </c>
      <c r="N8" s="101">
        <v>0.1</v>
      </c>
    </row>
    <row r="9">
      <c r="H9" s="1">
        <f>SUMIF(G5:G7,"banana",H5:H7)</f>
        <v>44</v>
      </c>
      <c r="M9" s="100">
        <v>60000.0</v>
      </c>
      <c r="N9" s="101">
        <v>0.15</v>
      </c>
    </row>
    <row r="10">
      <c r="M10" s="100">
        <v>70000.0</v>
      </c>
      <c r="N10" s="101">
        <v>0.2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1.29"/>
    <col customWidth="1" min="10" max="26" width="8.71"/>
  </cols>
  <sheetData>
    <row r="5">
      <c r="B5" s="99" t="s">
        <v>331</v>
      </c>
      <c r="C5" s="99" t="s">
        <v>332</v>
      </c>
      <c r="D5" s="99" t="s">
        <v>333</v>
      </c>
      <c r="E5" s="99" t="s">
        <v>266</v>
      </c>
      <c r="F5" s="99" t="s">
        <v>334</v>
      </c>
      <c r="G5" s="102" t="s">
        <v>335</v>
      </c>
      <c r="H5" s="102" t="s">
        <v>336</v>
      </c>
    </row>
    <row r="6">
      <c r="B6" s="100">
        <v>1001.0</v>
      </c>
      <c r="C6" s="100" t="s">
        <v>337</v>
      </c>
      <c r="D6" s="100" t="s">
        <v>338</v>
      </c>
      <c r="E6" s="100">
        <v>50000.0</v>
      </c>
      <c r="F6" s="101">
        <v>0.1</v>
      </c>
      <c r="G6" s="1">
        <f t="shared" ref="G6:G10" si="1">E6*F6</f>
        <v>5000</v>
      </c>
      <c r="H6" s="1">
        <f t="shared" ref="H6:H10" si="2">IF(E6&lt;=50000,E6*0.05,IF(E6&lt;60000,E6*0.1,IF(E6&lt;70000,E6*0.15,E6*0.2)))</f>
        <v>2500</v>
      </c>
      <c r="I6" s="1" t="s">
        <v>339</v>
      </c>
      <c r="J6" s="1" t="s">
        <v>156</v>
      </c>
      <c r="K6" s="1" t="s">
        <v>340</v>
      </c>
    </row>
    <row r="7">
      <c r="B7" s="100">
        <v>1002.0</v>
      </c>
      <c r="C7" s="100" t="s">
        <v>341</v>
      </c>
      <c r="D7" s="100" t="s">
        <v>342</v>
      </c>
      <c r="E7" s="100">
        <v>55000.0</v>
      </c>
      <c r="F7" s="101">
        <v>0.12</v>
      </c>
      <c r="G7" s="15">
        <f t="shared" si="1"/>
        <v>6600</v>
      </c>
      <c r="H7" s="15">
        <f t="shared" si="2"/>
        <v>5500</v>
      </c>
      <c r="I7" s="1" t="s">
        <v>343</v>
      </c>
      <c r="J7" s="1">
        <f>VLOOKUP(I7,C6:E11,3,0)</f>
        <v>55000</v>
      </c>
      <c r="K7" s="103">
        <f>VLOOKUP(E6,R8:S11,2,1)</f>
        <v>0.1</v>
      </c>
      <c r="R7" s="99" t="s">
        <v>329</v>
      </c>
      <c r="S7" s="99" t="s">
        <v>330</v>
      </c>
    </row>
    <row r="8">
      <c r="B8" s="100">
        <v>1003.0</v>
      </c>
      <c r="C8" s="100" t="s">
        <v>344</v>
      </c>
      <c r="D8" s="100" t="s">
        <v>345</v>
      </c>
      <c r="E8" s="100">
        <v>62000.0</v>
      </c>
      <c r="F8" s="101">
        <v>0.15</v>
      </c>
      <c r="G8" s="15">
        <f t="shared" si="1"/>
        <v>9300</v>
      </c>
      <c r="H8" s="15">
        <f t="shared" si="2"/>
        <v>9300</v>
      </c>
      <c r="R8" s="100">
        <v>0.0</v>
      </c>
      <c r="S8" s="101">
        <v>0.05</v>
      </c>
    </row>
    <row r="9">
      <c r="B9" s="100">
        <v>1004.0</v>
      </c>
      <c r="C9" s="100" t="s">
        <v>346</v>
      </c>
      <c r="D9" s="100" t="s">
        <v>347</v>
      </c>
      <c r="E9" s="100">
        <v>68000.0</v>
      </c>
      <c r="F9" s="101">
        <v>0.11</v>
      </c>
      <c r="G9" s="15">
        <f t="shared" si="1"/>
        <v>7480</v>
      </c>
      <c r="H9" s="15">
        <f t="shared" si="2"/>
        <v>10200</v>
      </c>
      <c r="R9" s="100">
        <v>50000.0</v>
      </c>
      <c r="S9" s="101">
        <v>0.1</v>
      </c>
    </row>
    <row r="10">
      <c r="B10" s="100">
        <v>1005.0</v>
      </c>
      <c r="C10" s="100" t="s">
        <v>348</v>
      </c>
      <c r="D10" s="100" t="s">
        <v>349</v>
      </c>
      <c r="E10" s="100">
        <v>54000.0</v>
      </c>
      <c r="F10" s="101">
        <v>0.09</v>
      </c>
      <c r="G10" s="15">
        <f t="shared" si="1"/>
        <v>4860</v>
      </c>
      <c r="H10" s="15">
        <f t="shared" si="2"/>
        <v>5400</v>
      </c>
      <c r="R10" s="100">
        <v>60000.0</v>
      </c>
      <c r="S10" s="101">
        <v>0.15</v>
      </c>
    </row>
    <row r="11">
      <c r="B11" s="104"/>
      <c r="C11" s="15"/>
      <c r="D11" s="15"/>
      <c r="E11" s="15"/>
      <c r="F11" s="15"/>
      <c r="R11" s="100">
        <v>70000.0</v>
      </c>
      <c r="S11" s="101">
        <v>0.2</v>
      </c>
    </row>
    <row r="12">
      <c r="R12" s="104"/>
      <c r="S12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43"/>
    <col customWidth="1" min="5" max="5" width="11.14"/>
    <col customWidth="1" min="6" max="6" width="8.71"/>
    <col customWidth="1" min="7" max="7" width="10.71"/>
    <col customWidth="1" min="8" max="26" width="8.71"/>
  </cols>
  <sheetData>
    <row r="2">
      <c r="C2" s="105" t="s">
        <v>350</v>
      </c>
    </row>
    <row r="6">
      <c r="B6" s="106" t="s">
        <v>351</v>
      </c>
      <c r="C6" s="15"/>
      <c r="D6" s="15"/>
      <c r="E6" s="15"/>
      <c r="F6" s="15"/>
    </row>
    <row r="7">
      <c r="B7" s="104"/>
      <c r="C7" s="15"/>
      <c r="D7" s="15"/>
      <c r="E7" s="15"/>
      <c r="F7" s="15"/>
    </row>
    <row r="8">
      <c r="B8" s="99" t="s">
        <v>331</v>
      </c>
      <c r="C8" s="99" t="s">
        <v>332</v>
      </c>
      <c r="D8" s="99" t="s">
        <v>333</v>
      </c>
      <c r="E8" s="99" t="s">
        <v>266</v>
      </c>
      <c r="F8" s="99" t="s">
        <v>334</v>
      </c>
    </row>
    <row r="9">
      <c r="B9" s="100">
        <v>1001.0</v>
      </c>
      <c r="C9" s="100" t="s">
        <v>337</v>
      </c>
      <c r="D9" s="100" t="s">
        <v>338</v>
      </c>
      <c r="E9" s="100">
        <v>50000.0</v>
      </c>
      <c r="F9" s="101">
        <v>0.1</v>
      </c>
    </row>
    <row r="10">
      <c r="B10" s="100">
        <v>1002.0</v>
      </c>
      <c r="C10" s="100" t="s">
        <v>341</v>
      </c>
      <c r="D10" s="100" t="s">
        <v>342</v>
      </c>
      <c r="E10" s="100">
        <v>55000.0</v>
      </c>
      <c r="F10" s="101">
        <v>0.12</v>
      </c>
    </row>
    <row r="11">
      <c r="B11" s="100">
        <v>1003.0</v>
      </c>
      <c r="C11" s="100" t="s">
        <v>344</v>
      </c>
      <c r="D11" s="100" t="s">
        <v>345</v>
      </c>
      <c r="E11" s="100">
        <v>62000.0</v>
      </c>
      <c r="F11" s="101">
        <v>0.15</v>
      </c>
    </row>
    <row r="12">
      <c r="B12" s="100">
        <v>1004.0</v>
      </c>
      <c r="C12" s="100" t="s">
        <v>346</v>
      </c>
      <c r="D12" s="100" t="s">
        <v>347</v>
      </c>
      <c r="E12" s="100">
        <v>68000.0</v>
      </c>
      <c r="F12" s="101">
        <v>0.11</v>
      </c>
    </row>
    <row r="13">
      <c r="B13" s="100">
        <v>1005.0</v>
      </c>
      <c r="C13" s="100" t="s">
        <v>348</v>
      </c>
      <c r="D13" s="100" t="s">
        <v>349</v>
      </c>
      <c r="E13" s="100">
        <v>54000.0</v>
      </c>
      <c r="F13" s="101">
        <v>0.09</v>
      </c>
    </row>
    <row r="14">
      <c r="B14" s="104"/>
      <c r="C14" s="15"/>
      <c r="D14" s="15"/>
      <c r="E14" s="15"/>
      <c r="F14" s="15"/>
    </row>
    <row r="15">
      <c r="B15" s="106" t="s">
        <v>352</v>
      </c>
      <c r="C15" s="15"/>
      <c r="D15" s="15"/>
      <c r="E15" s="15"/>
      <c r="F15" s="15"/>
    </row>
    <row r="16">
      <c r="B16" s="104"/>
      <c r="C16" s="15"/>
      <c r="D16" s="15"/>
      <c r="E16" s="15"/>
      <c r="F16" s="15"/>
    </row>
    <row r="17">
      <c r="B17" s="104"/>
      <c r="C17" s="15"/>
    </row>
    <row r="18">
      <c r="B18" s="104" t="s">
        <v>353</v>
      </c>
      <c r="C18" s="15"/>
    </row>
    <row r="19">
      <c r="B19" s="104" t="s">
        <v>354</v>
      </c>
      <c r="C19" s="15"/>
    </row>
    <row r="20">
      <c r="A20" s="15"/>
      <c r="B20" s="10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04"/>
      <c r="C21" s="15"/>
      <c r="D21" s="107" t="s">
        <v>162</v>
      </c>
      <c r="E21" s="107" t="s">
        <v>355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5" customHeight="1">
      <c r="A22" s="15"/>
      <c r="B22" s="104"/>
      <c r="C22" s="15"/>
      <c r="D22" s="4" t="s">
        <v>346</v>
      </c>
      <c r="E22" s="4">
        <f>VLOOKUP(D22,C9:F13,3,0)</f>
        <v>68000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B23" s="104"/>
      <c r="C23" s="15"/>
    </row>
    <row r="24" ht="15.75" customHeight="1">
      <c r="B24" s="106" t="s">
        <v>356</v>
      </c>
      <c r="C24" s="15"/>
    </row>
    <row r="25" ht="15.75" customHeight="1">
      <c r="B25" s="104"/>
      <c r="C25" s="15"/>
    </row>
    <row r="26" ht="15.75" customHeight="1">
      <c r="B26" s="104" t="s">
        <v>357</v>
      </c>
      <c r="C26" s="15"/>
    </row>
    <row r="27" ht="15.75" customHeight="1">
      <c r="B27" s="104" t="s">
        <v>358</v>
      </c>
      <c r="C27" s="15"/>
    </row>
    <row r="28" ht="15.75" customHeight="1">
      <c r="B28" s="104" t="s">
        <v>359</v>
      </c>
      <c r="C28" s="15"/>
    </row>
    <row r="29" ht="15.75" customHeight="1">
      <c r="A29" s="15"/>
      <c r="B29" s="10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99" t="s">
        <v>331</v>
      </c>
      <c r="C30" s="99" t="s">
        <v>332</v>
      </c>
      <c r="D30" s="99" t="s">
        <v>333</v>
      </c>
      <c r="E30" s="99" t="s">
        <v>266</v>
      </c>
      <c r="F30" s="99" t="s">
        <v>334</v>
      </c>
      <c r="G30" s="108" t="s">
        <v>360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00">
        <v>1001.0</v>
      </c>
      <c r="C31" s="100" t="s">
        <v>337</v>
      </c>
      <c r="D31" s="100" t="s">
        <v>338</v>
      </c>
      <c r="E31" s="100">
        <v>50000.0</v>
      </c>
      <c r="F31" s="101">
        <v>0.1</v>
      </c>
      <c r="G31" s="109">
        <f t="shared" ref="G31:G35" si="1">E31*F31</f>
        <v>5000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00">
        <v>1002.0</v>
      </c>
      <c r="C32" s="100" t="s">
        <v>341</v>
      </c>
      <c r="D32" s="100" t="s">
        <v>342</v>
      </c>
      <c r="E32" s="100">
        <v>55000.0</v>
      </c>
      <c r="F32" s="101">
        <v>0.12</v>
      </c>
      <c r="G32" s="109">
        <f t="shared" si="1"/>
        <v>6600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00">
        <v>1003.0</v>
      </c>
      <c r="C33" s="100" t="s">
        <v>344</v>
      </c>
      <c r="D33" s="100" t="s">
        <v>345</v>
      </c>
      <c r="E33" s="100">
        <v>62000.0</v>
      </c>
      <c r="F33" s="101">
        <v>0.15</v>
      </c>
      <c r="G33" s="109">
        <f t="shared" si="1"/>
        <v>9300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00">
        <v>1004.0</v>
      </c>
      <c r="C34" s="100" t="s">
        <v>346</v>
      </c>
      <c r="D34" s="100" t="s">
        <v>347</v>
      </c>
      <c r="E34" s="100">
        <v>68000.0</v>
      </c>
      <c r="F34" s="101">
        <v>0.11</v>
      </c>
      <c r="G34" s="109">
        <f t="shared" si="1"/>
        <v>7480</v>
      </c>
      <c r="H34" s="110"/>
      <c r="I34" s="11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00">
        <v>1005.0</v>
      </c>
      <c r="C35" s="100" t="s">
        <v>348</v>
      </c>
      <c r="D35" s="100" t="s">
        <v>349</v>
      </c>
      <c r="E35" s="100">
        <v>54000.0</v>
      </c>
      <c r="F35" s="101">
        <v>0.09</v>
      </c>
      <c r="G35" s="109">
        <f t="shared" si="1"/>
        <v>4860</v>
      </c>
      <c r="H35" s="110"/>
      <c r="I35" s="11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B36" s="104"/>
      <c r="C36" s="15"/>
      <c r="D36" s="111"/>
      <c r="E36" s="112"/>
      <c r="F36" s="112"/>
      <c r="G36" s="111"/>
      <c r="H36" s="113"/>
      <c r="I36" s="114"/>
    </row>
    <row r="37" ht="15.75" customHeight="1">
      <c r="B37" s="106" t="s">
        <v>361</v>
      </c>
      <c r="C37" s="15"/>
      <c r="D37" s="111"/>
      <c r="E37" s="112"/>
      <c r="F37" s="112"/>
      <c r="G37" s="111"/>
      <c r="H37" s="113"/>
      <c r="I37" s="114"/>
      <c r="J37" s="115"/>
    </row>
    <row r="38" ht="15.75" customHeight="1">
      <c r="B38" s="104"/>
      <c r="C38" s="15"/>
      <c r="D38" s="111"/>
      <c r="E38" s="112"/>
      <c r="F38" s="112"/>
      <c r="G38" s="111"/>
      <c r="H38" s="113"/>
      <c r="I38" s="114"/>
    </row>
    <row r="39" ht="15.75" customHeight="1">
      <c r="B39" s="104"/>
      <c r="C39" s="15"/>
      <c r="D39" s="111"/>
      <c r="E39" s="112"/>
      <c r="F39" s="112"/>
      <c r="G39" s="111"/>
      <c r="H39" s="113"/>
      <c r="I39" s="114"/>
    </row>
    <row r="40" ht="15.75" customHeight="1">
      <c r="B40" s="104" t="s">
        <v>362</v>
      </c>
      <c r="C40" s="15"/>
      <c r="D40" s="111"/>
      <c r="E40" s="112"/>
      <c r="F40" s="112"/>
      <c r="G40" s="111"/>
      <c r="H40" s="113"/>
      <c r="I40" s="114"/>
    </row>
    <row r="41" ht="15.75" customHeight="1">
      <c r="B41" s="99" t="s">
        <v>329</v>
      </c>
      <c r="C41" s="99" t="s">
        <v>330</v>
      </c>
      <c r="G41" s="116" t="s">
        <v>363</v>
      </c>
      <c r="H41" s="116" t="s">
        <v>364</v>
      </c>
    </row>
    <row r="42" ht="29.25" customHeight="1">
      <c r="B42" s="100">
        <v>0.0</v>
      </c>
      <c r="C42" s="101">
        <v>0.05</v>
      </c>
      <c r="G42" s="4" t="s">
        <v>346</v>
      </c>
      <c r="H42" s="4">
        <f>IF(VLOOKUP(G42,C31:G35,3,0)&lt;B43,5,IF(VLOOKUP(G42,C31:G35,3,0)&lt;B44,10,IF(VLOOKUP(G42,C31:G35,3,0)&lt;B45,15,IF(VLOOKUP(G42,C31:G35,3,0)&gt;B45,20))))</f>
        <v>15</v>
      </c>
    </row>
    <row r="43" ht="15.75" customHeight="1">
      <c r="B43" s="100">
        <v>50000.0</v>
      </c>
      <c r="C43" s="101">
        <v>0.1</v>
      </c>
    </row>
    <row r="44" ht="15.75" customHeight="1">
      <c r="B44" s="100">
        <v>60000.0</v>
      </c>
      <c r="C44" s="101">
        <v>0.15</v>
      </c>
    </row>
    <row r="45" ht="15.75" customHeight="1">
      <c r="B45" s="100">
        <v>70000.0</v>
      </c>
      <c r="C45" s="101">
        <v>0.2</v>
      </c>
    </row>
    <row r="46" ht="15.75" customHeight="1">
      <c r="B46" s="104"/>
      <c r="C46" s="15"/>
    </row>
    <row r="47" ht="15.75" customHeight="1">
      <c r="B47" s="104" t="s">
        <v>365</v>
      </c>
      <c r="C47" s="15"/>
    </row>
    <row r="48" ht="15.75" customHeight="1">
      <c r="B48" s="104"/>
      <c r="C48" s="15"/>
    </row>
    <row r="49" ht="15.75" customHeight="1">
      <c r="B49" s="106" t="s">
        <v>366</v>
      </c>
      <c r="C49" s="15"/>
    </row>
    <row r="50" ht="15.75" customHeight="1">
      <c r="B50" s="104"/>
      <c r="C50" s="15"/>
    </row>
    <row r="51" ht="15.75" customHeight="1">
      <c r="B51" s="104"/>
      <c r="C51" s="15"/>
    </row>
    <row r="52" ht="15.75" customHeight="1">
      <c r="B52" s="104" t="s">
        <v>367</v>
      </c>
      <c r="C52" s="15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G3"/>
  </mergeCells>
  <dataValidations>
    <dataValidation type="list" allowBlank="1" showErrorMessage="1" sqref="D22">
      <formula1>$C$9:$C$13</formula1>
    </dataValidation>
    <dataValidation type="list" allowBlank="1" showErrorMessage="1" sqref="G42">
      <formula1>$C$31:$C$35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9.86"/>
    <col customWidth="1" min="3" max="3" width="10.14"/>
    <col customWidth="1" min="4" max="4" width="11.86"/>
    <col customWidth="1" min="5" max="5" width="9.14"/>
    <col customWidth="1" min="6" max="6" width="9.71"/>
    <col customWidth="1" min="7" max="7" width="11.57"/>
    <col customWidth="1" min="8" max="8" width="14.43"/>
    <col customWidth="1" min="9" max="10" width="12.57"/>
    <col customWidth="1" min="11" max="11" width="13.0"/>
    <col customWidth="1" min="12" max="26" width="8.71"/>
  </cols>
  <sheetData>
    <row r="1">
      <c r="A1" s="117" t="s">
        <v>368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 t="s">
        <v>331</v>
      </c>
      <c r="B2" s="4">
        <v>101.0</v>
      </c>
      <c r="C2" s="4">
        <v>102.0</v>
      </c>
      <c r="D2" s="4">
        <v>103.0</v>
      </c>
      <c r="E2" s="4">
        <v>104.0</v>
      </c>
      <c r="F2" s="4">
        <v>105.0</v>
      </c>
      <c r="G2" s="4">
        <v>106.0</v>
      </c>
      <c r="H2" s="4">
        <v>107.0</v>
      </c>
      <c r="I2" s="4">
        <v>108.0</v>
      </c>
      <c r="J2" s="4">
        <v>109.0</v>
      </c>
      <c r="K2" s="4">
        <v>110.0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4" t="s">
        <v>369</v>
      </c>
      <c r="B3" s="4" t="s">
        <v>370</v>
      </c>
      <c r="C3" s="4" t="s">
        <v>371</v>
      </c>
      <c r="D3" s="4" t="s">
        <v>372</v>
      </c>
      <c r="E3" s="4" t="s">
        <v>373</v>
      </c>
      <c r="F3" s="4" t="s">
        <v>374</v>
      </c>
      <c r="G3" s="4" t="s">
        <v>375</v>
      </c>
      <c r="H3" s="4" t="s">
        <v>376</v>
      </c>
      <c r="I3" s="4" t="s">
        <v>377</v>
      </c>
      <c r="J3" s="4" t="s">
        <v>378</v>
      </c>
      <c r="K3" s="4" t="s">
        <v>379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4" t="s">
        <v>333</v>
      </c>
      <c r="B4" s="4" t="s">
        <v>338</v>
      </c>
      <c r="C4" s="4" t="s">
        <v>342</v>
      </c>
      <c r="D4" s="4" t="s">
        <v>345</v>
      </c>
      <c r="E4" s="4" t="s">
        <v>347</v>
      </c>
      <c r="F4" s="4" t="s">
        <v>338</v>
      </c>
      <c r="G4" s="4" t="s">
        <v>342</v>
      </c>
      <c r="H4" s="4" t="s">
        <v>345</v>
      </c>
      <c r="I4" s="4" t="s">
        <v>347</v>
      </c>
      <c r="J4" s="4" t="s">
        <v>338</v>
      </c>
      <c r="K4" s="4" t="s">
        <v>342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4" t="s">
        <v>266</v>
      </c>
      <c r="B5" s="4">
        <v>50000.0</v>
      </c>
      <c r="C5" s="4">
        <v>55000.0</v>
      </c>
      <c r="D5" s="4">
        <v>60000.0</v>
      </c>
      <c r="E5" s="4">
        <v>65000.0</v>
      </c>
      <c r="F5" s="4">
        <v>70000.0</v>
      </c>
      <c r="G5" s="4">
        <v>75000.0</v>
      </c>
      <c r="H5" s="4">
        <v>80000.0</v>
      </c>
      <c r="I5" s="4">
        <v>85000.0</v>
      </c>
      <c r="J5" s="4">
        <v>90000.0</v>
      </c>
      <c r="K5" s="4">
        <v>95000.0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4" t="s">
        <v>380</v>
      </c>
      <c r="B6" s="4">
        <v>2000.0</v>
      </c>
      <c r="C6" s="4">
        <v>2500.0</v>
      </c>
      <c r="D6" s="4">
        <v>3000.0</v>
      </c>
      <c r="E6" s="4">
        <v>3500.0</v>
      </c>
      <c r="F6" s="4">
        <v>4000.0</v>
      </c>
      <c r="G6" s="4">
        <v>4500.0</v>
      </c>
      <c r="H6" s="4">
        <v>5000.0</v>
      </c>
      <c r="I6" s="4">
        <v>5500.0</v>
      </c>
      <c r="J6" s="4">
        <v>6000.0</v>
      </c>
      <c r="K6" s="4">
        <v>6500.0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4" t="s">
        <v>381</v>
      </c>
      <c r="B7" s="4">
        <v>52000.0</v>
      </c>
      <c r="C7" s="4">
        <v>57500.0</v>
      </c>
      <c r="D7" s="4">
        <v>63000.0</v>
      </c>
      <c r="E7" s="4">
        <v>68500.0</v>
      </c>
      <c r="F7" s="4">
        <v>74000.0</v>
      </c>
      <c r="G7" s="4">
        <v>79500.0</v>
      </c>
      <c r="H7" s="4">
        <v>85000.0</v>
      </c>
      <c r="I7" s="4">
        <v>90500.0</v>
      </c>
      <c r="J7" s="4">
        <v>96000.0</v>
      </c>
      <c r="K7" s="4">
        <v>101500.0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382</v>
      </c>
      <c r="B10" s="15"/>
      <c r="C10" s="15"/>
      <c r="D10" s="15"/>
      <c r="E10" s="118">
        <v>102.0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19" t="str">
        <f>HLOOKUP(E10,A2:K7,3,0)</f>
        <v>Marketing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 t="s">
        <v>383</v>
      </c>
      <c r="B13" s="15"/>
      <c r="C13" s="15"/>
      <c r="D13" s="15"/>
      <c r="E13" s="118">
        <v>105.0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19">
        <f>HLOOKUP(E13,A2:K7,4,0)</f>
        <v>70000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 t="s">
        <v>384</v>
      </c>
      <c r="B16" s="15"/>
      <c r="C16" s="15"/>
      <c r="D16" s="15"/>
      <c r="E16" s="118">
        <v>107.0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19">
        <f>HLOOKUP(E16,H2:H7,6,0)</f>
        <v>85000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K1"/>
  </mergeCells>
  <conditionalFormatting sqref="A2:K7">
    <cfRule type="containsText" dxfId="4" priority="1" operator="containsText" text="emplyee name">
      <formula>NOT(ISERROR(SEARCH(("emplyee name"),(A2))))</formula>
    </cfRule>
  </conditionalFormatting>
  <conditionalFormatting sqref="A2:K7">
    <cfRule type="containsText" dxfId="5" priority="2" operator="containsText" text="Employee ID">
      <formula>NOT(ISERROR(SEARCH(("Employee ID"),(A2))))</formula>
    </cfRule>
  </conditionalFormatting>
  <conditionalFormatting sqref="A2:K7">
    <cfRule type="cellIs" dxfId="6" priority="3" operator="between">
      <formula>50000</formula>
      <formula>76150</formula>
    </cfRule>
  </conditionalFormatting>
  <conditionalFormatting sqref="A6:K6">
    <cfRule type="cellIs" dxfId="6" priority="4" operator="greaterThan">
      <formula>2500</formula>
    </cfRule>
  </conditionalFormatting>
  <conditionalFormatting sqref="A7:K7">
    <cfRule type="cellIs" dxfId="7" priority="5" operator="lessThan">
      <formula>80000</formula>
    </cfRule>
  </conditionalFormatting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8" width="8.71"/>
    <col customWidth="1" min="9" max="9" width="14.71"/>
    <col customWidth="1" min="10" max="10" width="11.14"/>
    <col customWidth="1" min="11" max="11" width="10.43"/>
    <col customWidth="1" min="12" max="12" width="13.71"/>
    <col customWidth="1" min="13" max="13" width="10.29"/>
    <col customWidth="1" min="14" max="26" width="8.71"/>
  </cols>
  <sheetData>
    <row r="6">
      <c r="A6" s="1" t="s">
        <v>385</v>
      </c>
      <c r="G6" s="1" t="s">
        <v>386</v>
      </c>
      <c r="I6" s="4" t="s">
        <v>387</v>
      </c>
      <c r="J6" s="4" t="s">
        <v>388</v>
      </c>
      <c r="K6" s="4" t="s">
        <v>389</v>
      </c>
      <c r="L6" s="4" t="s">
        <v>390</v>
      </c>
      <c r="M6" s="4"/>
      <c r="O6" s="4"/>
    </row>
    <row r="7">
      <c r="A7" s="1" t="s">
        <v>391</v>
      </c>
      <c r="I7" s="4">
        <v>10.0</v>
      </c>
      <c r="J7" s="4" t="s">
        <v>392</v>
      </c>
      <c r="K7" s="120">
        <v>45292.0</v>
      </c>
      <c r="L7" s="4" t="s">
        <v>158</v>
      </c>
      <c r="M7" s="4" t="s">
        <v>393</v>
      </c>
      <c r="O7" s="4">
        <v>90.0</v>
      </c>
    </row>
    <row r="8">
      <c r="A8" s="1" t="s">
        <v>394</v>
      </c>
      <c r="I8" s="4">
        <v>11.0</v>
      </c>
      <c r="J8" s="4" t="s">
        <v>395</v>
      </c>
      <c r="K8" s="4"/>
      <c r="L8" s="4"/>
      <c r="M8" s="4"/>
      <c r="O8" s="4"/>
    </row>
    <row r="9">
      <c r="A9" s="1" t="s">
        <v>396</v>
      </c>
      <c r="I9" s="4">
        <v>100.0</v>
      </c>
      <c r="J9" s="4"/>
      <c r="K9" s="4"/>
      <c r="L9" s="4"/>
      <c r="M9" s="4"/>
      <c r="O9" s="4"/>
    </row>
    <row r="10">
      <c r="A10" s="1" t="s">
        <v>397</v>
      </c>
      <c r="I10" s="4"/>
      <c r="J10" s="4"/>
      <c r="K10" s="4"/>
      <c r="L10" s="4"/>
      <c r="M10" s="4"/>
      <c r="O10" s="4">
        <v>8754.0</v>
      </c>
    </row>
    <row r="11">
      <c r="A11" s="1" t="s">
        <v>398</v>
      </c>
      <c r="I11" s="4"/>
      <c r="J11" s="4"/>
      <c r="K11" s="4"/>
      <c r="L11" s="4"/>
      <c r="M11" s="4"/>
      <c r="O11" s="4"/>
    </row>
    <row r="12">
      <c r="A12" s="1" t="s">
        <v>399</v>
      </c>
      <c r="I12" s="4"/>
      <c r="J12" s="4"/>
      <c r="K12" s="4"/>
      <c r="L12" s="4"/>
      <c r="M12" s="4"/>
      <c r="O12" s="4">
        <v>50.0</v>
      </c>
    </row>
    <row r="13">
      <c r="I13" s="4"/>
      <c r="J13" s="4"/>
      <c r="K13" s="4"/>
      <c r="L13" s="4"/>
      <c r="M13" s="4"/>
      <c r="O13" s="4">
        <v>76.0</v>
      </c>
    </row>
    <row r="14">
      <c r="I14" s="4"/>
      <c r="J14" s="4"/>
      <c r="K14" s="4"/>
      <c r="L14" s="4"/>
      <c r="M14" s="4" t="s">
        <v>400</v>
      </c>
      <c r="O14" s="4"/>
    </row>
    <row r="15">
      <c r="I15" s="4"/>
      <c r="J15" s="4"/>
      <c r="K15" s="4"/>
      <c r="L15" s="4"/>
      <c r="M15" s="4"/>
      <c r="O15" s="4">
        <v>986566.0</v>
      </c>
    </row>
    <row r="16">
      <c r="I16" s="4"/>
      <c r="J16" s="4"/>
      <c r="K16" s="4"/>
      <c r="L16" s="4"/>
      <c r="M16" s="4"/>
      <c r="O16" s="4"/>
    </row>
    <row r="17">
      <c r="I17" s="4"/>
      <c r="J17" s="4"/>
      <c r="K17" s="4"/>
      <c r="L17" s="4"/>
      <c r="M17" s="4"/>
      <c r="O17" s="4"/>
    </row>
    <row r="18">
      <c r="I18" s="4"/>
      <c r="J18" s="4"/>
      <c r="K18" s="4"/>
      <c r="L18" s="4"/>
      <c r="M18" s="4"/>
      <c r="O18" s="4"/>
    </row>
    <row r="19">
      <c r="I19" s="4"/>
      <c r="J19" s="4"/>
      <c r="K19" s="4"/>
      <c r="L19" s="4"/>
      <c r="M19" s="4"/>
      <c r="O19" s="4"/>
    </row>
    <row r="20">
      <c r="O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L7:L19">
      <formula1>"india,japan,korea,china,taiwan"</formula1>
    </dataValidation>
    <dataValidation type="date" allowBlank="1" showErrorMessage="1" sqref="K7:K19">
      <formula1>45292.0</formula1>
      <formula2>45322.0</formula2>
    </dataValidation>
    <dataValidation type="decimal" allowBlank="1" showInputMessage="1" showErrorMessage="1" prompt="information - kindly enter valid number between 10 to 100" sqref="I7:I19">
      <formula1>10.0</formula1>
      <formula2>100.0</formula2>
    </dataValidation>
    <dataValidation type="list" allowBlank="1" showErrorMessage="1" sqref="G6">
      <formula1>$A$6:$A$12</formula1>
    </dataValidation>
    <dataValidation type="decimal" allowBlank="1" showErrorMessage="1" sqref="O6:O20">
      <formula1>10.0</formula1>
      <formula2>100.0</formula2>
    </dataValidation>
    <dataValidation type="custom" allowBlank="1" showInputMessage="1" showErrorMessage="1" prompt="3 alphabets atleast_x000a_" sqref="J7:J19">
      <formula1>AND(GTE(LEN(J7),MIN((3),(5))),LTE(LEN(J7),MAX((3),(5))))</formula1>
    </dataValidation>
    <dataValidation type="list" allowBlank="1" showErrorMessage="1" sqref="M7:M19">
      <formula1>"delhi,hong kong,tokyo,seol,beijing"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2024-09-03T04:32:31Z</dcterms:created>
  <dc:creator>DELL</dc:creator>
</cp:coreProperties>
</file>