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codeName="ThisWorkbook" defaultThemeVersion="166925"/>
  <mc:AlternateContent xmlns:mc="http://schemas.openxmlformats.org/markup-compatibility/2006">
    <mc:Choice Requires="x15">
      <x15ac:absPath xmlns:x15ac="http://schemas.microsoft.com/office/spreadsheetml/2010/11/ac" url="/Users/mdaneri/Downloads/"/>
    </mc:Choice>
  </mc:AlternateContent>
  <xr:revisionPtr revIDLastSave="0" documentId="13_ncr:1_{E7367F56-6504-3A49-8534-17A4191886CA}" xr6:coauthVersionLast="47" xr6:coauthVersionMax="47" xr10:uidLastSave="{00000000-0000-0000-0000-000000000000}"/>
  <bookViews>
    <workbookView xWindow="104260" yWindow="-60" windowWidth="50300" windowHeight="20120" tabRatio="500"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 r:id="rId11"/>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'[1]Deploy Parameters'!#REF!</definedName>
    <definedName name="cluster_image_path">'Deploy Parameters'!#REF!</definedName>
    <definedName name="cluster_image_version" localSheetId="4">'[1]Deploy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'[1]Deploy Parameters'!$F$12</definedName>
    <definedName name="esx_license_std">'Deploy Parameters'!$F$12</definedName>
    <definedName name="esx_root_password">Credentials!$C$8</definedName>
    <definedName name="esxi_host4_ssl">'Hosts and Networks'!$L$18</definedName>
    <definedName name="EVC_Settings" localSheetId="0">[2]Lookup_Lists!$A$2:$A$20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'[1]Hosts and Networks'!#REF!</definedName>
    <definedName name="mgmt_cidr">'Hosts and Networks'!#REF!</definedName>
    <definedName name="mgmt_gw" localSheetId="4">'[1]Hosts and Networks'!#REF!</definedName>
    <definedName name="mgmt_gw">'Hosts and Networks'!#REF!</definedName>
    <definedName name="mgmt_mtu" localSheetId="4">'[1]Hosts and Networks'!#REF!</definedName>
    <definedName name="mgmt_mtu">'Hosts and Networks'!#REF!</definedName>
    <definedName name="mgmt_portgroup" localSheetId="4">'[1]Hosts and Networks'!#REF!</definedName>
    <definedName name="mgmt_portgroup">'Hosts and Networks'!#REF!</definedName>
    <definedName name="mgmt_vlan" localSheetId="4">'[1]Hosts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'[1]Deploy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'[1]Hosts and Networks'!$E$13</definedName>
    <definedName name="vds_primary_name">'Hosts and Networks'!$E$13</definedName>
    <definedName name="vds_primary_vmnics" localSheetId="4">'[1]Hosts and Networks'!$E$14</definedName>
    <definedName name="vds_primary_vmnics">'Hosts and Networks'!$E$14</definedName>
    <definedName name="vds_secondary_mtu">'Hosts and Networks'!$E$21</definedName>
    <definedName name="vds_secondary_name" localSheetId="4">'[1]Hosts and Networks'!$E$18</definedName>
    <definedName name="vds_secondary_name">'Hosts and Networks'!$E$18</definedName>
    <definedName name="vds_secondary_vmnics" localSheetId="4">'[1]Hosts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'[1]Hosts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6" i="8" l="1"/>
  <c r="I35" i="8"/>
  <c r="I34" i="8"/>
  <c r="I33" i="8"/>
  <c r="I32" i="8"/>
  <c r="I31" i="8"/>
  <c r="I30" i="8"/>
  <c r="I29" i="8"/>
  <c r="E22" i="8"/>
  <c r="E21" i="8"/>
  <c r="B38" i="4" l="1"/>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<sst xmlns="http://schemas.openxmlformats.org/spreadsheetml/2006/main" count="682" uniqueCount="564">
  <si>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</si>
  <si>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</si>
  <si>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</si>
  <si>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</si>
  <si>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</si>
  <si>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</si>
  <si>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</si>
  <si>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</si>
  <si>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</si>
  <si>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</si>
  <si>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</si>
  <si>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</si>
  <si>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</si>
  <si>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</si>
  <si>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</si>
  <si>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</si>
  <si>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</si>
  <si>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</si>
  <si>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</si>
  <si>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</si>
  <si>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</si>
  <si>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</si>
  <si>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</si>
  <si>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</si>
  <si>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</si>
  <si>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</si>
  <si>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</si>
  <si>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</si>
  <si>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</si>
  <si>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</si>
  <si>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</si>
  <si>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</si>
  <si>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</si>
  <si>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</si>
  <si>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</si>
  <si>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</si>
  <si>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</si>
  <si>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</si>
  <si>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</si>
  <si>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</si>
  <si>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</si>
  <si>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</si>
  <si>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</si>
  <si>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</si>
  <si>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</si>
  <si>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</si>
  <si>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</si>
  <si>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</si>
  <si>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</si>
  <si>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</si>
  <si>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</si>
  <si>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</si>
  <si>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</si>
  <si>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</si>
  <si>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</si>
  <si>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</si>
  <si>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</si>
  <si>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</si>
  <si>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</si>
  <si>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</si>
  <si>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</si>
  <si>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</si>
  <si>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</si>
  <si>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</si>
  <si>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</si>
  <si>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</si>
  <si>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</si>
  <si>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</si>
  <si>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</si>
  <si>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</si>
  <si>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</si>
  <si>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</si>
  <si>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</si>
  <si>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</si>
  <si>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</si>
  <si>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</si>
  <si>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</si>
  <si>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</si>
  <si>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</si>
  <si>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</si>
  <si>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</si>
  <si>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</si>
  <si>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</si>
  <si>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</si>
  <si>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</si>
  <si>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</si>
  <si>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</si>
  <si>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</si>
  <si>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</si>
  <si>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</si>
  <si>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</si>
  <si>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</si>
  <si>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</si>
  <si>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</si>
  <si>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</si>
  <si>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</si>
  <si>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</si>
  <si>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</si>
  <si>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</si>
  <si>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</si>
  <si>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</si>
  <si>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</si>
  <si>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</si>
  <si>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</si>
  <si>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</si>
  <si>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</si>
  <si>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</si>
  <si>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</si>
  <si>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</si>
  <si>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</si>
  <si>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</si>
  <si>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</si>
  <si>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</si>
  <si>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</si>
  <si>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</si>
  <si>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</si>
  <si>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</si>
  <si>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</si>
  <si>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</si>
  <si>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</si>
  <si>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</si>
  <si>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</si>
  <si>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</si>
  <si>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</si>
  <si>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</si>
  <si>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</si>
  <si>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</si>
  <si>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</si>
  <si>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</si>
  <si>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</si>
  <si>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</si>
  <si>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</si>
  <si>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</si>
  <si>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</si>
  <si>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</si>
  <si>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</si>
  <si>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</si>
  <si>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</si>
  <si>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</si>
  <si>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</si>
  <si>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</si>
  <si>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</si>
  <si>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</si>
  <si>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</si>
  <si>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</si>
  <si>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</si>
  <si>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</si>
  <si>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</si>
  <si>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</si>
  <si>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</si>
  <si>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</si>
  <si>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</si>
  <si>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</si>
  <si>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</si>
  <si>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</si>
  <si>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</si>
  <si>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</si>
  <si>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</si>
  <si>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</si>
  <si>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</si>
  <si>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</si>
  <si>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</si>
  <si>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</si>
  <si>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</si>
  <si>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</si>
  <si>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</si>
  <si>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</si>
  <si>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</si>
  <si>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</si>
  <si>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</si>
  <si>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</si>
  <si>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</si>
  <si>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</si>
  <si>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</si>
  <si>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</si>
  <si>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</si>
  <si>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</si>
  <si>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</si>
  <si>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</si>
  <si>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</si>
  <si>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</si>
  <si>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</si>
  <si>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</si>
  <si>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</si>
  <si>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</si>
  <si>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</si>
  <si>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</si>
  <si>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</si>
  <si>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</si>
  <si>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</si>
  <si>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</si>
  <si>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</si>
  <si>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</si>
  <si>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</si>
  <si>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</si>
  <si>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</si>
  <si>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</si>
  <si>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</si>
  <si>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</si>
  <si>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</si>
  <si>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</si>
  <si>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</si>
  <si>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</si>
  <si>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</si>
  <si>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</si>
  <si>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</si>
  <si>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</si>
  <si>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</si>
  <si>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</si>
  <si>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</si>
  <si>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</si>
  <si>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</si>
  <si>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</si>
  <si>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</si>
  <si>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</si>
  <si>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</si>
  <si>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</si>
  <si>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</si>
  <si>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</si>
  <si>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</si>
  <si>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</si>
  <si>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</si>
  <si>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</si>
  <si>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</si>
  <si>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</si>
  <si>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</si>
  <si>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</si>
  <si>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</si>
  <si>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</si>
  <si>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</si>
  <si>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</si>
  <si>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</si>
  <si>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</si>
  <si>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</si>
  <si>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</si>
  <si>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</si>
  <si>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</si>
  <si>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</si>
  <si>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</si>
  <si>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</si>
  <si>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</si>
  <si>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</si>
  <si>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</si>
  <si>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</si>
  <si>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</si>
  <si>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</si>
  <si>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</si>
  <si>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</si>
  <si>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</si>
  <si>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</si>
  <si>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</si>
  <si>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</si>
  <si>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</si>
  <si>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</si>
  <si>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</si>
  <si>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</si>
  <si>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</si>
  <si>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</si>
  <si>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</si>
  <si>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</si>
  <si>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</si>
  <si>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</si>
  <si>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</si>
  <si>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</si>
  <si>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</si>
  <si>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</si>
  <si>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</si>
  <si>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</si>
  <si>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</si>
  <si>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</si>
  <si>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</si>
  <si>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</si>
  <si>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</si>
  <si>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</si>
  <si>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</si>
  <si>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</si>
  <si>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</si>
  <si>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</si>
  <si>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</si>
  <si>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</si>
  <si>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</si>
  <si>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</si>
  <si>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</si>
  <si>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</si>
  <si>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</si>
  <si>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</si>
  <si>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</si>
  <si>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</si>
  <si>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</si>
  <si>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</si>
  <si>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</si>
  <si>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</si>
  <si>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</si>
  <si>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</si>
  <si>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</si>
  <si>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</si>
  <si>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</si>
  <si>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</si>
  <si>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</si>
  <si>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</si>
  <si>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</si>
  <si>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</si>
  <si>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</si>
  <si>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</si>
  <si>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</si>
  <si>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</si>
  <si>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</si>
  <si>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</si>
  <si>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</si>
  <si>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</si>
  <si>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</si>
  <si>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</si>
  <si>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</si>
  <si>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</si>
  <si>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</si>
  <si>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</si>
  <si>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</si>
  <si>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</si>
  <si>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</si>
  <si>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</si>
  <si>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</si>
  <si>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</si>
  <si>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</si>
  <si>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</si>
  <si>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</si>
  <si>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</si>
  <si>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</si>
  <si>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</si>
  <si>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</si>
  <si>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</si>
  <si>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</si>
  <si>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</si>
  <si>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</si>
  <si>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</si>
  <si>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</si>
  <si>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</si>
  <si>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</si>
  <si>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</si>
  <si>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</si>
  <si>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</si>
  <si>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</si>
  <si>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</si>
  <si>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</si>
  <si>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</si>
  <si>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</si>
  <si>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</si>
  <si>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</si>
  <si>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</si>
  <si>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</si>
  <si>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</si>
  <si>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</si>
  <si>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</si>
  <si>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</si>
  <si>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</si>
  <si>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</si>
  <si>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</si>
  <si>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</si>
  <si>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</si>
  <si>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</si>
  <si>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</si>
  <si>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</si>
  <si>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</si>
  <si>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</si>
  <si>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</si>
  <si>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</si>
  <si>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</si>
  <si>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</si>
  <si>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</si>
  <si>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</si>
  <si>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</si>
  <si>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</si>
  <si>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</si>
  <si>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</si>
  <si>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</si>
  <si>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</si>
  <si>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</si>
  <si>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</si>
  <si>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</si>
  <si>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</si>
  <si>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</si>
  <si>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</si>
  <si>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</si>
  <si>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</si>
  <si>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</si>
  <si>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</si>
  <si>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</si>
  <si>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</si>
  <si>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</si>
  <si>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</si>
  <si>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</si>
  <si>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</si>
  <si>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</si>
  <si>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</si>
  <si>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</si>
  <si>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</si>
  <si>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</si>
  <si>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</si>
  <si>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</si>
  <si>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</si>
  <si>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</si>
  <si>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</si>
  <si>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</si>
  <si>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</si>
  <si>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</si>
  <si>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</si>
  <si>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</si>
  <si>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</si>
  <si>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</si>
  <si>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</si>
  <si>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</si>
  <si>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</si>
  <si>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</si>
  <si>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</si>
  <si>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</si>
  <si>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</si>
  <si>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</si>
  <si>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</si>
  <si>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</si>
  <si>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</si>
  <si>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</si>
  <si>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</si>
  <si>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</si>
  <si>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</si>
  <si>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</si>
  <si>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</si>
  <si>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</si>
  <si>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</si>
  <si>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</si>
  <si>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</si>
  <si>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</si>
  <si>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</si>
  <si>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</si>
  <si>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</si>
  <si>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</si>
  <si>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</si>
  <si>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</si>
  <si>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</si>
  <si>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</si>
  <si>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</si>
  <si>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</si>
  <si>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</si>
  <si>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</si>
  <si>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</si>
  <si>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</si>
  <si>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</si>
  <si>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</si>
  <si>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</si>
  <si>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</si>
  <si>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</si>
  <si>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</si>
  <si>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</si>
  <si>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</si>
  <si>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</si>
  <si>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</si>
  <si>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</si>
  <si>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</si>
  <si>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</si>
  <si>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</si>
  <si>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</si>
  <si>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</si>
  <si>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</si>
  <si>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</si>
  <si>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</si>
  <si>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</si>
  <si>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</si>
  <si>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</si>
  <si>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</si>
  <si>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</si>
  <si>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</si>
  <si>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</si>
  <si>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</si>
  <si>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</si>
  <si>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</si>
  <si>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</si>
  <si>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</si>
  <si>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</si>
  <si>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</si>
  <si>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</si>
  <si>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</si>
  <si>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</si>
  <si>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</si>
  <si>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</si>
  <si>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</si>
  <si>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</si>
  <si>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</si>
  <si>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</si>
  <si>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</si>
  <si>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</si>
  <si>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</si>
  <si>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</si>
  <si>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</si>
  <si>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</si>
  <si>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</si>
  <si>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</si>
  <si>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</si>
  <si>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</si>
  <si>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</si>
  <si>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</si>
  <si>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</si>
  <si>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</si>
  <si>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</si>
  <si>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</si>
  <si>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</si>
  <si>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</si>
  <si>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</si>
  <si>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</si>
  <si>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</si>
  <si>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</si>
  <si>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</si>
  <si>
    <t>General Deployment</t>
  </si>
  <si>
    <t xml:space="preserve"> </t>
  </si>
  <si>
    <t>Datacenter</t>
  </si>
  <si>
    <t>Cluster</t>
  </si>
  <si>
    <t>Cluster01</t>
  </si>
  <si>
    <t>Datastore</t>
  </si>
  <si>
    <t>vSanDatastore</t>
  </si>
  <si>
    <t>Folder</t>
  </si>
  <si>
    <t>VCF</t>
  </si>
  <si>
    <t>Cloud Builder</t>
  </si>
  <si>
    <t>VM Properties</t>
  </si>
  <si>
    <t>Name</t>
  </si>
  <si>
    <t>IP</t>
  </si>
  <si>
    <t>Network Pool</t>
  </si>
  <si>
    <t>Admin Password</t>
  </si>
  <si>
    <t>Root Password</t>
  </si>
  <si>
    <t>Virtual ESX</t>
  </si>
  <si>
    <t>VM Spec</t>
  </si>
  <si>
    <t>vCPU</t>
  </si>
  <si>
    <t>vMem</t>
  </si>
  <si>
    <t>Boot Disk</t>
  </si>
  <si>
    <t>Network Pool 1</t>
  </si>
  <si>
    <t>Trunk</t>
  </si>
  <si>
    <t>cloudbuilder</t>
  </si>
  <si>
    <t>cloudbuilder.vcf.lab.local</t>
  </si>
  <si>
    <t>Profile-2</t>
  </si>
  <si>
    <t>Network Pool 2</t>
  </si>
  <si>
    <t>Path to Cloud Builder ISO</t>
  </si>
  <si>
    <t>Path to ESX OVF/OVA</t>
  </si>
  <si>
    <t>Images</t>
  </si>
  <si>
    <t>./ova/Nested_ESXi8.0u3_Appliance_Template_v1.ova</t>
  </si>
  <si>
    <t>./ova/VMware-Cloud-Builder-5.2.0.0-24108943_OVF10.ova</t>
  </si>
  <si>
    <t>Syslog</t>
  </si>
  <si>
    <t>192.168.1.1</t>
  </si>
  <si>
    <t>VLAN-10</t>
  </si>
  <si>
    <t>192.168.10.195</t>
  </si>
  <si>
    <t>Worklod Domain</t>
  </si>
  <si>
    <t>192.168.10.104</t>
  </si>
  <si>
    <t>192.168.10.105</t>
  </si>
  <si>
    <t>192.168.10.106</t>
  </si>
  <si>
    <t>192.168.10.107</t>
  </si>
  <si>
    <t>192.168.10.108</t>
  </si>
  <si>
    <t>192.168.10.109</t>
  </si>
  <si>
    <t>192.168.10.110</t>
  </si>
  <si>
    <t>192.168.10.111</t>
  </si>
  <si>
    <t>Management</t>
  </si>
  <si>
    <t>Workload</t>
  </si>
  <si>
    <t>vcf42-esx05</t>
  </si>
  <si>
    <t>vcf42-esx06</t>
  </si>
  <si>
    <t>vcf42-esx07</t>
  </si>
  <si>
    <t>vcf42-esx08</t>
  </si>
  <si>
    <t>vcf42-esx09</t>
  </si>
  <si>
    <t>vcf42-esx10</t>
  </si>
  <si>
    <t>vcf42-esx11</t>
  </si>
  <si>
    <t>vcf42-esx12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</si>
</sst>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x14ac:knownFonts="1">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5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47">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20" fillId="7" borderId="7" xfId="7" applyFont="1" applyFill="1" applyBorder="1" applyAlignment="1">
      <alignment vertical="center"/>
    </xf>
    <xf numFmtId="165" fontId="18" fillId="9" borderId="7" xfId="7" applyNumberFormat="1"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0" fontId="29" fillId="7" borderId="0" xfId="8" applyFont="1" applyFill="1" applyAlignment="1">
      <alignment horizontal="center" vertical="center"/>
    </xf>
    <xf numFmtId="0" fontId="33" fillId="6" borderId="12" xfId="8" applyFont="1" applyFill="1" applyBorder="1" applyProtection="1">
      <protection locked="0"/>
    </xf>
    <xf numFmtId="0" fontId="8" fillId="9" borderId="4" xfId="8" applyFont="1" applyFill="1" applyBorder="1" applyAlignment="1" applyProtection="1">
      <alignment horizontal="left" vertical="center"/>
      <protection locked="0"/>
    </xf>
    <xf numFmtId="0" fontId="33" fillId="9" borderId="12" xfId="8" applyFont="1" applyFill="1" applyBorder="1" applyProtection="1">
      <protection locked="0"/>
    </xf>
    <xf numFmtId="0" fontId="8" fillId="9" borderId="6" xfId="8" applyFont="1" applyFill="1" applyBorder="1" applyAlignment="1" applyProtection="1">
      <alignment horizontal="left" vertical="center"/>
      <protection locked="0"/>
    </xf>
    <xf numFmtId="0" fontId="33" fillId="9" borderId="7" xfId="8" applyFont="1" applyFill="1" applyBorder="1" applyProtection="1">
      <protection locked="0"/>
    </xf>
    <xf numFmtId="0" fontId="8" fillId="9" borderId="8" xfId="8" applyFont="1" applyFill="1" applyBorder="1" applyAlignment="1" applyProtection="1">
      <alignment horizontal="left" vertical="center"/>
      <protection locked="0"/>
    </xf>
    <xf numFmtId="0" fontId="30" fillId="2" borderId="11" xfId="8" applyFont="1" applyFill="1" applyBorder="1" applyAlignment="1">
      <alignment vertical="center"/>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33" fillId="9" borderId="12" xfId="8" applyFont="1" applyFill="1" applyBorder="1" applyAlignment="1" applyProtection="1">
      <alignment horizontal="left"/>
      <protection locked="0"/>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0" fontId="8" fillId="9" borderId="12" xfId="8" applyFont="1" applyFill="1" applyBorder="1" applyProtection="1">
      <protection locked="0"/>
    </xf>
    <xf numFmtId="0" fontId="21" fillId="10" borderId="17" xfId="7" applyFont="1" applyFill="1" applyBorder="1" applyAlignment="1">
      <alignment vertical="center"/>
    </xf>
    <xf numFmtId="0" fontId="18" fillId="9" borderId="12" xfId="7" applyFont="1" applyFill="1" applyBorder="1" applyAlignment="1" applyProtection="1">
      <alignment horizontal="left" vertical="center"/>
      <protection locked="0"/>
    </xf>
    <xf numFmtId="0" fontId="29" fillId="7" borderId="1" xfId="8" applyFont="1" applyFill="1" applyBorder="1" applyAlignment="1">
      <alignment horizontal="center" vertical="center"/>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18" fillId="9" borderId="12" xfId="7" applyFont="1" applyFill="1" applyBorder="1" applyAlignment="1" applyProtection="1">
      <alignment vertical="center"/>
      <protection locked="0"/>
    </xf>
    <xf numFmtId="49" fontId="18" fillId="9" borderId="12" xfId="7" applyNumberFormat="1" applyFont="1" applyFill="1" applyBorder="1" applyAlignment="1" applyProtection="1">
      <alignment horizontal="left" vertical="center"/>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8" fillId="9" borderId="7" xfId="0" applyFont="1" applyFill="1" applyBorder="1" applyAlignment="1" applyProtection="1">
      <alignment vertical="center"/>
      <protection locked="0"/>
    </xf>
    <xf numFmtId="0" fontId="18" fillId="9" borderId="7" xfId="7" applyFont="1" applyFill="1" applyBorder="1" applyAlignment="1" applyProtection="1">
      <alignment vertical="center"/>
      <protection locked="0"/>
    </xf>
    <xf numFmtId="0" fontId="20" fillId="7" borderId="7" xfId="7" applyFont="1" applyFill="1" applyBorder="1" applyAlignment="1">
      <alignment horizontal="center" vertical="center"/>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8" fillId="9" borderId="7" xfId="0" applyFont="1" applyFill="1" applyBorder="1" applyAlignment="1" applyProtection="1">
      <alignment horizontal="center"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8" fillId="9" borderId="7" xfId="8" applyFont="1" applyFill="1" applyBorder="1" applyAlignment="1" applyProtection="1">
      <alignment horizontal="left" vertical="center"/>
      <protection locked="0"/>
    </xf>
    <xf numFmtId="0" fontId="48" fillId="0" borderId="0" xfId="7" applyFont="1" applyAlignment="1">
      <alignment horizontal="center" vertical="center" wrapText="1"/>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49" fontId="18" fillId="9" borderId="7" xfId="7" applyNumberFormat="1" applyFont="1" applyFill="1" applyBorder="1" applyAlignment="1" applyProtection="1">
      <alignment vertical="center"/>
      <protection locked="0"/>
    </xf>
    <xf numFmtId="0" fontId="18" fillId="9" borderId="7" xfId="7" applyFont="1" applyFill="1" applyBorder="1" applyAlignment="1" applyProtection="1">
      <alignment horizontal="left" vertical="center"/>
      <protection locked="0"/>
    </xf>
    <xf numFmtId="0" fontId="20" fillId="10" borderId="24" xfId="7" applyFont="1" applyFill="1" applyBorder="1" applyAlignment="1">
      <alignment vertical="center"/>
    </xf>
    <xf numFmtId="0" fontId="39" fillId="0" borderId="0" xfId="7" applyFont="1" applyAlignment="1">
      <alignment horizontal="left" vertical="center" wrapText="1"/>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32" fillId="9" borderId="26" xfId="8" applyNumberFormat="1" applyFont="1" applyFill="1" applyBorder="1" applyAlignment="1" applyProtection="1">
      <alignment horizontal="left" vertical="center"/>
      <protection locked="0"/>
    </xf>
    <xf numFmtId="49" fontId="32" fillId="9" borderId="28" xfId="8" applyNumberFormat="1" applyFont="1" applyFill="1" applyBorder="1" applyAlignment="1" applyProtection="1">
      <alignment horizontal="left" vertical="center"/>
      <protection locked="0"/>
    </xf>
    <xf numFmtId="0" fontId="33" fillId="9" borderId="26" xfId="8" applyFont="1" applyFill="1" applyBorder="1" applyAlignment="1" applyProtection="1">
      <alignment horizontal="center"/>
      <protection locked="0"/>
    </xf>
    <xf numFmtId="0" fontId="33" fillId="9" borderId="27" xfId="8" applyFont="1" applyFill="1" applyBorder="1" applyAlignment="1" applyProtection="1">
      <alignment horizontal="center"/>
      <protection locked="0"/>
    </xf>
    <xf numFmtId="49" fontId="32" fillId="9" borderId="48" xfId="8" applyNumberFormat="1" applyFont="1" applyFill="1" applyBorder="1" applyAlignment="1" applyProtection="1">
      <alignment horizontal="left" vertical="center"/>
      <protection locked="0"/>
    </xf>
    <xf numFmtId="49" fontId="32" fillId="9" borderId="51" xfId="8" applyNumberFormat="1" applyFont="1" applyFill="1" applyBorder="1" applyAlignment="1" applyProtection="1">
      <alignment horizontal="left" vertical="center"/>
      <protection locked="0"/>
    </xf>
    <xf numFmtId="49" fontId="31" fillId="9" borderId="26" xfId="8" applyNumberFormat="1" applyFont="1" applyFill="1" applyBorder="1" applyAlignment="1" applyProtection="1">
      <alignment horizontal="left" vertical="center"/>
      <protection locked="0"/>
    </xf>
    <xf numFmtId="49" fontId="31" fillId="9" borderId="28" xfId="8" applyNumberFormat="1" applyFont="1" applyFill="1" applyBorder="1" applyAlignment="1" applyProtection="1">
      <alignment horizontal="left" vertical="center"/>
      <protection locked="0"/>
    </xf>
    <xf numFmtId="0" fontId="20" fillId="7" borderId="26" xfId="7" applyFont="1" applyFill="1" applyBorder="1" applyAlignment="1">
      <alignment horizontal="center" vertical="center"/>
    </xf>
    <xf numFmtId="0" fontId="20" fillId="7" borderId="27" xfId="7" applyFont="1" applyFill="1" applyBorder="1" applyAlignment="1">
      <alignment horizontal="center" vertical="center"/>
    </xf>
    <xf numFmtId="0" fontId="20" fillId="7" borderId="0" xfId="7" applyFont="1" applyFill="1" applyAlignment="1">
      <alignment horizontal="center" vertical="center"/>
    </xf>
    <xf numFmtId="0" fontId="18" fillId="9" borderId="23" xfId="7" applyFont="1" applyFill="1" applyBorder="1" applyAlignment="1" applyProtection="1">
      <alignment horizontal="left" vertical="center"/>
      <protection locked="0"/>
    </xf>
    <xf numFmtId="0" fontId="18" fillId="9" borderId="0" xfId="7" applyFont="1" applyFill="1" applyAlignment="1" applyProtection="1">
      <alignment horizontal="left" vertical="center"/>
      <protection locked="0"/>
    </xf>
    <xf numFmtId="0" fontId="20" fillId="7" borderId="48" xfId="7" applyFont="1" applyFill="1" applyBorder="1" applyAlignment="1">
      <alignment horizontal="center" vertical="center"/>
    </xf>
    <xf numFmtId="0" fontId="20" fillId="7" borderId="49" xfId="7" applyFont="1" applyFill="1" applyBorder="1" applyAlignment="1">
      <alignment horizontal="center" vertical="center"/>
    </xf>
    <xf numFmtId="0" fontId="29" fillId="7" borderId="21" xfId="8" applyFont="1" applyFill="1" applyBorder="1" applyAlignment="1">
      <alignment horizontal="center" vertical="center"/>
    </xf>
    <xf numFmtId="0" fontId="29" fillId="7" borderId="0" xfId="8" applyFont="1" applyFill="1" applyAlignment="1">
      <alignment horizontal="center" vertical="center"/>
    </xf>
    <xf numFmtId="0" fontId="33" fillId="6" borderId="26" xfId="8" applyFont="1" applyFill="1" applyBorder="1" applyAlignment="1" applyProtection="1">
      <alignment horizontal="center"/>
      <protection locked="0"/>
    </xf>
    <xf numFmtId="0" fontId="33" fillId="6" borderId="27" xfId="8" applyFont="1" applyFill="1" applyBorder="1" applyAlignment="1" applyProtection="1">
      <alignment horizontal="center"/>
      <protection locked="0"/>
    </xf>
    <xf numFmtId="49" fontId="32" fillId="9" borderId="50" xfId="8" applyNumberFormat="1" applyFont="1" applyFill="1" applyBorder="1" applyAlignment="1" applyProtection="1">
      <alignment horizontal="left" vertical="center"/>
      <protection locked="0"/>
    </xf>
    <xf numFmtId="49" fontId="32" fillId="9" borderId="46" xfId="8" applyNumberFormat="1" applyFont="1" applyFill="1" applyBorder="1" applyAlignment="1" applyProtection="1">
      <alignment horizontal="left" vertical="center"/>
      <protection locked="0"/>
    </xf>
    <xf numFmtId="49" fontId="18" fillId="9" borderId="26" xfId="7" applyNumberFormat="1" applyFont="1" applyFill="1" applyBorder="1" applyAlignment="1" applyProtection="1">
      <alignment horizontal="left" vertical="center"/>
      <protection locked="0"/>
    </xf>
    <xf numFmtId="49" fontId="18" fillId="9" borderId="27" xfId="7" applyNumberFormat="1" applyFont="1" applyFill="1" applyBorder="1" applyAlignment="1" applyProtection="1">
      <alignment horizontal="lef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34">
    <dxf>
      <font>
        <b/>
        <i val="0"/>
        <color rgb="FFFF0000"/>
      </font>
    </dxf>
    <dxf>
      <font>
        <b/>
        <i val="0"/>
        <color rgb="FFFF0000"/>
      </font>
    </dxf>
    <dxf>
      <font>
        <b/>
        <i val="0"/>
        <color rgb="FFFF0000"/>
      </font>
    </dxf>
    <dxf>
      <font>
        <b/>
        <i val="0"/>
        <color rgb="FFFF0000"/>
      </font>
    </dxf>
    <dxf>
      <font>
        <b/>
        <i val="0"/>
        <color rgb="FFFF0000"/>
      </font>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ill>
        <patternFill>
          <bgColor rgb="FFF2F2F2"/>
        </patternFill>
      </fill>
    </dxf>
    <dxf>
      <fill>
        <patternFill>
          <bgColor rgb="FFF2F2F2"/>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12</xdr:col>
      <xdr:colOff>19539</xdr:colOff>
      <xdr:row>1</xdr:row>
      <xdr:rowOff>30340</xdr:rowOff>
    </xdr:to>
    <xdr:pic>
      <xdr:nvPicPr>
        <xdr:cNvPr id="2" name="Picture 4">
          <a:extLst>
            <a:ext uri="{FF2B5EF4-FFF2-40B4-BE49-F238E27FC236}">
              <a16:creationId xmlns:a16="http://schemas.microsoft.com/office/drawing/2014/main" id="{69E0BE4C-B51A-3640-AFD5-A04F683E58B9}"/>
            </a:ext>
          </a:extLst>
        </xdr:cNvPr>
        <xdr:cNvPicPr/>
      </xdr:nvPicPr>
      <xdr:blipFill>
        <a:blip xmlns:r="http://schemas.openxmlformats.org/officeDocument/2006/relationships" r:embed="rId1"/>
        <a:stretch/>
      </xdr:blipFill>
      <xdr:spPr>
        <a:xfrm>
          <a:off x="0" y="9360"/>
          <a:ext cx="26445308" cy="1427749"/>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BFDBDDB4-33D0-D44C-932B-9C97DDE9BA12}"/>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twoCellAnchor editAs="oneCell">
    <xdr:from>
      <xdr:col>9</xdr:col>
      <xdr:colOff>2325078</xdr:colOff>
      <xdr:row>0</xdr:row>
      <xdr:rowOff>227555</xdr:rowOff>
    </xdr:from>
    <xdr:to>
      <xdr:col>11</xdr:col>
      <xdr:colOff>2090615</xdr:colOff>
      <xdr:row>0</xdr:row>
      <xdr:rowOff>527539</xdr:rowOff>
    </xdr:to>
    <xdr:pic>
      <xdr:nvPicPr>
        <xdr:cNvPr id="5" name="Picture 4">
          <a:extLst>
            <a:ext uri="{FF2B5EF4-FFF2-40B4-BE49-F238E27FC236}">
              <a16:creationId xmlns:a16="http://schemas.microsoft.com/office/drawing/2014/main" id="{E8AA13CD-AE46-F14B-B436-B846B5B68575}"/>
            </a:ext>
          </a:extLst>
        </xdr:cNvPr>
        <xdr:cNvPicPr/>
      </xdr:nvPicPr>
      <xdr:blipFill>
        <a:blip xmlns:r="http://schemas.openxmlformats.org/officeDocument/2006/relationships" r:embed="rId2"/>
        <a:stretch/>
      </xdr:blipFill>
      <xdr:spPr>
        <a:xfrm>
          <a:off x="18717847" y="227555"/>
          <a:ext cx="3731845" cy="299984"/>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Users/mdaneri/Documents/vcf-ems-Deployment-Parameter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mdaneri/Downloads/vcf-virtual-deployment-parameter.xltx" TargetMode="External"/><Relationship Id="rId1" Type="http://schemas.openxmlformats.org/officeDocument/2006/relationships/externalLinkPath" Target="vcf-virtual-deployment-parameter.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Lookup_Lists"/>
      <sheetName val="Config_File_Build"/>
      <sheetName val="Change Log"/>
      <sheetName val="Virtual Deployment"/>
    </sheetNames>
    <sheetDataSet>
      <sheetData sheetId="0"/>
      <sheetData sheetId="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sheetData>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refreshError="1"/>
      <sheetData sheetId="1" refreshError="1"/>
      <sheetData sheetId="2" refreshError="1"/>
      <sheetData sheetId="3">
        <row r="21">
          <cell r="J21" t="str">
            <v>No</v>
          </cell>
        </row>
      </sheetData>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x14ac:dyDescent="0.2"/>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x14ac:dyDescent="0.2">
      <c r="B1" s="4"/>
      <c r="E1" s="5"/>
      <c r="G1" s="5"/>
      <c r="H1" s="5"/>
      <c r="I1" s="5"/>
      <c r="J1" s="5"/>
      <c r="K1" s="5"/>
      <c r="L1" s="5"/>
      <c r="M1" s="5"/>
      <c r="N1" s="5"/>
      <c r="O1" s="5"/>
    </row>
    <row r="2" spans="2:15" s="3" customFormat="1" ht="3" customHeight="1" x14ac:dyDescent="0.2">
      <c r="B2" s="4"/>
      <c r="E2" s="5"/>
      <c r="G2" s="5"/>
      <c r="H2" s="5"/>
      <c r="I2" s="5"/>
      <c r="J2" s="5"/>
      <c r="K2" s="5"/>
      <c r="L2" s="5"/>
      <c r="M2" s="5"/>
      <c r="N2" s="5"/>
      <c r="O2" s="5"/>
    </row>
    <row r="3" spans="2:15" s="3" customFormat="1" ht="47" customHeight="1" x14ac:dyDescent="0.2">
      <c r="B3" s="147" t="s">
        <v>467</v>
      </c>
      <c r="C3" s="147"/>
      <c r="D3" s="147"/>
      <c r="E3" s="6"/>
      <c r="F3" s="7" t="s">
        <v>412</v>
      </c>
      <c r="G3" s="5"/>
      <c r="H3" s="5"/>
      <c r="I3" s="5"/>
      <c r="J3" s="5"/>
      <c r="K3" s="5"/>
      <c r="L3" s="5"/>
      <c r="M3" s="5"/>
      <c r="N3" s="5"/>
      <c r="O3" s="5"/>
    </row>
    <row r="4" spans="2:15" s="5" customFormat="1" ht="3" customHeight="1" x14ac:dyDescent="0.2">
      <c r="B4" s="8"/>
    </row>
    <row r="5" spans="2:15" s="2" customFormat="1" ht="13" thickBot="1" x14ac:dyDescent="0.2"/>
    <row r="6" spans="2:15" s="9" customFormat="1" ht="15" customHeight="1" x14ac:dyDescent="0.15">
      <c r="B6" s="148" t="s">
        <v>0</v>
      </c>
      <c r="C6" s="149"/>
      <c r="D6" s="149"/>
      <c r="E6" s="149"/>
      <c r="F6" s="150"/>
    </row>
    <row r="7" spans="2:15" s="9" customFormat="1" ht="14" customHeight="1" x14ac:dyDescent="0.15">
      <c r="B7" s="151" t="s">
        <v>435</v>
      </c>
      <c r="C7" s="152"/>
      <c r="D7" s="152"/>
      <c r="E7" s="152"/>
      <c r="F7" s="153"/>
    </row>
    <row r="8" spans="2:15" s="9" customFormat="1" ht="15" customHeight="1" x14ac:dyDescent="0.15">
      <c r="B8" s="154"/>
      <c r="C8" s="155"/>
      <c r="D8" s="155"/>
      <c r="E8" s="155"/>
      <c r="F8" s="156"/>
    </row>
    <row r="9" spans="2:15" s="9" customFormat="1" ht="15" customHeight="1" x14ac:dyDescent="0.15">
      <c r="B9" s="154"/>
      <c r="C9" s="155"/>
      <c r="D9" s="155"/>
      <c r="E9" s="155"/>
      <c r="F9" s="156"/>
    </row>
    <row r="10" spans="2:15" s="9" customFormat="1" ht="15" customHeight="1" x14ac:dyDescent="0.15">
      <c r="B10" s="154"/>
      <c r="C10" s="155"/>
      <c r="D10" s="155"/>
      <c r="E10" s="155"/>
      <c r="F10" s="156"/>
    </row>
    <row r="11" spans="2:15" s="9" customFormat="1" ht="15" customHeight="1" x14ac:dyDescent="0.15">
      <c r="B11" s="154"/>
      <c r="C11" s="155"/>
      <c r="D11" s="155"/>
      <c r="E11" s="155"/>
      <c r="F11" s="156"/>
    </row>
    <row r="12" spans="2:15" s="9" customFormat="1" ht="15" customHeight="1" x14ac:dyDescent="0.15">
      <c r="B12" s="154"/>
      <c r="C12" s="155"/>
      <c r="D12" s="155"/>
      <c r="E12" s="155"/>
      <c r="F12" s="156"/>
    </row>
    <row r="13" spans="2:15" s="9" customFormat="1" ht="15" customHeight="1" x14ac:dyDescent="0.15">
      <c r="B13" s="154"/>
      <c r="C13" s="155"/>
      <c r="D13" s="155"/>
      <c r="E13" s="155"/>
      <c r="F13" s="156"/>
    </row>
    <row r="14" spans="2:15" s="9" customFormat="1" ht="15" customHeight="1" x14ac:dyDescent="0.15">
      <c r="B14" s="154"/>
      <c r="C14" s="155"/>
      <c r="D14" s="155"/>
      <c r="E14" s="155"/>
      <c r="F14" s="156"/>
    </row>
    <row r="15" spans="2:15" s="9" customFormat="1" ht="15" customHeight="1" x14ac:dyDescent="0.15">
      <c r="B15" s="154"/>
      <c r="C15" s="155"/>
      <c r="D15" s="155"/>
      <c r="E15" s="155"/>
      <c r="F15" s="156"/>
    </row>
    <row r="16" spans="2:15" s="9" customFormat="1" ht="15" customHeight="1" x14ac:dyDescent="0.15">
      <c r="B16" s="154"/>
      <c r="C16" s="155"/>
      <c r="D16" s="155"/>
      <c r="E16" s="155"/>
      <c r="F16" s="156"/>
    </row>
    <row r="17" spans="2:6" s="9" customFormat="1" ht="15" customHeight="1" x14ac:dyDescent="0.15">
      <c r="B17" s="154"/>
      <c r="C17" s="155"/>
      <c r="D17" s="155"/>
      <c r="E17" s="155"/>
      <c r="F17" s="156"/>
    </row>
    <row r="18" spans="2:6" s="9" customFormat="1" ht="15" customHeight="1" x14ac:dyDescent="0.15">
      <c r="B18" s="154"/>
      <c r="C18" s="155"/>
      <c r="D18" s="155"/>
      <c r="E18" s="155"/>
      <c r="F18" s="156"/>
    </row>
    <row r="19" spans="2:6" s="9" customFormat="1" ht="15" customHeight="1" x14ac:dyDescent="0.15">
      <c r="B19" s="154"/>
      <c r="C19" s="155"/>
      <c r="D19" s="155"/>
      <c r="E19" s="155"/>
      <c r="F19" s="156"/>
    </row>
    <row r="20" spans="2:6" s="9" customFormat="1" ht="15" customHeight="1" x14ac:dyDescent="0.15">
      <c r="B20" s="154"/>
      <c r="C20" s="155"/>
      <c r="D20" s="155"/>
      <c r="E20" s="155"/>
      <c r="F20" s="156"/>
    </row>
    <row r="21" spans="2:6" s="9" customFormat="1" ht="15" customHeight="1" x14ac:dyDescent="0.15">
      <c r="B21" s="154"/>
      <c r="C21" s="155"/>
      <c r="D21" s="155"/>
      <c r="E21" s="155"/>
      <c r="F21" s="156"/>
    </row>
    <row r="22" spans="2:6" s="9" customFormat="1" ht="15" customHeight="1" thickBot="1" x14ac:dyDescent="0.2">
      <c r="B22" s="157"/>
      <c r="C22" s="158"/>
      <c r="D22" s="158"/>
      <c r="E22" s="158"/>
      <c r="F22" s="159"/>
    </row>
    <row r="23" spans="2:6" s="9" customFormat="1" ht="15" customHeight="1" x14ac:dyDescent="0.15">
      <c r="B23" s="130"/>
      <c r="C23" s="130"/>
      <c r="D23" s="130"/>
      <c r="E23" s="130"/>
      <c r="F23" s="130"/>
    </row>
    <row r="24" spans="2:6" s="2" customFormat="1" ht="13" thickBot="1" x14ac:dyDescent="0.2"/>
    <row r="25" spans="2:6" s="2" customFormat="1" ht="12" x14ac:dyDescent="0.15">
      <c r="B25" s="160" t="s">
        <v>1</v>
      </c>
      <c r="C25" s="160"/>
      <c r="D25" s="160"/>
      <c r="E25" s="160"/>
      <c r="F25" s="160"/>
    </row>
    <row r="26" spans="2:6" s="2" customFormat="1" ht="14" customHeight="1" x14ac:dyDescent="0.15">
      <c r="B26" s="161" t="s">
        <v>371</v>
      </c>
      <c r="C26" s="161"/>
      <c r="D26" s="161"/>
      <c r="E26" s="161"/>
      <c r="F26" s="161"/>
    </row>
    <row r="27" spans="2:6" s="2" customFormat="1" ht="12" x14ac:dyDescent="0.15">
      <c r="B27" s="161"/>
      <c r="C27" s="161"/>
      <c r="D27" s="161"/>
      <c r="E27" s="161"/>
      <c r="F27" s="161"/>
    </row>
    <row r="28" spans="2:6" s="2" customFormat="1" ht="12" x14ac:dyDescent="0.15">
      <c r="B28" s="161"/>
      <c r="C28" s="161"/>
      <c r="D28" s="161"/>
      <c r="E28" s="161"/>
      <c r="F28" s="161"/>
    </row>
    <row r="29" spans="2:6" s="2" customFormat="1" ht="12" x14ac:dyDescent="0.15">
      <c r="B29" s="161"/>
      <c r="C29" s="161"/>
      <c r="D29" s="161"/>
      <c r="E29" s="161"/>
      <c r="F29" s="161"/>
    </row>
    <row r="30" spans="2:6" s="2" customFormat="1" ht="12" x14ac:dyDescent="0.15">
      <c r="B30" s="161"/>
      <c r="C30" s="161"/>
      <c r="D30" s="161"/>
      <c r="E30" s="161"/>
      <c r="F30" s="161"/>
    </row>
    <row r="31" spans="2:6" s="2" customFormat="1" ht="12" x14ac:dyDescent="0.15">
      <c r="B31" s="161"/>
      <c r="C31" s="161"/>
      <c r="D31" s="161"/>
      <c r="E31" s="161"/>
      <c r="F31" s="161"/>
    </row>
    <row r="32" spans="2:6" s="2" customFormat="1" ht="12" x14ac:dyDescent="0.15">
      <c r="B32" s="161"/>
      <c r="C32" s="161"/>
      <c r="D32" s="161"/>
      <c r="E32" s="161"/>
      <c r="F32" s="161"/>
    </row>
    <row r="33" s="2" customFormat="1" ht="12" x14ac:dyDescent="0.15"/>
    <row r="34" s="2" customFormat="1" ht="12" x14ac:dyDescent="0.15"/>
    <row r="35" s="2" customFormat="1" ht="12" x14ac:dyDescent="0.15"/>
    <row r="36" s="2" customFormat="1" ht="12" x14ac:dyDescent="0.15"/>
    <row r="37" s="2" customFormat="1" ht="12" x14ac:dyDescent="0.15"/>
    <row r="38" s="2" customFormat="1" ht="12" x14ac:dyDescent="0.15"/>
    <row r="39" s="2" customFormat="1" ht="12" x14ac:dyDescent="0.15"/>
    <row r="40" s="2" customFormat="1" ht="12" x14ac:dyDescent="0.15"/>
    <row r="41" s="2" customFormat="1" ht="12" x14ac:dyDescent="0.15"/>
    <row r="42" s="2" customFormat="1" ht="12" x14ac:dyDescent="0.15"/>
    <row r="43" s="2" customFormat="1" ht="12" x14ac:dyDescent="0.15"/>
    <row r="44" s="2" customFormat="1" ht="12" x14ac:dyDescent="0.15"/>
    <row r="45" s="2" customFormat="1" ht="12" x14ac:dyDescent="0.15"/>
    <row r="46" s="2" customFormat="1" ht="12" x14ac:dyDescent="0.15"/>
    <row r="47" s="2" customFormat="1" ht="12" x14ac:dyDescent="0.15"/>
    <row r="48" s="2" customFormat="1" ht="12" x14ac:dyDescent="0.15"/>
    <row r="49" s="2" customFormat="1" ht="12" x14ac:dyDescent="0.15"/>
    <row r="50" s="2" customFormat="1" ht="12" x14ac:dyDescent="0.15"/>
    <row r="51" s="2" customFormat="1" ht="12" x14ac:dyDescent="0.15"/>
    <row r="52" s="2" customFormat="1" ht="12" x14ac:dyDescent="0.15"/>
    <row r="53" s="2" customFormat="1" ht="12" x14ac:dyDescent="0.15"/>
    <row r="54" s="2" customFormat="1" ht="12" x14ac:dyDescent="0.15"/>
    <row r="55" s="2" customFormat="1" ht="12" x14ac:dyDescent="0.15"/>
    <row r="56" s="2" customFormat="1" ht="12" x14ac:dyDescent="0.15"/>
    <row r="57" s="2" customFormat="1" ht="12" x14ac:dyDescent="0.15"/>
    <row r="58" s="2" customFormat="1" ht="12" x14ac:dyDescent="0.15"/>
    <row r="59" s="2" customFormat="1" ht="12" x14ac:dyDescent="0.15"/>
    <row r="60" s="2" customFormat="1" ht="12" x14ac:dyDescent="0.15"/>
    <row r="61" s="2" customFormat="1" ht="12" x14ac:dyDescent="0.15"/>
    <row r="62" s="2" customFormat="1" ht="12" x14ac:dyDescent="0.15"/>
    <row r="63" s="2" customFormat="1" ht="12" x14ac:dyDescent="0.15"/>
    <row r="64" s="2" customFormat="1" ht="12" x14ac:dyDescent="0.15"/>
    <row r="65" s="2" customFormat="1" ht="12" x14ac:dyDescent="0.15"/>
    <row r="66" s="2" customFormat="1" ht="12" x14ac:dyDescent="0.15"/>
    <row r="67" s="2" customFormat="1" ht="12" x14ac:dyDescent="0.15"/>
    <row r="68" s="2" customFormat="1" ht="12" x14ac:dyDescent="0.15"/>
    <row r="69" s="2" customFormat="1" ht="12" x14ac:dyDescent="0.15"/>
    <row r="70" s="2" customFormat="1" ht="12" x14ac:dyDescent="0.15"/>
    <row r="71" s="2" customFormat="1" ht="12" x14ac:dyDescent="0.15"/>
    <row r="72" s="2" customFormat="1" ht="12" x14ac:dyDescent="0.15"/>
    <row r="73" s="2" customFormat="1" ht="12" x14ac:dyDescent="0.15"/>
    <row r="74" s="2" customFormat="1" ht="12" x14ac:dyDescent="0.15"/>
    <row r="75" s="2" customFormat="1" ht="12" x14ac:dyDescent="0.15"/>
    <row r="76" s="2" customFormat="1" ht="12" x14ac:dyDescent="0.15"/>
    <row r="77" s="2" customFormat="1" ht="12" x14ac:dyDescent="0.15"/>
    <row r="78" s="2" customFormat="1" ht="12" x14ac:dyDescent="0.15"/>
    <row r="79" s="2" customFormat="1" ht="12" x14ac:dyDescent="0.15"/>
    <row r="80" s="2" customFormat="1" ht="12" x14ac:dyDescent="0.15"/>
    <row r="81" s="2" customFormat="1" ht="12" x14ac:dyDescent="0.15"/>
    <row r="82" s="2" customFormat="1" ht="12" x14ac:dyDescent="0.15"/>
    <row r="83" s="2" customFormat="1" ht="12" x14ac:dyDescent="0.15"/>
    <row r="84" s="2" customFormat="1" ht="12" x14ac:dyDescent="0.15"/>
    <row r="85" s="2" customFormat="1" ht="12" x14ac:dyDescent="0.15"/>
    <row r="86" s="2" customFormat="1" ht="12" x14ac:dyDescent="0.15"/>
    <row r="87" s="2" customFormat="1" ht="12" x14ac:dyDescent="0.15"/>
    <row r="88" s="2" customFormat="1" ht="12" x14ac:dyDescent="0.15"/>
    <row r="89" s="2" customFormat="1" ht="12" x14ac:dyDescent="0.15"/>
    <row r="90" s="2" customFormat="1" ht="12" x14ac:dyDescent="0.15"/>
    <row r="91" s="2" customFormat="1" ht="12" x14ac:dyDescent="0.15"/>
    <row r="92" s="2" customFormat="1" ht="12" x14ac:dyDescent="0.15"/>
    <row r="93" s="2" customFormat="1" ht="12" x14ac:dyDescent="0.15"/>
    <row r="94" s="2" customFormat="1" ht="12" x14ac:dyDescent="0.15"/>
    <row r="95" s="2" customFormat="1" ht="12" x14ac:dyDescent="0.15"/>
    <row r="96" s="2" customFormat="1" ht="12" x14ac:dyDescent="0.15"/>
    <row r="97" s="2" customFormat="1" ht="12" x14ac:dyDescent="0.15"/>
    <row r="98" s="2" customFormat="1" ht="12" x14ac:dyDescent="0.15"/>
    <row r="99" s="2" customFormat="1" ht="12" x14ac:dyDescent="0.15"/>
    <row r="100" s="2" customFormat="1" ht="12" x14ac:dyDescent="0.15"/>
    <row r="101" s="2" customFormat="1" ht="12" x14ac:dyDescent="0.15"/>
    <row r="102" s="2" customFormat="1" ht="12" x14ac:dyDescent="0.15"/>
    <row r="103" s="2" customFormat="1" ht="12" x14ac:dyDescent="0.15"/>
    <row r="104" s="2" customFormat="1" ht="12" x14ac:dyDescent="0.15"/>
    <row r="105" s="2" customFormat="1" ht="12" x14ac:dyDescent="0.15"/>
    <row r="106" s="2" customFormat="1" ht="12" x14ac:dyDescent="0.15"/>
    <row r="107" s="2" customFormat="1" ht="12" x14ac:dyDescent="0.15"/>
    <row r="108" s="2" customFormat="1" ht="12" x14ac:dyDescent="0.15"/>
    <row r="109" s="2" customFormat="1" ht="12" x14ac:dyDescent="0.15"/>
    <row r="110" s="2" customFormat="1" ht="12" x14ac:dyDescent="0.15"/>
    <row r="111" s="2" customFormat="1" ht="12" x14ac:dyDescent="0.15"/>
    <row r="112" s="2" customFormat="1" ht="12" x14ac:dyDescent="0.15"/>
    <row r="113" s="2" customFormat="1" ht="12" x14ac:dyDescent="0.15"/>
    <row r="114" s="2" customFormat="1" ht="12" x14ac:dyDescent="0.15"/>
    <row r="115" s="2" customFormat="1" ht="12" x14ac:dyDescent="0.15"/>
    <row r="116" s="2" customFormat="1" ht="12" x14ac:dyDescent="0.15"/>
    <row r="117" s="2" customFormat="1" ht="12" x14ac:dyDescent="0.15"/>
    <row r="118" s="2" customFormat="1" ht="12" x14ac:dyDescent="0.15"/>
    <row r="119" s="2" customFormat="1" ht="12" x14ac:dyDescent="0.15"/>
    <row r="120" s="2" customFormat="1" ht="12" x14ac:dyDescent="0.15"/>
    <row r="121" s="2" customFormat="1" ht="12" x14ac:dyDescent="0.15"/>
    <row r="122" s="2" customFormat="1" ht="12" x14ac:dyDescent="0.15"/>
    <row r="123" s="2" customFormat="1" ht="12" x14ac:dyDescent="0.15"/>
    <row r="124" s="2" customFormat="1" ht="12" x14ac:dyDescent="0.15"/>
    <row r="125" s="2" customFormat="1" ht="12" x14ac:dyDescent="0.15"/>
    <row r="126" s="2" customFormat="1" ht="12" x14ac:dyDescent="0.15"/>
    <row r="127" s="2" customFormat="1" ht="12" x14ac:dyDescent="0.15"/>
    <row r="128" s="2" customFormat="1" ht="12" x14ac:dyDescent="0.15"/>
    <row r="129" s="2" customFormat="1" ht="12" x14ac:dyDescent="0.15"/>
    <row r="130" s="2" customFormat="1" ht="12" x14ac:dyDescent="0.15"/>
    <row r="131" s="2" customFormat="1" ht="12" x14ac:dyDescent="0.15"/>
    <row r="132" s="2" customFormat="1" ht="12" x14ac:dyDescent="0.15"/>
    <row r="133" s="2" customFormat="1" ht="12" x14ac:dyDescent="0.15"/>
    <row r="134" s="2" customFormat="1" ht="12" x14ac:dyDescent="0.15"/>
    <row r="135" s="2" customFormat="1" ht="12" x14ac:dyDescent="0.15"/>
    <row r="136" s="2" customFormat="1" ht="12" x14ac:dyDescent="0.15"/>
    <row r="137" s="2" customFormat="1" ht="12" x14ac:dyDescent="0.15"/>
    <row r="138" s="2" customFormat="1" ht="12" x14ac:dyDescent="0.15"/>
    <row r="139" s="2" customFormat="1" ht="12" x14ac:dyDescent="0.15"/>
    <row r="140" s="2" customFormat="1" ht="12" x14ac:dyDescent="0.15"/>
    <row r="141" s="2" customFormat="1" ht="12" x14ac:dyDescent="0.15"/>
    <row r="142" s="2" customFormat="1" ht="12" x14ac:dyDescent="0.15"/>
    <row r="143" s="2" customFormat="1" ht="12" x14ac:dyDescent="0.15"/>
    <row r="144" s="2" customFormat="1" ht="12" x14ac:dyDescent="0.15"/>
    <row r="145" s="2" customFormat="1" ht="12" x14ac:dyDescent="0.15"/>
    <row r="146" s="2" customFormat="1" ht="12" x14ac:dyDescent="0.15"/>
    <row r="147" s="2" customFormat="1" ht="12" x14ac:dyDescent="0.15"/>
    <row r="148" s="2" customFormat="1" ht="12" x14ac:dyDescent="0.15"/>
    <row r="149" s="2" customFormat="1" ht="12" x14ac:dyDescent="0.15"/>
    <row r="150" s="2" customFormat="1" ht="12" x14ac:dyDescent="0.15"/>
    <row r="151" s="2" customFormat="1" ht="12" x14ac:dyDescent="0.15"/>
    <row r="152" s="2" customFormat="1" ht="12" x14ac:dyDescent="0.15"/>
    <row r="153" s="2" customFormat="1" ht="12" x14ac:dyDescent="0.15"/>
    <row r="154" s="2" customFormat="1" ht="12" x14ac:dyDescent="0.15"/>
    <row r="155" s="2" customFormat="1" ht="12" x14ac:dyDescent="0.15"/>
    <row r="156" s="2" customFormat="1" ht="12" x14ac:dyDescent="0.15"/>
    <row r="157" s="2" customFormat="1" ht="12" x14ac:dyDescent="0.15"/>
    <row r="158" s="2" customFormat="1" ht="12" x14ac:dyDescent="0.15"/>
    <row r="159" s="2" customFormat="1" ht="12" x14ac:dyDescent="0.15"/>
    <row r="160" s="2" customFormat="1" ht="12" x14ac:dyDescent="0.15"/>
    <row r="161" s="2" customFormat="1" ht="12" x14ac:dyDescent="0.15"/>
    <row r="162" s="2" customFormat="1" ht="12" x14ac:dyDescent="0.15"/>
    <row r="163" s="2" customFormat="1" ht="12" x14ac:dyDescent="0.15"/>
    <row r="164" s="2" customFormat="1" ht="12" x14ac:dyDescent="0.15"/>
    <row r="165" s="2" customFormat="1" ht="12" x14ac:dyDescent="0.15"/>
    <row r="166" s="2" customFormat="1" ht="12" x14ac:dyDescent="0.15"/>
    <row r="167" s="2" customFormat="1" ht="12" x14ac:dyDescent="0.15"/>
    <row r="168" s="2" customFormat="1" ht="12" x14ac:dyDescent="0.15"/>
    <row r="169" s="2" customFormat="1" ht="12" x14ac:dyDescent="0.15"/>
    <row r="170" s="2" customFormat="1" ht="12" x14ac:dyDescent="0.15"/>
    <row r="171" s="2" customFormat="1" ht="12" x14ac:dyDescent="0.15"/>
    <row r="172" s="2" customFormat="1" ht="12" x14ac:dyDescent="0.15"/>
    <row r="173" s="2" customFormat="1" ht="12" x14ac:dyDescent="0.15"/>
    <row r="174" s="2" customFormat="1" ht="12" x14ac:dyDescent="0.15"/>
    <row r="175" s="2" customFormat="1" ht="12" x14ac:dyDescent="0.15"/>
    <row r="176" s="2" customFormat="1" ht="12" x14ac:dyDescent="0.15"/>
    <row r="177" s="2" customFormat="1" ht="12" x14ac:dyDescent="0.15"/>
    <row r="178" s="2" customFormat="1" ht="12" x14ac:dyDescent="0.15"/>
    <row r="179" s="2" customFormat="1" ht="12" x14ac:dyDescent="0.15"/>
    <row r="180" s="2" customFormat="1" ht="12" x14ac:dyDescent="0.15"/>
    <row r="181" s="2" customFormat="1" ht="12" x14ac:dyDescent="0.15"/>
    <row r="182" s="2" customFormat="1" ht="12" x14ac:dyDescent="0.15"/>
    <row r="183" s="2" customFormat="1" ht="12" x14ac:dyDescent="0.15"/>
    <row r="184" s="2" customFormat="1" ht="12" x14ac:dyDescent="0.15"/>
    <row r="185" s="2" customFormat="1" ht="12" x14ac:dyDescent="0.15"/>
    <row r="186" s="2" customFormat="1" ht="12" x14ac:dyDescent="0.15"/>
    <row r="187" s="2" customFormat="1" ht="12" x14ac:dyDescent="0.15"/>
    <row r="188" s="2" customFormat="1" ht="12" x14ac:dyDescent="0.15"/>
    <row r="189" s="2" customFormat="1" ht="12" x14ac:dyDescent="0.15"/>
    <row r="190" s="2" customFormat="1" ht="12" x14ac:dyDescent="0.15"/>
    <row r="191" s="2" customFormat="1" ht="12" x14ac:dyDescent="0.15"/>
    <row r="192" s="2" customFormat="1" ht="12" x14ac:dyDescent="0.15"/>
    <row r="193" s="2" customFormat="1" ht="12" x14ac:dyDescent="0.15"/>
    <row r="194" s="2" customFormat="1" ht="12" x14ac:dyDescent="0.15"/>
    <row r="195" s="2" customFormat="1" ht="12" x14ac:dyDescent="0.15"/>
    <row r="196" s="2" customFormat="1" ht="12" x14ac:dyDescent="0.15"/>
    <row r="197" s="2" customFormat="1" ht="12" x14ac:dyDescent="0.15"/>
    <row r="198" s="2" customFormat="1" ht="12" x14ac:dyDescent="0.15"/>
    <row r="199" s="2" customFormat="1" ht="12" x14ac:dyDescent="0.15"/>
    <row r="200" s="2" customFormat="1" ht="12" x14ac:dyDescent="0.15"/>
    <row r="201" s="2" customFormat="1" ht="12" x14ac:dyDescent="0.15"/>
    <row r="202" s="2" customFormat="1" ht="12" x14ac:dyDescent="0.15"/>
    <row r="203" s="2" customFormat="1" ht="12" x14ac:dyDescent="0.15"/>
    <row r="204" s="2" customFormat="1" ht="12" x14ac:dyDescent="0.15"/>
    <row r="205" s="2" customFormat="1" ht="12" x14ac:dyDescent="0.15"/>
    <row r="206" s="2" customFormat="1" ht="12" x14ac:dyDescent="0.15"/>
    <row r="207" s="2" customFormat="1" ht="12" x14ac:dyDescent="0.15"/>
    <row r="208" s="2" customFormat="1" ht="12" x14ac:dyDescent="0.15"/>
    <row r="209" s="2" customFormat="1" ht="12" x14ac:dyDescent="0.15"/>
    <row r="210" s="2" customFormat="1" ht="12" x14ac:dyDescent="0.15"/>
    <row r="211" s="2" customFormat="1" ht="12" x14ac:dyDescent="0.15"/>
    <row r="212" s="2" customFormat="1" ht="12" x14ac:dyDescent="0.15"/>
    <row r="213" s="2" customFormat="1" ht="12" x14ac:dyDescent="0.15"/>
    <row r="214" s="2" customFormat="1" ht="12" x14ac:dyDescent="0.15"/>
    <row r="215" s="2" customFormat="1" ht="12" x14ac:dyDescent="0.15"/>
    <row r="216" s="2" customFormat="1" ht="12" x14ac:dyDescent="0.15"/>
    <row r="217" s="2" customFormat="1" ht="12" x14ac:dyDescent="0.15"/>
    <row r="218" s="2" customFormat="1" ht="12" x14ac:dyDescent="0.15"/>
    <row r="219" s="2" customFormat="1" ht="12" x14ac:dyDescent="0.15"/>
    <row r="220" s="2" customFormat="1" ht="12" x14ac:dyDescent="0.15"/>
    <row r="221" s="2" customFormat="1" ht="12" x14ac:dyDescent="0.15"/>
    <row r="222" s="2" customFormat="1" ht="12" x14ac:dyDescent="0.15"/>
    <row r="223" s="2" customFormat="1" ht="12" x14ac:dyDescent="0.15"/>
    <row r="224" s="2" customFormat="1" ht="12" x14ac:dyDescent="0.15"/>
    <row r="225" s="2" customFormat="1" ht="12" x14ac:dyDescent="0.15"/>
    <row r="226" s="2" customFormat="1" ht="12" x14ac:dyDescent="0.15"/>
    <row r="227" s="2" customFormat="1" ht="12" x14ac:dyDescent="0.15"/>
    <row r="228" s="2" customFormat="1" ht="12" x14ac:dyDescent="0.15"/>
    <row r="229" s="2" customFormat="1" ht="12" x14ac:dyDescent="0.15"/>
    <row r="230" s="2" customFormat="1" ht="12" x14ac:dyDescent="0.15"/>
    <row r="231" s="2" customFormat="1" ht="12" x14ac:dyDescent="0.15"/>
    <row r="232" s="2" customFormat="1" ht="12" x14ac:dyDescent="0.15"/>
    <row r="233" s="2" customFormat="1" ht="12" x14ac:dyDescent="0.15"/>
    <row r="234" s="2" customFormat="1" ht="12" x14ac:dyDescent="0.15"/>
    <row r="235" s="2" customFormat="1" ht="12" x14ac:dyDescent="0.15"/>
    <row r="236" s="2" customFormat="1" ht="12" x14ac:dyDescent="0.15"/>
    <row r="237" s="2" customFormat="1" ht="12" x14ac:dyDescent="0.15"/>
    <row r="238" s="2" customFormat="1" ht="12" x14ac:dyDescent="0.15"/>
    <row r="239" s="2" customFormat="1" ht="12" x14ac:dyDescent="0.15"/>
    <row r="240" s="2" customFormat="1" ht="12" x14ac:dyDescent="0.15"/>
    <row r="241" s="2" customFormat="1" ht="12" x14ac:dyDescent="0.15"/>
    <row r="242" s="2" customFormat="1" ht="12" x14ac:dyDescent="0.15"/>
    <row r="243" s="2" customFormat="1" ht="12" x14ac:dyDescent="0.15"/>
    <row r="244" s="2" customFormat="1" ht="12" x14ac:dyDescent="0.15"/>
    <row r="245" s="2" customFormat="1" ht="12" x14ac:dyDescent="0.15"/>
    <row r="246" s="2" customFormat="1" ht="12" x14ac:dyDescent="0.15"/>
    <row r="247" s="2" customFormat="1" ht="12" x14ac:dyDescent="0.15"/>
    <row r="248" s="2" customFormat="1" ht="12" x14ac:dyDescent="0.15"/>
    <row r="249" s="2" customFormat="1" ht="12" x14ac:dyDescent="0.15"/>
    <row r="250" s="2" customFormat="1" ht="12" x14ac:dyDescent="0.15"/>
    <row r="251" s="2" customFormat="1" ht="12" x14ac:dyDescent="0.15"/>
    <row r="252" s="2" customFormat="1" ht="12" x14ac:dyDescent="0.15"/>
    <row r="253" s="2" customFormat="1" ht="12" x14ac:dyDescent="0.15"/>
    <row r="254" s="2" customFormat="1" ht="12" x14ac:dyDescent="0.15"/>
    <row r="255" s="2" customFormat="1" ht="12" x14ac:dyDescent="0.15"/>
    <row r="256" s="2" customFormat="1" ht="12" x14ac:dyDescent="0.15"/>
    <row r="257" s="2" customFormat="1" ht="12" x14ac:dyDescent="0.15"/>
    <row r="258" s="2" customFormat="1" ht="12" x14ac:dyDescent="0.15"/>
    <row r="259" s="2" customFormat="1" ht="12" x14ac:dyDescent="0.15"/>
    <row r="260" s="2" customFormat="1" ht="12" x14ac:dyDescent="0.15"/>
    <row r="261" s="2" customFormat="1" ht="12" x14ac:dyDescent="0.15"/>
    <row r="262" s="2" customFormat="1" ht="12" x14ac:dyDescent="0.15"/>
    <row r="263" s="2" customFormat="1" ht="12" x14ac:dyDescent="0.15"/>
    <row r="264" s="2" customFormat="1" ht="12" x14ac:dyDescent="0.15"/>
    <row r="265" s="2" customFormat="1" ht="12" x14ac:dyDescent="0.15"/>
    <row r="266" s="2" customFormat="1" ht="12" x14ac:dyDescent="0.15"/>
    <row r="267" s="2" customFormat="1" ht="12" x14ac:dyDescent="0.15"/>
    <row r="268" s="2" customFormat="1" ht="12" x14ac:dyDescent="0.15"/>
    <row r="269" s="2" customFormat="1" ht="12" x14ac:dyDescent="0.15"/>
    <row r="270" s="2" customFormat="1" ht="12" x14ac:dyDescent="0.15"/>
    <row r="271" s="2" customFormat="1" ht="12" x14ac:dyDescent="0.15"/>
    <row r="272" s="2" customFormat="1" ht="12" x14ac:dyDescent="0.15"/>
    <row r="273" s="2" customFormat="1" ht="12" x14ac:dyDescent="0.15"/>
    <row r="274" s="2" customFormat="1" ht="12" x14ac:dyDescent="0.15"/>
    <row r="275" s="2" customFormat="1" ht="12" x14ac:dyDescent="0.15"/>
    <row r="276" s="2" customFormat="1" ht="12" x14ac:dyDescent="0.15"/>
    <row r="277" s="2" customFormat="1" ht="12" x14ac:dyDescent="0.15"/>
    <row r="278" s="2" customFormat="1" ht="12" x14ac:dyDescent="0.15"/>
    <row r="279" s="2" customFormat="1" ht="12" x14ac:dyDescent="0.15"/>
    <row r="280" s="2" customFormat="1" ht="12" x14ac:dyDescent="0.15"/>
    <row r="281" s="2" customFormat="1" ht="12" x14ac:dyDescent="0.15"/>
    <row r="282" s="2" customFormat="1" ht="12" x14ac:dyDescent="0.15"/>
    <row r="283" s="2" customFormat="1" ht="12" x14ac:dyDescent="0.15"/>
    <row r="284" s="2" customFormat="1" ht="12" x14ac:dyDescent="0.15"/>
    <row r="285" s="2" customFormat="1" ht="12" x14ac:dyDescent="0.15"/>
    <row r="286" s="2" customFormat="1" ht="12" x14ac:dyDescent="0.15"/>
    <row r="287" s="2" customFormat="1" ht="12" x14ac:dyDescent="0.15"/>
    <row r="288" s="2" customFormat="1" ht="12" x14ac:dyDescent="0.15"/>
    <row r="289" s="2" customFormat="1" ht="12" x14ac:dyDescent="0.15"/>
    <row r="290" s="2" customFormat="1" ht="12" x14ac:dyDescent="0.15"/>
    <row r="291" s="2" customFormat="1" ht="12" x14ac:dyDescent="0.15"/>
    <row r="292" s="2" customFormat="1" ht="12" x14ac:dyDescent="0.15"/>
    <row r="293" s="2" customFormat="1" ht="12" x14ac:dyDescent="0.15"/>
    <row r="294" s="2" customFormat="1" ht="12" x14ac:dyDescent="0.15"/>
    <row r="295" s="2" customFormat="1" ht="12" x14ac:dyDescent="0.15"/>
    <row r="296" s="2" customFormat="1" ht="12" x14ac:dyDescent="0.15"/>
    <row r="297" s="2" customFormat="1" ht="12" x14ac:dyDescent="0.15"/>
    <row r="298" s="2" customFormat="1" ht="12" x14ac:dyDescent="0.15"/>
    <row r="299" s="2" customFormat="1" ht="12" x14ac:dyDescent="0.15"/>
    <row r="300" s="2" customFormat="1" ht="12" x14ac:dyDescent="0.15"/>
    <row r="301" s="2" customFormat="1" ht="12" x14ac:dyDescent="0.15"/>
    <row r="302" s="2" customFormat="1" ht="12" x14ac:dyDescent="0.15"/>
    <row r="303" s="2" customFormat="1" ht="12" x14ac:dyDescent="0.15"/>
    <row r="304" s="2" customFormat="1" ht="12" x14ac:dyDescent="0.15"/>
    <row r="305" s="2" customFormat="1" ht="12" x14ac:dyDescent="0.15"/>
    <row r="306" s="2" customFormat="1" ht="12" x14ac:dyDescent="0.15"/>
    <row r="307" s="2" customFormat="1" ht="12" x14ac:dyDescent="0.15"/>
    <row r="308" s="2" customFormat="1" ht="12" x14ac:dyDescent="0.15"/>
    <row r="309" s="2" customFormat="1" ht="12" x14ac:dyDescent="0.15"/>
    <row r="310" s="2" customFormat="1" ht="12" x14ac:dyDescent="0.15"/>
    <row r="311" s="2" customFormat="1" ht="12" x14ac:dyDescent="0.15"/>
    <row r="312" s="2" customFormat="1" ht="12" x14ac:dyDescent="0.15"/>
    <row r="313" s="2" customFormat="1" ht="12" x14ac:dyDescent="0.15"/>
    <row r="314" s="2" customFormat="1" ht="12" x14ac:dyDescent="0.15"/>
    <row r="315" s="2" customFormat="1" ht="12" x14ac:dyDescent="0.15"/>
    <row r="316" s="2" customFormat="1" ht="12" x14ac:dyDescent="0.15"/>
    <row r="317" s="2" customFormat="1" ht="12" x14ac:dyDescent="0.15"/>
    <row r="318" s="2" customFormat="1" ht="12" x14ac:dyDescent="0.15"/>
    <row r="319" s="2" customFormat="1" ht="12" x14ac:dyDescent="0.15"/>
    <row r="320" s="2" customFormat="1" ht="12" x14ac:dyDescent="0.15"/>
    <row r="321" s="2" customFormat="1" ht="12" x14ac:dyDescent="0.15"/>
    <row r="322" s="2" customFormat="1" ht="12" x14ac:dyDescent="0.15"/>
    <row r="323" s="2" customFormat="1" ht="12" x14ac:dyDescent="0.15"/>
    <row r="324" s="2" customFormat="1" ht="12" x14ac:dyDescent="0.15"/>
    <row r="325" s="2" customFormat="1" ht="12" x14ac:dyDescent="0.15"/>
    <row r="326" s="2" customFormat="1" ht="12" x14ac:dyDescent="0.15"/>
    <row r="327" s="2" customFormat="1" ht="12" x14ac:dyDescent="0.15"/>
    <row r="328" s="2" customFormat="1" ht="12" x14ac:dyDescent="0.15"/>
    <row r="329" s="2" customFormat="1" ht="12" x14ac:dyDescent="0.15"/>
    <row r="330" s="2" customFormat="1" ht="12" x14ac:dyDescent="0.15"/>
    <row r="331" s="2" customFormat="1" ht="12" x14ac:dyDescent="0.15"/>
    <row r="332" s="2" customFormat="1" ht="12" x14ac:dyDescent="0.15"/>
    <row r="333" s="2" customFormat="1" ht="12" x14ac:dyDescent="0.15"/>
    <row r="334" s="2" customFormat="1" ht="12" x14ac:dyDescent="0.15"/>
    <row r="335" s="2" customFormat="1" ht="12" x14ac:dyDescent="0.15"/>
    <row r="336" s="2" customFormat="1" ht="12" x14ac:dyDescent="0.15"/>
    <row r="337" s="2" customFormat="1" ht="12" x14ac:dyDescent="0.15"/>
    <row r="338" s="2" customFormat="1" ht="12" x14ac:dyDescent="0.15"/>
    <row r="339" s="2" customFormat="1" ht="12" x14ac:dyDescent="0.15"/>
    <row r="340" s="2" customFormat="1" ht="12" x14ac:dyDescent="0.15"/>
    <row r="341" s="2" customFormat="1" ht="12" x14ac:dyDescent="0.15"/>
    <row r="342" s="2" customFormat="1" ht="12" x14ac:dyDescent="0.15"/>
    <row r="343" s="2" customFormat="1" ht="12" x14ac:dyDescent="0.15"/>
    <row r="344" s="2" customFormat="1" ht="12" x14ac:dyDescent="0.15"/>
    <row r="345" s="2" customFormat="1" ht="12" x14ac:dyDescent="0.15"/>
    <row r="346" s="2" customFormat="1" ht="12" x14ac:dyDescent="0.15"/>
    <row r="347" s="2" customFormat="1" ht="12" x14ac:dyDescent="0.15"/>
    <row r="348" s="2" customFormat="1" ht="12" x14ac:dyDescent="0.15"/>
    <row r="349" s="2" customFormat="1" ht="12" x14ac:dyDescent="0.15"/>
    <row r="350" s="2" customFormat="1" ht="12" x14ac:dyDescent="0.15"/>
    <row r="351" s="2" customFormat="1" ht="12" x14ac:dyDescent="0.15"/>
    <row r="352" s="2" customFormat="1" ht="12" x14ac:dyDescent="0.15"/>
    <row r="353" s="2" customFormat="1" ht="12" x14ac:dyDescent="0.15"/>
    <row r="354" s="2" customFormat="1" ht="12" x14ac:dyDescent="0.15"/>
    <row r="355" s="2" customFormat="1" ht="12" x14ac:dyDescent="0.15"/>
    <row r="356" s="2" customFormat="1" ht="12" x14ac:dyDescent="0.15"/>
    <row r="357" s="2" customFormat="1" ht="12" x14ac:dyDescent="0.15"/>
    <row r="358" s="2" customFormat="1" ht="12" x14ac:dyDescent="0.15"/>
    <row r="359" s="2" customFormat="1" ht="12" x14ac:dyDescent="0.15"/>
    <row r="360" s="2" customFormat="1" ht="12" x14ac:dyDescent="0.15"/>
    <row r="361" s="2" customFormat="1" ht="12" x14ac:dyDescent="0.15"/>
    <row r="362" s="2" customFormat="1" ht="12" x14ac:dyDescent="0.15"/>
    <row r="363" s="2" customFormat="1" ht="12" x14ac:dyDescent="0.15"/>
    <row r="364" s="2" customFormat="1" ht="12" x14ac:dyDescent="0.15"/>
    <row r="365" s="2" customFormat="1" ht="12" x14ac:dyDescent="0.15"/>
    <row r="366" s="2" customFormat="1" ht="12" x14ac:dyDescent="0.15"/>
    <row r="367" s="2" customFormat="1" ht="12" x14ac:dyDescent="0.15"/>
    <row r="368" s="2" customFormat="1" ht="12" x14ac:dyDescent="0.15"/>
    <row r="369" s="2" customFormat="1" ht="12" x14ac:dyDescent="0.15"/>
    <row r="370" s="2" customFormat="1" ht="12" x14ac:dyDescent="0.15"/>
    <row r="371" s="2" customFormat="1" ht="12" x14ac:dyDescent="0.15"/>
    <row r="372" s="2" customFormat="1" ht="12" x14ac:dyDescent="0.15"/>
    <row r="373" s="2" customFormat="1" ht="12" x14ac:dyDescent="0.15"/>
    <row r="374" s="2" customFormat="1" ht="12" x14ac:dyDescent="0.15"/>
    <row r="375" s="2" customFormat="1" ht="12" x14ac:dyDescent="0.15"/>
    <row r="376" s="2" customFormat="1" ht="12" x14ac:dyDescent="0.15"/>
    <row r="377" s="2" customFormat="1" ht="12" x14ac:dyDescent="0.15"/>
    <row r="378" s="2" customFormat="1" ht="12" x14ac:dyDescent="0.15"/>
    <row r="379" s="2" customFormat="1" ht="12" x14ac:dyDescent="0.15"/>
    <row r="380" s="2" customFormat="1" ht="12" x14ac:dyDescent="0.15"/>
    <row r="381" s="2" customFormat="1" ht="12" x14ac:dyDescent="0.15"/>
    <row r="382" s="2" customFormat="1" ht="12" x14ac:dyDescent="0.15"/>
    <row r="383" s="2" customFormat="1" ht="12" x14ac:dyDescent="0.15"/>
    <row r="384" s="2" customFormat="1" ht="12" x14ac:dyDescent="0.15"/>
    <row r="385" s="2" customFormat="1" ht="12" x14ac:dyDescent="0.15"/>
    <row r="386" s="2" customFormat="1" ht="12" x14ac:dyDescent="0.15"/>
    <row r="387" s="2" customFormat="1" ht="12" x14ac:dyDescent="0.15"/>
    <row r="388" s="2" customFormat="1" ht="12" x14ac:dyDescent="0.15"/>
    <row r="389" s="2" customFormat="1" ht="12" x14ac:dyDescent="0.15"/>
    <row r="390" s="2" customFormat="1" ht="12" x14ac:dyDescent="0.15"/>
    <row r="391" s="2" customFormat="1" ht="12" x14ac:dyDescent="0.15"/>
    <row r="392" s="2" customFormat="1" ht="12" x14ac:dyDescent="0.15"/>
    <row r="393" s="2" customFormat="1" ht="12" x14ac:dyDescent="0.15"/>
    <row r="394" s="2" customFormat="1" ht="12" x14ac:dyDescent="0.15"/>
    <row r="395" s="2" customFormat="1" ht="12" x14ac:dyDescent="0.15"/>
    <row r="396" s="2" customFormat="1" ht="12" x14ac:dyDescent="0.15"/>
    <row r="397" s="2" customFormat="1" ht="12" x14ac:dyDescent="0.15"/>
    <row r="398" s="2" customFormat="1" ht="12" x14ac:dyDescent="0.15"/>
    <row r="399" s="2" customFormat="1" ht="12" x14ac:dyDescent="0.15"/>
    <row r="400" s="2" customFormat="1" ht="12" x14ac:dyDescent="0.15"/>
    <row r="401" s="2" customFormat="1" ht="12" x14ac:dyDescent="0.15"/>
    <row r="402" s="2" customFormat="1" ht="12" x14ac:dyDescent="0.15"/>
    <row r="403" s="2" customFormat="1" ht="12" x14ac:dyDescent="0.15"/>
    <row r="404" s="2" customFormat="1" ht="12" x14ac:dyDescent="0.15"/>
    <row r="405" s="2" customFormat="1" ht="12" x14ac:dyDescent="0.15"/>
    <row r="406" s="2" customFormat="1" ht="12" x14ac:dyDescent="0.15"/>
    <row r="407" s="2" customFormat="1" ht="12" x14ac:dyDescent="0.15"/>
    <row r="408" s="2" customFormat="1" ht="12" x14ac:dyDescent="0.15"/>
    <row r="409" s="2" customFormat="1" ht="12" x14ac:dyDescent="0.15"/>
    <row r="410" s="2" customFormat="1" ht="12" x14ac:dyDescent="0.15"/>
    <row r="411" s="2" customFormat="1" ht="12" x14ac:dyDescent="0.15"/>
    <row r="412" s="2" customFormat="1" ht="12" x14ac:dyDescent="0.15"/>
    <row r="413" s="2" customFormat="1" ht="12" x14ac:dyDescent="0.15"/>
    <row r="414" s="2" customFormat="1" ht="12" x14ac:dyDescent="0.15"/>
    <row r="415" s="2" customFormat="1" ht="12" x14ac:dyDescent="0.15"/>
    <row r="416" s="2" customFormat="1" ht="12" x14ac:dyDescent="0.15"/>
    <row r="417" s="2" customFormat="1" ht="12" x14ac:dyDescent="0.15"/>
    <row r="418" s="2" customFormat="1" ht="12" x14ac:dyDescent="0.15"/>
    <row r="419" s="2" customFormat="1" ht="12" x14ac:dyDescent="0.15"/>
    <row r="420" s="2" customFormat="1" ht="12" x14ac:dyDescent="0.15"/>
    <row r="421" s="2" customFormat="1" ht="12" x14ac:dyDescent="0.15"/>
    <row r="422" s="2" customFormat="1" ht="12" x14ac:dyDescent="0.15"/>
    <row r="423" s="2" customFormat="1" ht="12" x14ac:dyDescent="0.15"/>
    <row r="424" s="2" customFormat="1" ht="12" x14ac:dyDescent="0.15"/>
    <row r="425" s="2" customFormat="1" ht="12" x14ac:dyDescent="0.15"/>
    <row r="426" s="2" customFormat="1" ht="12" x14ac:dyDescent="0.15"/>
    <row r="427" s="2" customFormat="1" ht="12" x14ac:dyDescent="0.15"/>
    <row r="428" s="2" customFormat="1" ht="12" x14ac:dyDescent="0.15"/>
    <row r="429" s="2" customFormat="1" ht="12" x14ac:dyDescent="0.15"/>
    <row r="430" s="2" customFormat="1" ht="12" x14ac:dyDescent="0.15"/>
    <row r="431" s="2" customFormat="1" ht="12" x14ac:dyDescent="0.15"/>
    <row r="432" s="2" customFormat="1" ht="12" x14ac:dyDescent="0.15"/>
    <row r="433" s="2" customFormat="1" ht="12" x14ac:dyDescent="0.15"/>
    <row r="434" s="2" customFormat="1" ht="12" x14ac:dyDescent="0.15"/>
    <row r="435" s="2" customFormat="1" ht="12" x14ac:dyDescent="0.15"/>
    <row r="436" s="2" customFormat="1" ht="12" x14ac:dyDescent="0.15"/>
    <row r="437" s="2" customFormat="1" ht="12" x14ac:dyDescent="0.15"/>
    <row r="438" s="2" customFormat="1" ht="12" x14ac:dyDescent="0.15"/>
    <row r="439" s="2" customFormat="1" ht="12" x14ac:dyDescent="0.15"/>
    <row r="440" s="2" customFormat="1" ht="12" x14ac:dyDescent="0.15"/>
    <row r="441" s="2" customFormat="1" ht="12" x14ac:dyDescent="0.15"/>
    <row r="442" s="2" customFormat="1" ht="12" x14ac:dyDescent="0.15"/>
    <row r="443" s="2" customFormat="1" ht="12" x14ac:dyDescent="0.15"/>
    <row r="444" s="2" customFormat="1" ht="12" x14ac:dyDescent="0.15"/>
    <row r="445" s="2" customFormat="1" ht="12" x14ac:dyDescent="0.15"/>
    <row r="446" s="2" customFormat="1" ht="12" x14ac:dyDescent="0.15"/>
    <row r="447" s="2" customFormat="1" ht="12" x14ac:dyDescent="0.15"/>
    <row r="448" s="2" customFormat="1" ht="12" x14ac:dyDescent="0.15"/>
    <row r="449" s="2" customFormat="1" ht="12" x14ac:dyDescent="0.15"/>
    <row r="450" s="2" customFormat="1" ht="12" x14ac:dyDescent="0.15"/>
    <row r="451" s="2" customFormat="1" ht="12" x14ac:dyDescent="0.15"/>
    <row r="452" s="2" customFormat="1" ht="12" x14ac:dyDescent="0.15"/>
    <row r="453" s="2" customFormat="1" ht="12" x14ac:dyDescent="0.15"/>
    <row r="454" s="2" customFormat="1" ht="12" x14ac:dyDescent="0.15"/>
    <row r="455" s="2" customFormat="1" ht="12" x14ac:dyDescent="0.15"/>
    <row r="456" s="2" customFormat="1" ht="12" x14ac:dyDescent="0.15"/>
    <row r="457" s="2" customFormat="1" ht="12" x14ac:dyDescent="0.15"/>
    <row r="458" s="2" customFormat="1" ht="12" x14ac:dyDescent="0.15"/>
    <row r="459" s="2" customFormat="1" ht="12" x14ac:dyDescent="0.15"/>
    <row r="460" s="2" customFormat="1" ht="12" x14ac:dyDescent="0.15"/>
    <row r="461" s="2" customFormat="1" ht="12" x14ac:dyDescent="0.15"/>
    <row r="462" s="2" customFormat="1" ht="12" x14ac:dyDescent="0.15"/>
    <row r="463" s="2" customFormat="1" ht="12" x14ac:dyDescent="0.15"/>
    <row r="464" s="2" customFormat="1" ht="12" x14ac:dyDescent="0.15"/>
    <row r="465" s="2" customFormat="1" ht="12" x14ac:dyDescent="0.15"/>
    <row r="466" s="2" customFormat="1" ht="12" x14ac:dyDescent="0.15"/>
    <row r="467" s="2" customFormat="1" ht="12" x14ac:dyDescent="0.15"/>
    <row r="468" s="2" customFormat="1" ht="12" x14ac:dyDescent="0.15"/>
    <row r="469" s="2" customFormat="1" ht="12" x14ac:dyDescent="0.15"/>
    <row r="470" s="2" customFormat="1" ht="12" x14ac:dyDescent="0.15"/>
    <row r="471" s="2" customFormat="1" ht="12" x14ac:dyDescent="0.15"/>
    <row r="472" s="2" customFormat="1" ht="12" x14ac:dyDescent="0.15"/>
    <row r="473" s="2" customFormat="1" ht="12" x14ac:dyDescent="0.15"/>
    <row r="474" s="2" customFormat="1" ht="12" x14ac:dyDescent="0.15"/>
    <row r="475" s="2" customFormat="1" ht="12" x14ac:dyDescent="0.15"/>
    <row r="476" s="2" customFormat="1" ht="12" x14ac:dyDescent="0.15"/>
    <row r="477" s="2" customFormat="1" ht="12" x14ac:dyDescent="0.15"/>
    <row r="478" s="2" customFormat="1" ht="12" x14ac:dyDescent="0.15"/>
    <row r="479" s="2" customFormat="1" ht="12" x14ac:dyDescent="0.15"/>
    <row r="480" s="2" customFormat="1" ht="12" x14ac:dyDescent="0.15"/>
    <row r="481" s="2" customFormat="1" ht="12" x14ac:dyDescent="0.15"/>
    <row r="482" s="2" customFormat="1" ht="12" x14ac:dyDescent="0.15"/>
    <row r="483" s="2" customFormat="1" ht="12" x14ac:dyDescent="0.15"/>
    <row r="484" s="2" customFormat="1" ht="12" x14ac:dyDescent="0.15"/>
    <row r="485" s="2" customFormat="1" ht="12" x14ac:dyDescent="0.15"/>
    <row r="486" s="2" customFormat="1" ht="12" x14ac:dyDescent="0.15"/>
    <row r="487" s="2" customFormat="1" ht="12" x14ac:dyDescent="0.15"/>
    <row r="488" s="2" customFormat="1" ht="12" x14ac:dyDescent="0.15"/>
    <row r="489" s="2" customFormat="1" ht="12" x14ac:dyDescent="0.15"/>
    <row r="490" s="2" customFormat="1" ht="12" x14ac:dyDescent="0.15"/>
    <row r="491" s="2" customFormat="1" ht="12" x14ac:dyDescent="0.15"/>
    <row r="492" s="2" customFormat="1" ht="12" x14ac:dyDescent="0.15"/>
    <row r="493" s="2" customFormat="1" ht="12" x14ac:dyDescent="0.15"/>
    <row r="494" s="2" customFormat="1" ht="12" x14ac:dyDescent="0.15"/>
    <row r="495" s="2" customFormat="1" ht="12" x14ac:dyDescent="0.15"/>
    <row r="496" s="2" customFormat="1" ht="12" x14ac:dyDescent="0.15"/>
    <row r="497" s="2" customFormat="1" ht="12" x14ac:dyDescent="0.15"/>
    <row r="498" s="2" customFormat="1" ht="12" x14ac:dyDescent="0.15"/>
    <row r="499" s="2" customFormat="1" ht="12" x14ac:dyDescent="0.15"/>
    <row r="500" s="2" customFormat="1" ht="12" x14ac:dyDescent="0.15"/>
    <row r="501" s="2" customFormat="1" ht="12" x14ac:dyDescent="0.15"/>
    <row r="502" s="2" customFormat="1" ht="12" x14ac:dyDescent="0.15"/>
    <row r="503" s="2" customFormat="1" ht="12" x14ac:dyDescent="0.15"/>
    <row r="504" s="2" customFormat="1" ht="12" x14ac:dyDescent="0.15"/>
    <row r="505" s="2" customFormat="1" ht="12" x14ac:dyDescent="0.15"/>
    <row r="506" s="2" customFormat="1" ht="12" x14ac:dyDescent="0.15"/>
    <row r="507" s="2" customFormat="1" ht="12" x14ac:dyDescent="0.15"/>
    <row r="508" s="2" customFormat="1" ht="12" x14ac:dyDescent="0.15"/>
    <row r="509" s="2" customFormat="1" ht="12" x14ac:dyDescent="0.15"/>
    <row r="510" s="2" customFormat="1" ht="12" x14ac:dyDescent="0.15"/>
    <row r="511" s="2" customFormat="1" ht="12" x14ac:dyDescent="0.15"/>
    <row r="512" s="2" customFormat="1" ht="12" x14ac:dyDescent="0.15"/>
    <row r="513" s="2" customFormat="1" ht="12" x14ac:dyDescent="0.15"/>
    <row r="514" s="2" customFormat="1" ht="12" x14ac:dyDescent="0.15"/>
    <row r="515" s="2" customFormat="1" ht="12" x14ac:dyDescent="0.15"/>
    <row r="516" s="2" customFormat="1" ht="12" x14ac:dyDescent="0.15"/>
    <row r="517" s="2" customFormat="1" ht="12" x14ac:dyDescent="0.15"/>
    <row r="518" s="2" customFormat="1" ht="12" x14ac:dyDescent="0.15"/>
    <row r="519" s="2" customFormat="1" ht="12" x14ac:dyDescent="0.15"/>
    <row r="520" s="2" customFormat="1" ht="12" x14ac:dyDescent="0.15"/>
    <row r="521" s="2" customFormat="1" ht="12" x14ac:dyDescent="0.15"/>
    <row r="522" s="2" customFormat="1" ht="12" x14ac:dyDescent="0.15"/>
    <row r="523" s="2" customFormat="1" ht="12" x14ac:dyDescent="0.15"/>
    <row r="524" s="2" customFormat="1" ht="12" x14ac:dyDescent="0.15"/>
    <row r="525" s="2" customFormat="1" ht="12" x14ac:dyDescent="0.15"/>
    <row r="526" s="2" customFormat="1" ht="12" x14ac:dyDescent="0.15"/>
    <row r="527" s="2" customFormat="1" ht="12" x14ac:dyDescent="0.15"/>
    <row r="528" s="2" customFormat="1" ht="12" x14ac:dyDescent="0.15"/>
    <row r="529" s="2" customFormat="1" ht="12" x14ac:dyDescent="0.15"/>
    <row r="530" s="2" customFormat="1" ht="12" x14ac:dyDescent="0.15"/>
    <row r="531" s="2" customFormat="1" ht="12" x14ac:dyDescent="0.15"/>
    <row r="532" s="2" customFormat="1" ht="12" x14ac:dyDescent="0.15"/>
    <row r="533" s="2" customFormat="1" ht="12" x14ac:dyDescent="0.15"/>
    <row r="534" s="2" customFormat="1" ht="12" x14ac:dyDescent="0.15"/>
    <row r="535" s="2" customFormat="1" ht="12" x14ac:dyDescent="0.15"/>
    <row r="536" s="2" customFormat="1" ht="12" x14ac:dyDescent="0.15"/>
    <row r="537" s="2" customFormat="1" ht="12" x14ac:dyDescent="0.15"/>
    <row r="538" s="2" customFormat="1" ht="12" x14ac:dyDescent="0.15"/>
    <row r="539" s="2" customFormat="1" ht="12" x14ac:dyDescent="0.15"/>
    <row r="540" s="2" customFormat="1" ht="12" x14ac:dyDescent="0.15"/>
    <row r="541" s="2" customFormat="1" ht="12" x14ac:dyDescent="0.15"/>
    <row r="542" s="2" customFormat="1" ht="12" x14ac:dyDescent="0.15"/>
    <row r="543" s="2" customFormat="1" ht="12" x14ac:dyDescent="0.15"/>
    <row r="544" s="2" customFormat="1" ht="12" x14ac:dyDescent="0.15"/>
    <row r="545" s="2" customFormat="1" ht="12" x14ac:dyDescent="0.15"/>
    <row r="546" s="2" customFormat="1" ht="12" x14ac:dyDescent="0.15"/>
    <row r="547" s="2" customFormat="1" ht="12" x14ac:dyDescent="0.15"/>
    <row r="548" s="2" customFormat="1" ht="12" x14ac:dyDescent="0.15"/>
    <row r="549" s="2" customFormat="1" ht="12" x14ac:dyDescent="0.15"/>
    <row r="550" s="2" customFormat="1" ht="12" x14ac:dyDescent="0.15"/>
    <row r="551" s="2" customFormat="1" ht="12" x14ac:dyDescent="0.15"/>
    <row r="552" s="2" customFormat="1" ht="12" x14ac:dyDescent="0.15"/>
    <row r="553" s="2" customFormat="1" ht="12" x14ac:dyDescent="0.15"/>
    <row r="554" s="2" customFormat="1" ht="12" x14ac:dyDescent="0.15"/>
    <row r="555" s="2" customFormat="1" ht="12" x14ac:dyDescent="0.15"/>
    <row r="556" s="2" customFormat="1" ht="12" x14ac:dyDescent="0.15"/>
    <row r="557" s="2" customFormat="1" ht="12" x14ac:dyDescent="0.15"/>
    <row r="558" s="2" customFormat="1" ht="12" x14ac:dyDescent="0.15"/>
    <row r="559" s="2" customFormat="1" ht="12" x14ac:dyDescent="0.15"/>
    <row r="560" s="2" customFormat="1" ht="12" x14ac:dyDescent="0.15"/>
    <row r="561" s="2" customFormat="1" ht="12" x14ac:dyDescent="0.15"/>
    <row r="562" s="2" customFormat="1" ht="12" x14ac:dyDescent="0.15"/>
    <row r="563" s="2" customFormat="1" ht="12" x14ac:dyDescent="0.15"/>
    <row r="564" s="2" customFormat="1" ht="12" x14ac:dyDescent="0.15"/>
    <row r="565" s="2" customFormat="1" ht="12" x14ac:dyDescent="0.15"/>
    <row r="566" s="2" customFormat="1" ht="12" x14ac:dyDescent="0.15"/>
    <row r="567" s="2" customFormat="1" ht="12" x14ac:dyDescent="0.15"/>
    <row r="568" s="2" customFormat="1" ht="12" x14ac:dyDescent="0.15"/>
    <row r="569" s="2" customFormat="1" ht="12" x14ac:dyDescent="0.15"/>
    <row r="570" s="2" customFormat="1" ht="12" x14ac:dyDescent="0.15"/>
    <row r="571" s="2" customFormat="1" ht="12" x14ac:dyDescent="0.15"/>
    <row r="572" s="2" customFormat="1" ht="12" x14ac:dyDescent="0.15"/>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MJ70"/>
  <sheetViews>
    <sheetView showGridLines="0" zoomScale="135" zoomScaleNormal="135" workbookViewId="0">
      <pane ySplit="3" topLeftCell="A4" activePane="bottomLeft" state="frozen"/>
      <selection activeCell="B141" sqref="B141"/>
      <selection pane="bottomLeft" activeCell="D25" sqref="D25"/>
    </sheetView>
  </sheetViews>
  <sheetFormatPr baseColWidth="10" defaultColWidth="8.83203125" defaultRowHeight="15" x14ac:dyDescent="0.2"/>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x14ac:dyDescent="0.2">
      <c r="B1" s="12"/>
      <c r="C1" s="12"/>
      <c r="D1" s="11" t="s">
        <v>2</v>
      </c>
    </row>
    <row r="2" spans="2:7" ht="2.25" customHeight="1" x14ac:dyDescent="0.2"/>
    <row r="3" spans="2:7" s="13" customFormat="1" ht="69" customHeight="1" x14ac:dyDescent="0.2">
      <c r="B3" s="162" t="s">
        <v>3</v>
      </c>
      <c r="C3" s="162"/>
      <c r="D3" s="162"/>
      <c r="E3" s="14"/>
      <c r="F3" s="15"/>
      <c r="G3" s="15"/>
    </row>
    <row r="4" spans="2:7" s="13" customFormat="1" ht="4" customHeight="1" x14ac:dyDescent="0.15">
      <c r="B4" s="16"/>
      <c r="C4" s="16"/>
      <c r="E4" s="10"/>
      <c r="F4" s="10"/>
    </row>
    <row r="5" spans="2:7" s="17" customFormat="1" ht="14" x14ac:dyDescent="0.2">
      <c r="B5" s="18" t="s">
        <v>4</v>
      </c>
      <c r="C5" s="19"/>
      <c r="D5" s="20"/>
    </row>
    <row r="6" spans="2:7" s="17" customFormat="1" ht="16" customHeight="1" x14ac:dyDescent="0.2">
      <c r="B6" s="21" t="s">
        <v>5</v>
      </c>
      <c r="C6" s="22" t="s">
        <v>6</v>
      </c>
      <c r="D6" s="22" t="s">
        <v>7</v>
      </c>
    </row>
    <row r="7" spans="2:7" s="17" customFormat="1" ht="16" customHeight="1" x14ac:dyDescent="0.2">
      <c r="B7" s="163" t="s">
        <v>8</v>
      </c>
      <c r="C7" s="163"/>
      <c r="D7" s="163"/>
    </row>
    <row r="8" spans="2:7" s="17" customFormat="1" ht="25" customHeight="1" x14ac:dyDescent="0.2">
      <c r="B8" s="23" t="s">
        <v>9</v>
      </c>
      <c r="C8" s="24" t="s">
        <v>482</v>
      </c>
      <c r="D8" s="25" t="s">
        <v>10</v>
      </c>
    </row>
    <row r="9" spans="2:7" s="17" customFormat="1" ht="16" customHeight="1" x14ac:dyDescent="0.2">
      <c r="B9" s="163" t="s">
        <v>11</v>
      </c>
      <c r="C9" s="163"/>
      <c r="D9" s="163"/>
    </row>
    <row r="10" spans="2:7" s="17" customFormat="1" ht="25" customHeight="1" x14ac:dyDescent="0.2">
      <c r="B10" s="23" t="s">
        <v>12</v>
      </c>
      <c r="C10" s="24" t="s">
        <v>482</v>
      </c>
      <c r="D10" s="25" t="s">
        <v>424</v>
      </c>
    </row>
    <row r="11" spans="2:7" s="17" customFormat="1" ht="25" customHeight="1" x14ac:dyDescent="0.2">
      <c r="B11" s="23" t="s">
        <v>9</v>
      </c>
      <c r="C11" s="24" t="s">
        <v>482</v>
      </c>
      <c r="D11" s="25" t="s">
        <v>423</v>
      </c>
    </row>
    <row r="12" spans="2:7" s="26" customFormat="1" ht="16" customHeight="1" x14ac:dyDescent="0.2">
      <c r="B12" s="163" t="s">
        <v>360</v>
      </c>
      <c r="C12" s="163"/>
      <c r="D12" s="163"/>
      <c r="E12" s="27"/>
    </row>
    <row r="13" spans="2:7" s="17" customFormat="1" ht="25" customHeight="1" x14ac:dyDescent="0.2">
      <c r="B13" s="23" t="s">
        <v>9</v>
      </c>
      <c r="C13" s="24" t="s">
        <v>482</v>
      </c>
      <c r="D13" s="25" t="s">
        <v>422</v>
      </c>
    </row>
    <row r="14" spans="2:7" s="17" customFormat="1" ht="25" customHeight="1" x14ac:dyDescent="0.2">
      <c r="B14" s="23" t="s">
        <v>13</v>
      </c>
      <c r="C14" s="24" t="s">
        <v>482</v>
      </c>
      <c r="D14" s="25" t="s">
        <v>425</v>
      </c>
    </row>
    <row r="15" spans="2:7" s="17" customFormat="1" ht="25" customHeight="1" x14ac:dyDescent="0.2">
      <c r="B15" s="23" t="s">
        <v>14</v>
      </c>
      <c r="C15" s="24" t="s">
        <v>482</v>
      </c>
      <c r="D15" s="25" t="s">
        <v>426</v>
      </c>
    </row>
    <row r="16" spans="2:7" s="28" customFormat="1" ht="16" customHeight="1" x14ac:dyDescent="0.2">
      <c r="B16" s="164" t="s">
        <v>15</v>
      </c>
      <c r="C16" s="164"/>
      <c r="D16" s="164"/>
      <c r="E16" s="29"/>
    </row>
    <row r="17" spans="2:5" s="17" customFormat="1" ht="25" customHeight="1" x14ac:dyDescent="0.2">
      <c r="B17" s="23" t="s">
        <v>9</v>
      </c>
      <c r="C17" s="24" t="s">
        <v>482</v>
      </c>
      <c r="D17" s="25" t="s">
        <v>427</v>
      </c>
    </row>
    <row r="18" spans="2:5" s="17" customFormat="1" ht="25" customHeight="1" x14ac:dyDescent="0.2">
      <c r="B18" s="23" t="s">
        <v>16</v>
      </c>
      <c r="C18" s="24" t="s">
        <v>482</v>
      </c>
      <c r="D18" s="25" t="s">
        <v>428</v>
      </c>
    </row>
    <row r="19" spans="2:5" s="17" customFormat="1" ht="25" customHeight="1" x14ac:dyDescent="0.2">
      <c r="B19" s="30" t="s">
        <v>17</v>
      </c>
      <c r="C19" s="31" t="s">
        <v>482</v>
      </c>
      <c r="D19" s="32" t="s">
        <v>18</v>
      </c>
    </row>
    <row r="20" spans="2:5" s="28" customFormat="1" ht="12" x14ac:dyDescent="0.2">
      <c r="D20" s="29"/>
      <c r="E20" s="29"/>
    </row>
    <row r="21" spans="2:5" s="28" customFormat="1" ht="12" x14ac:dyDescent="0.2">
      <c r="B21" s="125" t="s">
        <v>439</v>
      </c>
      <c r="D21" s="29"/>
      <c r="E21" s="29"/>
    </row>
    <row r="22" spans="2:5" s="28" customFormat="1" ht="12" x14ac:dyDescent="0.2">
      <c r="D22" s="29"/>
      <c r="E22" s="29"/>
    </row>
    <row r="23" spans="2:5" s="28" customFormat="1" ht="12" x14ac:dyDescent="0.2">
      <c r="D23" s="29"/>
      <c r="E23" s="29"/>
    </row>
    <row r="24" spans="2:5" s="28" customFormat="1" ht="12" x14ac:dyDescent="0.2">
      <c r="D24" s="29"/>
      <c r="E24" s="29"/>
    </row>
    <row r="25" spans="2:5" s="28" customFormat="1" ht="12" x14ac:dyDescent="0.2">
      <c r="D25" s="29"/>
      <c r="E25" s="29"/>
    </row>
    <row r="26" spans="2:5" s="28" customFormat="1" ht="12" x14ac:dyDescent="0.2">
      <c r="D26" s="29"/>
      <c r="E26" s="29"/>
    </row>
    <row r="27" spans="2:5" s="28" customFormat="1" ht="12" x14ac:dyDescent="0.2">
      <c r="D27" s="29"/>
      <c r="E27" s="29"/>
    </row>
    <row r="28" spans="2:5" s="28" customFormat="1" ht="12" x14ac:dyDescent="0.2">
      <c r="D28" s="29"/>
      <c r="E28" s="29"/>
    </row>
    <row r="29" spans="2:5" s="28" customFormat="1" ht="12" x14ac:dyDescent="0.2">
      <c r="D29" s="29"/>
      <c r="E29" s="29"/>
    </row>
    <row r="30" spans="2:5" s="28" customFormat="1" ht="12" x14ac:dyDescent="0.2">
      <c r="D30" s="29"/>
      <c r="E30" s="29"/>
    </row>
    <row r="31" spans="2:5" s="28" customFormat="1" ht="12" x14ac:dyDescent="0.2">
      <c r="D31" s="29"/>
      <c r="E31" s="29"/>
    </row>
    <row r="32" spans="2:5" s="33" customFormat="1" ht="12" x14ac:dyDescent="0.2">
      <c r="D32" s="34"/>
      <c r="E32" s="34"/>
    </row>
    <row r="33" spans="2:5" s="33" customFormat="1" ht="12" x14ac:dyDescent="0.2">
      <c r="D33" s="34"/>
      <c r="E33" s="34"/>
    </row>
    <row r="34" spans="2:5" s="33" customFormat="1" ht="12" x14ac:dyDescent="0.2">
      <c r="D34" s="34"/>
      <c r="E34" s="34"/>
    </row>
    <row r="35" spans="2:5" s="33" customFormat="1" ht="12" x14ac:dyDescent="0.2">
      <c r="D35" s="34"/>
      <c r="E35" s="34"/>
    </row>
    <row r="36" spans="2:5" s="33" customFormat="1" ht="12" x14ac:dyDescent="0.2">
      <c r="D36" s="34"/>
      <c r="E36" s="34"/>
    </row>
    <row r="37" spans="2:5" s="33" customFormat="1" ht="12" x14ac:dyDescent="0.2">
      <c r="D37" s="34"/>
      <c r="E37" s="34"/>
    </row>
    <row r="38" spans="2:5" s="33" customFormat="1" ht="12" x14ac:dyDescent="0.2">
      <c r="D38" s="34"/>
      <c r="E38" s="34"/>
    </row>
    <row r="39" spans="2:5" s="33" customFormat="1" ht="12" x14ac:dyDescent="0.2">
      <c r="D39" s="34"/>
      <c r="E39" s="34"/>
    </row>
    <row r="40" spans="2:5" s="33" customFormat="1" ht="12" x14ac:dyDescent="0.2">
      <c r="D40" s="34"/>
      <c r="E40" s="34"/>
    </row>
    <row r="41" spans="2:5" s="33" customFormat="1" ht="12" x14ac:dyDescent="0.2">
      <c r="D41" s="34"/>
      <c r="E41" s="34"/>
    </row>
    <row r="42" spans="2:5" s="33" customFormat="1" ht="12" x14ac:dyDescent="0.2">
      <c r="D42" s="34"/>
      <c r="E42" s="34"/>
    </row>
    <row r="43" spans="2:5" s="33" customFormat="1" ht="12" x14ac:dyDescent="0.15">
      <c r="D43" s="34"/>
      <c r="E43" s="11"/>
    </row>
    <row r="44" spans="2:5" s="33" customFormat="1" ht="12" x14ac:dyDescent="0.15">
      <c r="D44" s="34"/>
      <c r="E44" s="11"/>
    </row>
    <row r="45" spans="2:5" s="33" customFormat="1" ht="12" x14ac:dyDescent="0.15">
      <c r="D45" s="34"/>
      <c r="E45" s="11"/>
    </row>
    <row r="46" spans="2:5" x14ac:dyDescent="0.2">
      <c r="B46" s="33"/>
      <c r="C46" s="33"/>
      <c r="D46" s="34"/>
    </row>
    <row r="47" spans="2:5" x14ac:dyDescent="0.2">
      <c r="B47" s="33"/>
      <c r="C47" s="33"/>
      <c r="D47" s="34"/>
    </row>
    <row r="48" spans="2:5" x14ac:dyDescent="0.2">
      <c r="B48" s="33"/>
      <c r="C48" s="33"/>
      <c r="D48" s="34"/>
    </row>
    <row r="49" spans="2:4" x14ac:dyDescent="0.2">
      <c r="B49" s="33"/>
      <c r="C49" s="33"/>
      <c r="D49" s="34"/>
    </row>
    <row r="50" spans="2:4" x14ac:dyDescent="0.2">
      <c r="B50" s="33"/>
      <c r="C50" s="33"/>
      <c r="D50" s="34"/>
    </row>
    <row r="51" spans="2:4" x14ac:dyDescent="0.2">
      <c r="B51" s="33"/>
      <c r="C51" s="33"/>
      <c r="D51" s="34"/>
    </row>
    <row r="52" spans="2:4" x14ac:dyDescent="0.2">
      <c r="B52" s="33"/>
      <c r="C52" s="33"/>
      <c r="D52" s="34"/>
    </row>
    <row r="53" spans="2:4" x14ac:dyDescent="0.2">
      <c r="B53" s="33"/>
      <c r="C53" s="33"/>
      <c r="D53" s="34"/>
    </row>
    <row r="54" spans="2:4" x14ac:dyDescent="0.2">
      <c r="B54" s="33"/>
      <c r="C54" s="33"/>
      <c r="D54" s="34"/>
    </row>
    <row r="55" spans="2:4" x14ac:dyDescent="0.2">
      <c r="B55" s="33"/>
      <c r="C55" s="33"/>
      <c r="D55" s="34"/>
    </row>
    <row r="56" spans="2:4" x14ac:dyDescent="0.2">
      <c r="B56" s="33"/>
      <c r="C56" s="33"/>
      <c r="D56" s="34"/>
    </row>
    <row r="57" spans="2:4" x14ac:dyDescent="0.2">
      <c r="B57" s="33"/>
      <c r="C57" s="33"/>
      <c r="D57" s="34"/>
    </row>
    <row r="58" spans="2:4" x14ac:dyDescent="0.2">
      <c r="B58" s="33"/>
      <c r="C58" s="33"/>
      <c r="D58" s="34"/>
    </row>
    <row r="59" spans="2:4" x14ac:dyDescent="0.2">
      <c r="B59" s="33"/>
      <c r="C59" s="33"/>
      <c r="D59" s="34"/>
    </row>
    <row r="60" spans="2:4" x14ac:dyDescent="0.2">
      <c r="B60" s="33"/>
      <c r="C60" s="33"/>
      <c r="D60" s="34"/>
    </row>
    <row r="61" spans="2:4" x14ac:dyDescent="0.2">
      <c r="B61" s="33"/>
      <c r="C61" s="33"/>
      <c r="D61" s="34"/>
    </row>
    <row r="62" spans="2:4" x14ac:dyDescent="0.2">
      <c r="B62" s="33"/>
      <c r="C62" s="33"/>
      <c r="D62" s="34"/>
    </row>
    <row r="63" spans="2:4" x14ac:dyDescent="0.2">
      <c r="B63" s="33"/>
      <c r="C63" s="33"/>
      <c r="D63" s="34"/>
    </row>
    <row r="64" spans="2:4" x14ac:dyDescent="0.2">
      <c r="B64" s="33"/>
      <c r="C64" s="33"/>
      <c r="D64" s="34"/>
    </row>
    <row r="65" spans="2:4" x14ac:dyDescent="0.2">
      <c r="B65" s="33"/>
      <c r="C65" s="33"/>
      <c r="D65" s="34"/>
    </row>
    <row r="66" spans="2:4" x14ac:dyDescent="0.2">
      <c r="B66" s="33"/>
      <c r="C66" s="33"/>
      <c r="D66" s="34"/>
    </row>
    <row r="67" spans="2:4" x14ac:dyDescent="0.2">
      <c r="B67" s="33"/>
      <c r="C67" s="33"/>
      <c r="D67" s="34"/>
    </row>
    <row r="68" spans="2:4" x14ac:dyDescent="0.2">
      <c r="B68" s="33"/>
      <c r="C68" s="33"/>
      <c r="D68" s="34"/>
    </row>
    <row r="69" spans="2:4" x14ac:dyDescent="0.2">
      <c r="B69" s="33"/>
      <c r="C69" s="33"/>
      <c r="D69" s="34"/>
    </row>
    <row r="70" spans="2:4" x14ac:dyDescent="0.2">
      <c r="B70" s="33"/>
      <c r="C70" s="33"/>
      <c r="D70" s="34"/>
    </row>
  </sheetData>
  <sheetProtection sheet="1" objects="1" scenarios="1"/>
  <mergeCells count="5">
    <mergeCell ref="B3:D3"/>
    <mergeCell ref="B7:D7"/>
    <mergeCell ref="B9:D9"/>
    <mergeCell ref="B12:D12"/>
    <mergeCell ref="B16:D16"/>
  </mergeCells>
  <conditionalFormatting sqref="C8">
    <cfRule type="expression" dxfId="133" priority="13">
      <formula>LEN(C8)&gt;40</formula>
    </cfRule>
    <cfRule type="expression" dxfId="132" priority="14">
      <formula>LEN(C8)&lt;8</formula>
    </cfRule>
  </conditionalFormatting>
  <conditionalFormatting sqref="C10">
    <cfRule type="expression" dxfId="131" priority="1">
      <formula>LEN($C$10)=0</formula>
    </cfRule>
  </conditionalFormatting>
  <conditionalFormatting sqref="C10:C11">
    <cfRule type="expression" dxfId="130" priority="9">
      <formula>AND(LEN(C10)&gt;0,LEN(C10)&lt;8)</formula>
    </cfRule>
  </conditionalFormatting>
  <conditionalFormatting sqref="C11">
    <cfRule type="expression" dxfId="129" priority="2">
      <formula>LEN($C$11)=0</formula>
    </cfRule>
  </conditionalFormatting>
  <conditionalFormatting sqref="C13">
    <cfRule type="expression" dxfId="128" priority="3">
      <formula>LEN($C$13)=0</formula>
    </cfRule>
  </conditionalFormatting>
  <conditionalFormatting sqref="C13:C14">
    <cfRule type="expression" dxfId="127" priority="10" stopIfTrue="1">
      <formula>AND(LEN(C13)&gt;0,LEN(C13)&lt;8)</formula>
    </cfRule>
  </conditionalFormatting>
  <conditionalFormatting sqref="C14">
    <cfRule type="expression" dxfId="126" priority="4" stopIfTrue="1">
      <formula>LEN($C$14)=0</formula>
    </cfRule>
  </conditionalFormatting>
  <conditionalFormatting sqref="C15">
    <cfRule type="expression" dxfId="125" priority="5">
      <formula>LEN($C$15)=0</formula>
    </cfRule>
    <cfRule type="expression" dxfId="124" priority="15" stopIfTrue="1">
      <formula>AND(LEN(C15)&gt;0,LEN(C15)&lt;12)</formula>
    </cfRule>
  </conditionalFormatting>
  <conditionalFormatting sqref="C17">
    <cfRule type="expression" dxfId="123" priority="6" stopIfTrue="1">
      <formula>LEN($C$17)=0</formula>
    </cfRule>
    <cfRule type="expression" dxfId="122" priority="12" stopIfTrue="1">
      <formula>AND(LEN(C17)&gt;0,LEN(C17)&lt;8)</formula>
    </cfRule>
  </conditionalFormatting>
  <conditionalFormatting sqref="C18">
    <cfRule type="expression" dxfId="121" priority="7" stopIfTrue="1">
      <formula>LEN($C$18)=0</formula>
    </cfRule>
    <cfRule type="expression" dxfId="120" priority="17" stopIfTrue="1">
      <formula>AND(LEN(C18)&gt;0,LEN(C18)&lt;8)</formula>
    </cfRule>
  </conditionalFormatting>
  <conditionalFormatting sqref="C19">
    <cfRule type="expression" dxfId="119"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J157"/>
  <sheetViews>
    <sheetView topLeftCell="B1" zoomScale="130" zoomScaleNormal="130" workbookViewId="0">
      <pane ySplit="4" topLeftCell="A5" activePane="bottomLeft" state="frozen"/>
      <selection activeCell="B141" sqref="B141"/>
      <selection pane="bottomLeft" activeCell="I6" sqref="I6"/>
    </sheetView>
  </sheetViews>
  <sheetFormatPr baseColWidth="10" defaultColWidth="12.33203125" defaultRowHeight="15" x14ac:dyDescent="0.2"/>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x14ac:dyDescent="0.15">
      <c r="M1" s="37"/>
      <c r="N1" s="37"/>
      <c r="O1" s="37"/>
      <c r="P1" s="37"/>
    </row>
    <row r="2" spans="1:29" s="38" customFormat="1" ht="2.25" customHeight="1" x14ac:dyDescent="0.15">
      <c r="D2" s="39"/>
      <c r="E2" s="40"/>
      <c r="F2" s="40"/>
    </row>
    <row r="3" spans="1:29" s="38" customFormat="1" ht="60" customHeight="1" x14ac:dyDescent="0.15">
      <c r="B3" s="192" t="s">
        <v>19</v>
      </c>
      <c r="C3" s="192"/>
      <c r="D3" s="192"/>
      <c r="E3" s="192"/>
      <c r="F3" s="192"/>
      <c r="G3" s="192"/>
      <c r="H3" s="192"/>
      <c r="I3" s="192"/>
      <c r="J3" s="192"/>
      <c r="K3" s="192"/>
      <c r="L3" s="192"/>
    </row>
    <row r="4" spans="1:29" s="17" customFormat="1" ht="4" customHeight="1" x14ac:dyDescent="0.15">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x14ac:dyDescent="0.25">
      <c r="A5" s="37"/>
      <c r="B5" s="193" t="s">
        <v>20</v>
      </c>
      <c r="C5" s="193"/>
      <c r="D5" s="193"/>
      <c r="E5" s="193"/>
      <c r="F5" s="193"/>
      <c r="G5" s="193"/>
      <c r="H5" s="43"/>
      <c r="I5" s="172" t="s">
        <v>21</v>
      </c>
      <c r="J5" s="172"/>
      <c r="K5" s="172"/>
      <c r="L5" s="172"/>
      <c r="M5" s="37"/>
      <c r="N5" s="37"/>
      <c r="O5" s="37"/>
      <c r="P5" s="37"/>
      <c r="Q5" s="37"/>
      <c r="R5" s="37"/>
      <c r="S5" s="37"/>
      <c r="T5" s="37"/>
      <c r="U5" s="37"/>
      <c r="V5" s="37"/>
      <c r="W5" s="37"/>
      <c r="X5" s="37"/>
      <c r="Y5" s="37"/>
      <c r="Z5" s="37"/>
      <c r="AA5" s="37"/>
      <c r="AB5" s="37"/>
      <c r="AC5" s="37"/>
    </row>
    <row r="6" spans="1:29" s="44" customFormat="1" ht="16" customHeight="1" x14ac:dyDescent="0.2">
      <c r="A6" s="37"/>
      <c r="B6" s="45" t="s">
        <v>22</v>
      </c>
      <c r="C6" s="46" t="s">
        <v>23</v>
      </c>
      <c r="D6" s="46" t="s">
        <v>448</v>
      </c>
      <c r="E6" s="46" t="s">
        <v>24</v>
      </c>
      <c r="F6" s="46" t="s">
        <v>25</v>
      </c>
      <c r="G6" s="47" t="s">
        <v>26</v>
      </c>
      <c r="H6" s="48"/>
      <c r="I6" s="49" t="s">
        <v>508</v>
      </c>
      <c r="J6" s="50" t="s">
        <v>478</v>
      </c>
      <c r="K6" s="50" t="s">
        <v>479</v>
      </c>
      <c r="L6" s="51" t="s">
        <v>480</v>
      </c>
      <c r="M6" s="37"/>
      <c r="N6" s="37"/>
      <c r="O6" s="37"/>
      <c r="P6" s="37"/>
      <c r="Q6" s="37"/>
      <c r="R6" s="37"/>
      <c r="S6" s="37"/>
      <c r="T6" s="37"/>
      <c r="U6" s="37"/>
      <c r="V6" s="37"/>
      <c r="W6" s="37"/>
      <c r="X6" s="37"/>
      <c r="Y6" s="37"/>
      <c r="Z6" s="37"/>
      <c r="AA6" s="37"/>
      <c r="AB6" s="37"/>
      <c r="AC6" s="37"/>
    </row>
    <row r="7" spans="1:29" s="44" customFormat="1" ht="16" customHeight="1" x14ac:dyDescent="0.2">
      <c r="A7" s="37"/>
      <c r="B7" s="52" t="s">
        <v>393</v>
      </c>
      <c r="C7" s="121">
        <v>10</v>
      </c>
      <c r="D7" s="121" t="s">
        <v>445</v>
      </c>
      <c r="E7" s="58" t="s">
        <v>471</v>
      </c>
      <c r="F7" s="58" t="s">
        <v>491</v>
      </c>
      <c r="G7" s="59">
        <v>9000</v>
      </c>
      <c r="H7" s="55"/>
      <c r="I7" s="56" t="s">
        <v>483</v>
      </c>
      <c r="J7" s="53" t="s">
        <v>484</v>
      </c>
      <c r="K7" s="53" t="s">
        <v>485</v>
      </c>
      <c r="L7" s="57" t="s">
        <v>486</v>
      </c>
      <c r="M7" s="37"/>
      <c r="N7" s="37"/>
      <c r="O7" s="37"/>
      <c r="P7" s="37"/>
      <c r="Q7" s="37"/>
      <c r="R7" s="37"/>
      <c r="S7" s="37"/>
      <c r="T7" s="37"/>
      <c r="U7" s="37"/>
      <c r="V7" s="37"/>
      <c r="W7" s="37"/>
      <c r="X7" s="37"/>
      <c r="Y7" s="37"/>
      <c r="Z7" s="37"/>
      <c r="AA7" s="37"/>
      <c r="AB7" s="37"/>
      <c r="AC7" s="37"/>
    </row>
    <row r="8" spans="1:29" s="44" customFormat="1" ht="16" customHeight="1" x14ac:dyDescent="0.2">
      <c r="A8" s="37"/>
      <c r="B8" s="52" t="s">
        <v>27</v>
      </c>
      <c r="C8" s="53" t="s">
        <v>494</v>
      </c>
      <c r="D8" s="127" t="s">
        <v>444</v>
      </c>
      <c r="E8" s="53" t="s">
        <v>471</v>
      </c>
      <c r="F8" s="53" t="s">
        <v>491</v>
      </c>
      <c r="G8" s="54">
        <v>9000</v>
      </c>
      <c r="H8" s="55"/>
      <c r="I8" s="52" t="s">
        <v>29</v>
      </c>
      <c r="J8" s="58" t="s">
        <v>474</v>
      </c>
      <c r="K8" s="60" t="s">
        <v>30</v>
      </c>
      <c r="L8" s="61" t="s">
        <v>475</v>
      </c>
      <c r="M8" s="37"/>
      <c r="N8" s="37"/>
      <c r="O8" s="37"/>
      <c r="P8" s="37"/>
      <c r="Q8" s="37"/>
      <c r="R8" s="37"/>
      <c r="S8" s="37"/>
      <c r="T8" s="37"/>
      <c r="U8" s="37"/>
      <c r="V8" s="37"/>
      <c r="W8" s="37"/>
      <c r="X8" s="37"/>
      <c r="Y8" s="37"/>
      <c r="Z8" s="37"/>
      <c r="AA8" s="37"/>
      <c r="AB8" s="37"/>
      <c r="AC8" s="37"/>
    </row>
    <row r="9" spans="1:29" s="44" customFormat="1" ht="16" customHeight="1" thickBot="1" x14ac:dyDescent="0.25">
      <c r="A9" s="37"/>
      <c r="B9" s="52" t="s">
        <v>28</v>
      </c>
      <c r="C9" s="58" t="s">
        <v>495</v>
      </c>
      <c r="D9" s="121" t="s">
        <v>447</v>
      </c>
      <c r="E9" s="58" t="s">
        <v>472</v>
      </c>
      <c r="F9" s="58" t="s">
        <v>492</v>
      </c>
      <c r="G9" s="59">
        <v>9000</v>
      </c>
      <c r="H9" s="55"/>
      <c r="I9" s="62" t="s">
        <v>32</v>
      </c>
      <c r="J9" s="58" t="s">
        <v>477</v>
      </c>
      <c r="K9" s="63" t="s">
        <v>33</v>
      </c>
      <c r="L9" s="58" t="s">
        <v>476</v>
      </c>
      <c r="M9" s="37"/>
      <c r="N9" s="37"/>
      <c r="O9" s="37"/>
      <c r="P9" s="37"/>
      <c r="Q9" s="37"/>
      <c r="R9" s="37"/>
      <c r="S9" s="37"/>
      <c r="T9" s="37"/>
      <c r="U9" s="37"/>
      <c r="V9" s="37"/>
      <c r="W9" s="37"/>
      <c r="X9" s="37"/>
      <c r="Y9" s="37"/>
      <c r="Z9" s="37"/>
      <c r="AA9" s="37"/>
      <c r="AB9" s="37"/>
      <c r="AC9" s="37"/>
    </row>
    <row r="10" spans="1:29" s="44" customFormat="1" ht="16" customHeight="1" x14ac:dyDescent="0.2">
      <c r="A10" s="37"/>
      <c r="B10" s="52" t="s">
        <v>31</v>
      </c>
      <c r="C10" s="58" t="s">
        <v>496</v>
      </c>
      <c r="D10" s="121" t="s">
        <v>446</v>
      </c>
      <c r="E10" s="58" t="s">
        <v>473</v>
      </c>
      <c r="F10" s="58" t="s">
        <v>493</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x14ac:dyDescent="0.15">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x14ac:dyDescent="0.15">
      <c r="B12" s="182" t="s">
        <v>41</v>
      </c>
      <c r="C12" s="182"/>
      <c r="D12" s="182"/>
      <c r="E12" s="183" t="s">
        <v>34</v>
      </c>
      <c r="F12" s="183"/>
      <c r="G12" s="35"/>
      <c r="I12" s="65" t="s">
        <v>35</v>
      </c>
      <c r="J12" s="66" t="s">
        <v>36</v>
      </c>
      <c r="K12" s="67" t="s">
        <v>53</v>
      </c>
      <c r="L12" s="35"/>
      <c r="M12" s="35"/>
      <c r="N12" s="35"/>
      <c r="O12" s="35"/>
      <c r="P12" s="35"/>
    </row>
    <row r="13" spans="1:29" x14ac:dyDescent="0.2">
      <c r="B13" s="170" t="s">
        <v>458</v>
      </c>
      <c r="C13" s="170"/>
      <c r="D13" s="170"/>
      <c r="E13" s="187" t="s">
        <v>457</v>
      </c>
      <c r="F13" s="187"/>
      <c r="G13" s="35"/>
      <c r="I13" s="45" t="s">
        <v>38</v>
      </c>
      <c r="J13" s="194" t="s">
        <v>39</v>
      </c>
      <c r="K13" s="194"/>
      <c r="L13" s="195" t="s">
        <v>40</v>
      </c>
      <c r="M13" s="195"/>
    </row>
    <row r="14" spans="1:29" ht="16" customHeight="1" x14ac:dyDescent="0.2">
      <c r="B14" s="170" t="s">
        <v>44</v>
      </c>
      <c r="C14" s="170"/>
      <c r="D14" s="170"/>
      <c r="E14" s="187" t="s">
        <v>45</v>
      </c>
      <c r="F14" s="187"/>
      <c r="G14" s="35"/>
      <c r="I14" s="68" t="s">
        <v>42</v>
      </c>
      <c r="J14" s="189" t="s">
        <v>43</v>
      </c>
      <c r="K14" s="189"/>
      <c r="L14" s="190" t="s">
        <v>373</v>
      </c>
      <c r="M14" s="191"/>
    </row>
    <row r="15" spans="1:29" ht="16" customHeight="1" x14ac:dyDescent="0.2">
      <c r="B15" s="170" t="s">
        <v>46</v>
      </c>
      <c r="C15" s="170"/>
      <c r="D15" s="170"/>
      <c r="E15" s="171">
        <v>9000</v>
      </c>
      <c r="F15" s="188"/>
      <c r="G15" s="35"/>
      <c r="I15" s="68" t="str">
        <f>IF(AND(I6&lt;&gt;"n/a",I6&lt;&gt;""),I6,I7)</f>
        <v>vcf42-esx01</v>
      </c>
      <c r="J15" s="186"/>
      <c r="K15" s="186"/>
      <c r="L15" s="165"/>
      <c r="M15" s="165"/>
    </row>
    <row r="16" spans="1:29" ht="16" customHeight="1" x14ac:dyDescent="0.2">
      <c r="B16" s="173" t="s">
        <v>407</v>
      </c>
      <c r="C16" s="174"/>
      <c r="D16" s="175"/>
      <c r="E16" s="184" t="s">
        <v>408</v>
      </c>
      <c r="F16" s="185"/>
      <c r="G16" s="35"/>
      <c r="I16" s="68" t="str">
        <f>IF(AND(J6&lt;&gt;"n/a",J6&lt;&gt;""),J6,J7)</f>
        <v>vcf42-esx02</v>
      </c>
      <c r="J16" s="186"/>
      <c r="K16" s="186"/>
      <c r="L16" s="165"/>
      <c r="M16" s="165"/>
    </row>
    <row r="17" spans="2:13" ht="16" customHeight="1" x14ac:dyDescent="0.2">
      <c r="B17" s="182" t="s">
        <v>47</v>
      </c>
      <c r="C17" s="182"/>
      <c r="D17" s="182"/>
      <c r="E17" s="183" t="s">
        <v>34</v>
      </c>
      <c r="F17" s="183"/>
      <c r="G17" s="35"/>
      <c r="I17" s="68" t="str">
        <f>IF(AND(K6&lt;&gt;"n/a",K6&lt;&gt;""),K6,K7)</f>
        <v>vcf42-esx03</v>
      </c>
      <c r="J17" s="186"/>
      <c r="K17" s="186"/>
      <c r="L17" s="165"/>
      <c r="M17" s="165"/>
    </row>
    <row r="18" spans="2:13" ht="16" customHeight="1" x14ac:dyDescent="0.2">
      <c r="B18" s="170" t="s">
        <v>429</v>
      </c>
      <c r="C18" s="170"/>
      <c r="D18" s="170"/>
      <c r="E18" s="171" t="s">
        <v>48</v>
      </c>
      <c r="F18" s="171"/>
      <c r="G18" s="35"/>
      <c r="H18" s="69"/>
      <c r="I18" s="70" t="str">
        <f>IF(AND(L6&lt;&gt;"n/a",L6&lt;&gt;""),L6,L7)</f>
        <v>vcf42-esx04</v>
      </c>
      <c r="J18" s="166"/>
      <c r="K18" s="166"/>
      <c r="L18" s="167"/>
      <c r="M18" s="167"/>
    </row>
    <row r="19" spans="2:13" ht="16" customHeight="1" x14ac:dyDescent="0.2">
      <c r="B19" s="173" t="s">
        <v>409</v>
      </c>
      <c r="C19" s="174"/>
      <c r="D19" s="175"/>
      <c r="E19" s="176" t="s">
        <v>48</v>
      </c>
      <c r="F19" s="177"/>
      <c r="G19" s="35"/>
      <c r="H19" s="69"/>
      <c r="I19" s="35"/>
      <c r="J19" s="35"/>
      <c r="K19" s="35"/>
      <c r="L19" s="35"/>
    </row>
    <row r="20" spans="2:13" ht="16" customHeight="1" x14ac:dyDescent="0.2">
      <c r="B20" s="170" t="s">
        <v>49</v>
      </c>
      <c r="C20" s="170"/>
      <c r="D20" s="170"/>
      <c r="E20" s="171" t="s">
        <v>50</v>
      </c>
      <c r="F20" s="171"/>
      <c r="G20" s="35"/>
      <c r="I20" s="172" t="str">
        <f>IF(K24="No","NSX Host Overlay Network - DHCP","NSX Host Overlay Network - Static IP Pool in NSX")</f>
        <v>NSX Host Overlay Network - Static IP Pool in NSX</v>
      </c>
      <c r="J20" s="172"/>
      <c r="K20" s="172"/>
      <c r="L20" s="172"/>
    </row>
    <row r="21" spans="2:13" s="35" customFormat="1" ht="16" customHeight="1" x14ac:dyDescent="0.15">
      <c r="B21" s="178" t="s">
        <v>52</v>
      </c>
      <c r="C21" s="178"/>
      <c r="D21" s="178"/>
      <c r="E21" s="179">
        <v>9000</v>
      </c>
      <c r="F21" s="179"/>
    </row>
    <row r="22" spans="2:13" s="35" customFormat="1" ht="16" customHeight="1" x14ac:dyDescent="0.15">
      <c r="I22" s="71" t="s">
        <v>51</v>
      </c>
      <c r="J22" s="72">
        <v>13</v>
      </c>
    </row>
    <row r="23" spans="2:13" s="35" customFormat="1" ht="16" customHeight="1" x14ac:dyDescent="0.15">
      <c r="B23" s="74" t="s">
        <v>54</v>
      </c>
      <c r="C23" s="74"/>
      <c r="D23" s="74"/>
      <c r="E23" s="181" t="s">
        <v>534</v>
      </c>
      <c r="F23" s="181"/>
    </row>
    <row r="24" spans="2:13" s="35" customFormat="1" ht="12" x14ac:dyDescent="0.15">
      <c r="B24" s="168" t="str">
        <f>IF(E23="Profile-1",Lookup_Lists!C2,IF(E23="Profile-2",IF(OR(E16="Overlay/VLAN",E16="Overlay"),Lookup_Lists!C3,Lookup_Lists!C4),IF(E23="Profile-3",Lookup_Lists!C5,)))</f>
        <v>vSphere Distributed Switch = Two (2)          /          Physical NICs = Four (4)
Primary vDS - sfo-m01-cluster-001-vds-001
     - Traffic for Management,  vMotion, Host Overlay - e.g. vmnic0,vmnic1
Secondary vDS - n/a
     - Traffic for vSAN - e.g. vmnic2,vmnic3</v>
      </c>
      <c r="C24" s="168"/>
      <c r="D24" s="168"/>
      <c r="E24" s="168"/>
      <c r="F24" s="168"/>
      <c r="I24" s="180" t="s">
        <v>361</v>
      </c>
      <c r="J24" s="180"/>
      <c r="K24" s="73" t="s">
        <v>37</v>
      </c>
    </row>
    <row r="25" spans="2:13" s="35" customFormat="1" ht="16" customHeight="1" x14ac:dyDescent="0.15">
      <c r="B25" s="168"/>
      <c r="C25" s="168"/>
      <c r="D25" s="168"/>
      <c r="E25" s="168"/>
      <c r="F25" s="168"/>
      <c r="I25" s="75" t="s">
        <v>55</v>
      </c>
      <c r="J25" s="169" t="s">
        <v>56</v>
      </c>
      <c r="K25" s="169"/>
    </row>
    <row r="26" spans="2:13" s="35" customFormat="1" ht="12" x14ac:dyDescent="0.15">
      <c r="B26" s="168"/>
      <c r="C26" s="168"/>
      <c r="D26" s="168"/>
      <c r="E26" s="168"/>
      <c r="F26" s="168"/>
      <c r="I26" s="76" t="s">
        <v>57</v>
      </c>
      <c r="J26" s="169" t="s">
        <v>58</v>
      </c>
      <c r="K26" s="169"/>
    </row>
    <row r="27" spans="2:13" s="35" customFormat="1" ht="12" x14ac:dyDescent="0.15">
      <c r="B27" s="168"/>
      <c r="C27" s="168"/>
      <c r="D27" s="168"/>
      <c r="E27" s="168"/>
      <c r="F27" s="168"/>
      <c r="I27" s="76" t="s">
        <v>24</v>
      </c>
      <c r="J27" s="77" t="s">
        <v>500</v>
      </c>
      <c r="K27" s="78" t="s">
        <v>25</v>
      </c>
      <c r="L27" s="79" t="s">
        <v>503</v>
      </c>
    </row>
    <row r="28" spans="2:13" s="35" customFormat="1" ht="13" thickBot="1" x14ac:dyDescent="0.2">
      <c r="B28" s="168"/>
      <c r="C28" s="168"/>
      <c r="D28" s="168"/>
      <c r="E28" s="168"/>
      <c r="F28" s="168"/>
      <c r="I28" s="80" t="s">
        <v>362</v>
      </c>
      <c r="J28" s="81" t="s">
        <v>501</v>
      </c>
      <c r="K28" s="82" t="s">
        <v>363</v>
      </c>
      <c r="L28" s="83" t="s">
        <v>502</v>
      </c>
    </row>
    <row r="29" spans="2:13" s="35" customFormat="1" ht="12" x14ac:dyDescent="0.15">
      <c r="B29" s="168"/>
      <c r="C29" s="168"/>
      <c r="D29" s="168"/>
      <c r="E29" s="168"/>
      <c r="F29" s="168"/>
    </row>
    <row r="30" spans="2:13" s="35" customFormat="1" ht="12" x14ac:dyDescent="0.15">
      <c r="B30" s="168"/>
      <c r="C30" s="168"/>
      <c r="D30" s="168"/>
      <c r="E30" s="168"/>
      <c r="F30" s="168"/>
      <c r="I30" s="84"/>
    </row>
    <row r="31" spans="2:13" s="35" customFormat="1" ht="12" x14ac:dyDescent="0.15">
      <c r="I31" s="124" t="str">
        <f>IF(AND(E23="Profile-1",E18&lt;&gt;"n/a"),"Set the 'Secondary vSphere Distributed Switch -Name' value to n/a","")</f>
        <v/>
      </c>
    </row>
    <row r="32" spans="2:13" s="35" customFormat="1" ht="12" x14ac:dyDescent="0.15">
      <c r="B32" s="126" t="s">
        <v>430</v>
      </c>
    </row>
    <row r="33" spans="9:10" s="35" customFormat="1" ht="12" x14ac:dyDescent="0.15">
      <c r="I33" s="124" t="str">
        <f>IF(AND(E23="Profile-3",OR(E16="Overlay/VLAN",E16="Overlay")),"The Secondary vSphere Distributed Switch should be used for Overlay traffic","")</f>
        <v/>
      </c>
    </row>
    <row r="34" spans="9:10" s="35" customFormat="1" ht="12" x14ac:dyDescent="0.15">
      <c r="I34" s="124" t="str">
        <f>IF(AND(OR(E16="VLAN",E16="n/a"),OR(E19="VLAN",E19="n/a")),"At least one vSphere Distributed Switch must be used for Overlay traffic","")</f>
        <v/>
      </c>
    </row>
    <row r="35" spans="9:10" s="35" customFormat="1" ht="12" x14ac:dyDescent="0.15">
      <c r="I35" s="124"/>
      <c r="J35" s="84"/>
    </row>
    <row r="36" spans="9:10" s="35" customFormat="1" ht="12" x14ac:dyDescent="0.15">
      <c r="I36" s="84"/>
      <c r="J36" s="84"/>
    </row>
    <row r="37" spans="9:10" s="35" customFormat="1" ht="12" x14ac:dyDescent="0.15"/>
    <row r="38" spans="9:10" s="35" customFormat="1" ht="12" x14ac:dyDescent="0.15"/>
    <row r="39" spans="9:10" s="35" customFormat="1" ht="12" x14ac:dyDescent="0.15"/>
    <row r="40" spans="9:10" s="35" customFormat="1" ht="12" x14ac:dyDescent="0.15"/>
    <row r="41" spans="9:10" s="35" customFormat="1" ht="12" x14ac:dyDescent="0.15"/>
    <row r="42" spans="9:10" s="35" customFormat="1" ht="12" x14ac:dyDescent="0.15"/>
    <row r="43" spans="9:10" s="35" customFormat="1" ht="12" x14ac:dyDescent="0.15"/>
    <row r="44" spans="9:10" s="35" customFormat="1" ht="12" x14ac:dyDescent="0.15"/>
    <row r="45" spans="9:10" s="35" customFormat="1" ht="12" x14ac:dyDescent="0.15"/>
    <row r="46" spans="9:10" s="35" customFormat="1" ht="12" x14ac:dyDescent="0.15"/>
    <row r="47" spans="9:10" s="35" customFormat="1" ht="12" x14ac:dyDescent="0.15"/>
    <row r="48" spans="9:10" s="35" customFormat="1" ht="12" x14ac:dyDescent="0.15"/>
    <row r="49" s="35" customFormat="1" ht="12" x14ac:dyDescent="0.15"/>
    <row r="50" s="35" customFormat="1" ht="12" x14ac:dyDescent="0.15"/>
    <row r="51" s="35" customFormat="1" ht="12" x14ac:dyDescent="0.15"/>
    <row r="52" s="35" customFormat="1" ht="12" x14ac:dyDescent="0.15"/>
    <row r="53" s="35" customFormat="1" ht="12" x14ac:dyDescent="0.15"/>
    <row r="54" s="35" customFormat="1" ht="12" x14ac:dyDescent="0.15"/>
    <row r="55" s="35" customFormat="1" ht="12" x14ac:dyDescent="0.15"/>
    <row r="56" s="35" customFormat="1" ht="12" x14ac:dyDescent="0.15"/>
    <row r="57" s="35" customFormat="1" ht="12" x14ac:dyDescent="0.15"/>
    <row r="58" s="35" customFormat="1" ht="12" x14ac:dyDescent="0.15"/>
    <row r="59" s="35" customFormat="1" ht="12" x14ac:dyDescent="0.15"/>
    <row r="60" s="35" customFormat="1" ht="12" x14ac:dyDescent="0.15"/>
    <row r="61" s="35" customFormat="1" ht="12" x14ac:dyDescent="0.15"/>
    <row r="62" s="35" customFormat="1" ht="12" x14ac:dyDescent="0.15"/>
    <row r="63" s="35" customFormat="1" ht="12" x14ac:dyDescent="0.15"/>
    <row r="64" s="35" customFormat="1" ht="12" x14ac:dyDescent="0.15"/>
    <row r="65" s="35" customFormat="1" ht="12" x14ac:dyDescent="0.15"/>
    <row r="66" s="35" customFormat="1" ht="12" x14ac:dyDescent="0.15"/>
    <row r="67" s="35" customFormat="1" ht="12" x14ac:dyDescent="0.15"/>
    <row r="68" s="35" customFormat="1" ht="12" x14ac:dyDescent="0.15"/>
    <row r="69" s="35" customFormat="1" ht="12" x14ac:dyDescent="0.15"/>
    <row r="70" s="35" customFormat="1" ht="12" x14ac:dyDescent="0.15"/>
    <row r="71" s="35" customFormat="1" ht="12" x14ac:dyDescent="0.15"/>
    <row r="72" s="35" customFormat="1" ht="12" x14ac:dyDescent="0.15"/>
    <row r="73" s="35" customFormat="1" ht="12" x14ac:dyDescent="0.15"/>
    <row r="74" s="35" customFormat="1" ht="12" x14ac:dyDescent="0.15"/>
    <row r="75" s="35" customFormat="1" ht="12" x14ac:dyDescent="0.15"/>
    <row r="76" s="35" customFormat="1" ht="12" x14ac:dyDescent="0.15"/>
    <row r="77" s="35" customFormat="1" ht="12" x14ac:dyDescent="0.15"/>
    <row r="78" s="35" customFormat="1" ht="12" x14ac:dyDescent="0.15"/>
    <row r="79" s="35" customFormat="1" ht="12" x14ac:dyDescent="0.15"/>
    <row r="80" s="35" customFormat="1" ht="12" x14ac:dyDescent="0.15"/>
    <row r="81" s="35" customFormat="1" ht="12" x14ac:dyDescent="0.15"/>
    <row r="82" s="35" customFormat="1" ht="12" x14ac:dyDescent="0.15"/>
    <row r="83" s="35" customFormat="1" ht="12" x14ac:dyDescent="0.15"/>
    <row r="84" s="35" customFormat="1" ht="12" x14ac:dyDescent="0.15"/>
    <row r="85" s="35" customFormat="1" ht="12" x14ac:dyDescent="0.15"/>
    <row r="86" s="35" customFormat="1" ht="12" x14ac:dyDescent="0.15"/>
    <row r="87" s="35" customFormat="1" ht="12" x14ac:dyDescent="0.15"/>
    <row r="88" s="35" customFormat="1" ht="12" x14ac:dyDescent="0.15"/>
    <row r="89" s="35" customFormat="1" ht="12" x14ac:dyDescent="0.15"/>
    <row r="90" s="35" customFormat="1" ht="12" x14ac:dyDescent="0.15"/>
    <row r="91" s="35" customFormat="1" ht="12" x14ac:dyDescent="0.15"/>
    <row r="92" s="35" customFormat="1" ht="12" x14ac:dyDescent="0.15"/>
    <row r="93" s="35" customFormat="1" ht="12" x14ac:dyDescent="0.15"/>
    <row r="94" s="35" customFormat="1" ht="12" x14ac:dyDescent="0.15"/>
    <row r="95" s="35" customFormat="1" ht="12" x14ac:dyDescent="0.15"/>
    <row r="96" s="35" customFormat="1" ht="12" x14ac:dyDescent="0.15"/>
    <row r="97" s="35" customFormat="1" ht="12" x14ac:dyDescent="0.15"/>
    <row r="98" s="35" customFormat="1" ht="12" x14ac:dyDescent="0.15"/>
    <row r="99" s="35" customFormat="1" ht="12" x14ac:dyDescent="0.15"/>
    <row r="100" s="35" customFormat="1" ht="12" x14ac:dyDescent="0.15"/>
    <row r="101" s="35" customFormat="1" ht="12" x14ac:dyDescent="0.15"/>
    <row r="102" s="35" customFormat="1" ht="12" x14ac:dyDescent="0.15"/>
    <row r="103" s="35" customFormat="1" ht="12" x14ac:dyDescent="0.15"/>
    <row r="104" s="35" customFormat="1" ht="12" x14ac:dyDescent="0.15"/>
    <row r="105" s="35" customFormat="1" ht="12" x14ac:dyDescent="0.15"/>
    <row r="106" s="35" customFormat="1" ht="12" x14ac:dyDescent="0.15"/>
    <row r="107" s="35" customFormat="1" ht="12" x14ac:dyDescent="0.15"/>
    <row r="108" s="35" customFormat="1" ht="12" x14ac:dyDescent="0.15"/>
    <row r="109" s="35" customFormat="1" ht="12" x14ac:dyDescent="0.15"/>
    <row r="110" s="35" customFormat="1" ht="12" x14ac:dyDescent="0.15"/>
    <row r="111" s="35" customFormat="1" ht="12" x14ac:dyDescent="0.15"/>
    <row r="112" s="35" customFormat="1" ht="12" x14ac:dyDescent="0.15"/>
    <row r="113" s="35" customFormat="1" ht="12" x14ac:dyDescent="0.15"/>
    <row r="114" s="35" customFormat="1" ht="12" x14ac:dyDescent="0.15"/>
    <row r="115" s="35" customFormat="1" ht="12" x14ac:dyDescent="0.15"/>
    <row r="116" s="35" customFormat="1" ht="12" x14ac:dyDescent="0.15"/>
    <row r="117" s="35" customFormat="1" ht="12" x14ac:dyDescent="0.15"/>
    <row r="118" s="35" customFormat="1" ht="12" x14ac:dyDescent="0.15"/>
    <row r="119" s="35" customFormat="1" ht="12" x14ac:dyDescent="0.15"/>
    <row r="120" s="35" customFormat="1" ht="12" x14ac:dyDescent="0.15"/>
    <row r="121" s="35" customFormat="1" ht="12" x14ac:dyDescent="0.15"/>
    <row r="122" s="35" customFormat="1" ht="12" x14ac:dyDescent="0.15"/>
    <row r="123" s="35" customFormat="1" ht="12" x14ac:dyDescent="0.15"/>
    <row r="124" s="35" customFormat="1" ht="12" x14ac:dyDescent="0.15"/>
    <row r="125" s="35" customFormat="1" ht="12" x14ac:dyDescent="0.15"/>
    <row r="126" s="35" customFormat="1" ht="12" x14ac:dyDescent="0.15"/>
    <row r="127" s="35" customFormat="1" ht="12" x14ac:dyDescent="0.15"/>
    <row r="128" s="35" customFormat="1" ht="12" x14ac:dyDescent="0.15"/>
    <row r="129" s="35" customFormat="1" ht="12" x14ac:dyDescent="0.15"/>
    <row r="130" s="35" customFormat="1" ht="12" x14ac:dyDescent="0.15"/>
    <row r="131" s="35" customFormat="1" ht="12" x14ac:dyDescent="0.15"/>
    <row r="132" s="35" customFormat="1" ht="12" x14ac:dyDescent="0.15"/>
    <row r="133" s="35" customFormat="1" ht="12" x14ac:dyDescent="0.15"/>
    <row r="134" s="35" customFormat="1" ht="12" x14ac:dyDescent="0.15"/>
    <row r="135" s="35" customFormat="1" ht="12" x14ac:dyDescent="0.15"/>
    <row r="136" s="35" customFormat="1" ht="12" x14ac:dyDescent="0.15"/>
    <row r="137" s="35" customFormat="1" ht="12" x14ac:dyDescent="0.15"/>
    <row r="138" s="35" customFormat="1" ht="12" x14ac:dyDescent="0.15"/>
    <row r="139" s="35" customFormat="1" ht="12" x14ac:dyDescent="0.15"/>
    <row r="140" s="35" customFormat="1" ht="12" x14ac:dyDescent="0.15"/>
    <row r="141" s="35" customFormat="1" ht="12" x14ac:dyDescent="0.15"/>
    <row r="142" s="35" customFormat="1" ht="12" x14ac:dyDescent="0.15"/>
    <row r="143" s="35" customFormat="1" ht="12" x14ac:dyDescent="0.15"/>
    <row r="144" s="35" customFormat="1" ht="12" x14ac:dyDescent="0.15"/>
    <row r="145" spans="2:7" s="35" customFormat="1" ht="12" x14ac:dyDescent="0.15"/>
    <row r="146" spans="2:7" s="35" customFormat="1" ht="12" x14ac:dyDescent="0.15"/>
    <row r="147" spans="2:7" s="35" customFormat="1" ht="12" x14ac:dyDescent="0.15"/>
    <row r="148" spans="2:7" s="35" customFormat="1" ht="12" x14ac:dyDescent="0.15"/>
    <row r="149" spans="2:7" s="35" customFormat="1" ht="12" x14ac:dyDescent="0.15"/>
    <row r="150" spans="2:7" s="35" customFormat="1" ht="12" x14ac:dyDescent="0.15"/>
    <row r="151" spans="2:7" s="35" customFormat="1" ht="12" x14ac:dyDescent="0.15"/>
    <row r="152" spans="2:7" s="35" customFormat="1" ht="12" x14ac:dyDescent="0.15"/>
    <row r="153" spans="2:7" s="35" customFormat="1" ht="12" x14ac:dyDescent="0.15"/>
    <row r="154" spans="2:7" s="35" customFormat="1" ht="12" x14ac:dyDescent="0.15"/>
    <row r="155" spans="2:7" s="35" customFormat="1" ht="12" x14ac:dyDescent="0.15">
      <c r="B155" s="36"/>
      <c r="C155" s="36"/>
      <c r="D155" s="36"/>
      <c r="E155" s="36"/>
      <c r="F155" s="36"/>
      <c r="G155" s="36"/>
    </row>
    <row r="156" spans="2:7" s="35" customFormat="1" ht="12" x14ac:dyDescent="0.15">
      <c r="B156" s="36"/>
      <c r="C156" s="36"/>
      <c r="D156" s="36"/>
      <c r="E156" s="36"/>
      <c r="F156" s="36"/>
      <c r="G156" s="36"/>
    </row>
    <row r="157" spans="2:7" s="35" customFormat="1" ht="12" x14ac:dyDescent="0.15">
      <c r="B157" s="36"/>
      <c r="C157" s="36"/>
      <c r="D157" s="36"/>
      <c r="E157" s="36"/>
      <c r="F157" s="36"/>
      <c r="G157" s="36"/>
    </row>
  </sheetData>
  <sheetProtection sheet="1" objects="1" scenarios="1"/>
  <mergeCells count="41">
    <mergeCell ref="B3:L3"/>
    <mergeCell ref="B5:G5"/>
    <mergeCell ref="I5:L5"/>
    <mergeCell ref="J13:K13"/>
    <mergeCell ref="L13:M13"/>
    <mergeCell ref="B12:D12"/>
    <mergeCell ref="E12:F12"/>
    <mergeCell ref="L16:M16"/>
    <mergeCell ref="B13:D13"/>
    <mergeCell ref="E13:F13"/>
    <mergeCell ref="E15:F15"/>
    <mergeCell ref="J15:K15"/>
    <mergeCell ref="B15:D15"/>
    <mergeCell ref="J14:K14"/>
    <mergeCell ref="L14:M14"/>
    <mergeCell ref="L15:M15"/>
    <mergeCell ref="B14:D14"/>
    <mergeCell ref="E14:F14"/>
    <mergeCell ref="J25:K25"/>
    <mergeCell ref="B17:D17"/>
    <mergeCell ref="E17:F17"/>
    <mergeCell ref="E16:F16"/>
    <mergeCell ref="B16:D16"/>
    <mergeCell ref="J17:K17"/>
    <mergeCell ref="J16:K16"/>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s>
  <conditionalFormatting sqref="B17:F21">
    <cfRule type="expression" dxfId="118" priority="113">
      <formula>$E$23="Profile-1"</formula>
    </cfRule>
  </conditionalFormatting>
  <conditionalFormatting sqref="C8:D8">
    <cfRule type="expression" dxfId="117" priority="16" stopIfTrue="1">
      <formula>IF($E$23="Profile-3",AND(OR($B$16="Overlay/VLAN",$B$16="Overlay")))</formula>
    </cfRule>
  </conditionalFormatting>
  <conditionalFormatting sqref="E8:E10">
    <cfRule type="notContainsText" dxfId="116" priority="51" operator="notContains" text="/">
      <formula>ISERROR(SEARCH("/",E8))</formula>
    </cfRule>
  </conditionalFormatting>
  <conditionalFormatting sqref="E16">
    <cfRule type="expression" dxfId="115" priority="23">
      <formula>IF($E$22="Profile-1",AND($E$15="VLAN"))</formula>
    </cfRule>
    <cfRule type="containsBlanks" dxfId="114" priority="28">
      <formula>LEN(TRIM(E16))=0</formula>
    </cfRule>
    <cfRule type="expression" dxfId="113" priority="27">
      <formula>IF($E$22="Profile-3",AND(OR($E$15="Overlay/VLAN",$E$15="Overlay")))</formula>
    </cfRule>
    <cfRule type="expression" dxfId="112" priority="26">
      <formula>IF(AND(OR($E$15="Overlay/VLAN",$E$15="Overlay")),(OR($E$18="Overlay/VLAN",$E$18="Overlay")))</formula>
    </cfRule>
    <cfRule type="expression" dxfId="111" priority="25">
      <formula>IF($E$22="Profile-1",AND($E$15="n/a"))</formula>
    </cfRule>
    <cfRule type="expression" dxfId="110" priority="24">
      <formula>IF($E$22&lt;&gt;"Profile-1",AND($E$18="VLAN",$E$15="VLAN"))</formula>
    </cfRule>
  </conditionalFormatting>
  <conditionalFormatting sqref="E19">
    <cfRule type="expression" dxfId="109" priority="33" stopIfTrue="1">
      <formula>IF(AND(OR($E$16="Overlay/VLAN",$E$16="Overlay")),(OR($E$19="Overlay/VLAN",$E$19="Overlay")))</formula>
    </cfRule>
  </conditionalFormatting>
  <conditionalFormatting sqref="E8:F9">
    <cfRule type="expression" dxfId="108" priority="13">
      <formula>LEN(TRIM(E8))=0</formula>
    </cfRule>
  </conditionalFormatting>
  <conditionalFormatting sqref="E13:F15">
    <cfRule type="expression" dxfId="107" priority="90" stopIfTrue="1">
      <formula>AND(E13&lt;&gt;"n/a",IF(E13=E18, TRUE, FALSE))</formula>
    </cfRule>
    <cfRule type="expression" dxfId="106" priority="6">
      <formula>LEN(TRIM(E13))=0</formula>
    </cfRule>
  </conditionalFormatting>
  <conditionalFormatting sqref="E18:F18">
    <cfRule type="expression" dxfId="105" priority="146" stopIfTrue="1">
      <formula>LEN(TRIM(E18))=0</formula>
    </cfRule>
  </conditionalFormatting>
  <conditionalFormatting sqref="E19:F19">
    <cfRule type="containsBlanks" dxfId="104" priority="152" stopIfTrue="1">
      <formula>LEN(TRIM(E19))=0</formula>
    </cfRule>
    <cfRule type="expression" dxfId="103" priority="29">
      <formula>IF($E$23&lt;&gt;"Profile-1",AND($E$19="VLAN",$E$16="VLAN"))</formula>
    </cfRule>
    <cfRule type="expression" dxfId="102" priority="32">
      <formula>IF($E$23&lt;&gt;"Profile-1",AND($E$19="VLAN",$E$16="VLAN"))</formula>
    </cfRule>
    <cfRule type="expression" dxfId="101" priority="35" stopIfTrue="1">
      <formula>IF($E$23="Profile-3",AND($E$18="n/a"))</formula>
    </cfRule>
    <cfRule type="expression" dxfId="100" priority="36">
      <formula>IF($E$23="Profile-2",AND($E$19="n/a"))</formula>
    </cfRule>
    <cfRule type="expression" dxfId="99" priority="37">
      <formula>IF($E$23="Profile-1",AND($E$19&lt;&gt;"n/a"))</formula>
    </cfRule>
  </conditionalFormatting>
  <conditionalFormatting sqref="E21:F21">
    <cfRule type="expression" dxfId="98" priority="95">
      <formula>LEN(TRIM(E21))=0</formula>
    </cfRule>
  </conditionalFormatting>
  <conditionalFormatting sqref="E23:F23">
    <cfRule type="expression" dxfId="97" priority="104">
      <formula>IF($E$23="Profile-1",AND($E$18&lt;&gt;"n/a"))</formula>
    </cfRule>
    <cfRule type="expression" dxfId="96" priority="103">
      <formula>IF($E$23="Profile-2",AND($E$18="n/a"))</formula>
    </cfRule>
    <cfRule type="expression" dxfId="95" priority="102">
      <formula>IF($E$23="Profile-3",AND($E$18="n/a"))</formula>
    </cfRule>
  </conditionalFormatting>
  <conditionalFormatting sqref="E8:G8">
    <cfRule type="containsText" dxfId="94" priority="14" operator="containsText" text="n/a">
      <formula>NOT(ISERROR(SEARCH("n/a",E8)))</formula>
    </cfRule>
  </conditionalFormatting>
  <conditionalFormatting sqref="F7:F8">
    <cfRule type="expression" dxfId="93" priority="98">
      <formula>#REF!="TRUE"</formula>
    </cfRule>
  </conditionalFormatting>
  <conditionalFormatting sqref="F7:F10">
    <cfRule type="expression" dxfId="92" priority="21">
      <formula>IF(LEN(F7)-LEN(SUBSTITUTE(F7,".",""))=3,0,1)</formula>
    </cfRule>
    <cfRule type="containsText" dxfId="91" priority="20" operator="containsText" text="n/a">
      <formula>NOT(ISERROR(SEARCH("n/a",F7)))</formula>
    </cfRule>
  </conditionalFormatting>
  <conditionalFormatting sqref="F7:G10">
    <cfRule type="expression" dxfId="90" priority="19">
      <formula>LEN(TRIM(F7))=0</formula>
    </cfRule>
  </conditionalFormatting>
  <conditionalFormatting sqref="G7:G10">
    <cfRule type="cellIs" dxfId="89" priority="22" operator="lessThan">
      <formula>1500</formula>
    </cfRule>
  </conditionalFormatting>
  <conditionalFormatting sqref="G22">
    <cfRule type="expression" dxfId="88" priority="88">
      <formula>IF(ISNUMBER(FIND(".",G22)),IF((FIND(".",G22)-1)&gt;15,0,0),IF((LEN(G22))&gt;15,0,0))</formula>
    </cfRule>
  </conditionalFormatting>
  <conditionalFormatting sqref="I6:I7">
    <cfRule type="expression" dxfId="87" priority="2">
      <formula>AND($I$6="n/a",$I$7="n/a")</formula>
    </cfRule>
  </conditionalFormatting>
  <conditionalFormatting sqref="I7">
    <cfRule type="expression" dxfId="86" priority="9">
      <formula>AND(I7&lt;&gt;"n/a",COUNTIF($I$7:$L$7,I7)&gt;1)</formula>
    </cfRule>
    <cfRule type="expression" dxfId="85" priority="65" stopIfTrue="1">
      <formula>AND(I6="n/a",IF(LEN(I7)-LEN(SUBSTITUTE(I7,".",""))=3,0,1))</formula>
    </cfRule>
  </conditionalFormatting>
  <conditionalFormatting sqref="I25:K26 I27:L28">
    <cfRule type="expression" dxfId="84" priority="107">
      <formula>$K$24="No"</formula>
    </cfRule>
  </conditionalFormatting>
  <conditionalFormatting sqref="I6:L6">
    <cfRule type="expression" dxfId="83" priority="60">
      <formula>AND(I7="n/a",I6="n/a")</formula>
    </cfRule>
    <cfRule type="expression" dxfId="82" priority="10" stopIfTrue="1">
      <formula>IF(I6&lt;&gt;"n/a",COUNTIF($I$6:$P$6,I6)&gt;1)</formula>
    </cfRule>
  </conditionalFormatting>
  <conditionalFormatting sqref="I13:M18">
    <cfRule type="expression" dxfId="81" priority="87">
      <formula>$K$12="No"</formula>
    </cfRule>
  </conditionalFormatting>
  <conditionalFormatting sqref="J6:J7">
    <cfRule type="expression" dxfId="80" priority="3" stopIfTrue="1">
      <formula>AND($J$6="n/a",$J$7="n/a")</formula>
    </cfRule>
  </conditionalFormatting>
  <conditionalFormatting sqref="J7">
    <cfRule type="expression" dxfId="79" priority="67">
      <formula>AND(J6="n/a",J7&lt;&gt;"n/a",IF(LEN(J7)-LEN(SUBSTITUTE(J7,".",""))=3,0,1))</formula>
    </cfRule>
    <cfRule type="expression" dxfId="78" priority="64">
      <formula>AND(J7&lt;&gt;"n/a",COUNTIF(I7:P7,J7)&gt;1)</formula>
    </cfRule>
  </conditionalFormatting>
  <conditionalFormatting sqref="J8:J9 L8:L9 J14:M18">
    <cfRule type="expression" dxfId="77" priority="57">
      <formula>LEN(TRIM(J8))=0</formula>
    </cfRule>
  </conditionalFormatting>
  <conditionalFormatting sqref="J8:J9">
    <cfRule type="containsText" dxfId="76" priority="75" operator="containsText" text="n/a">
      <formula>NOT(ISERROR(SEARCH("n/a",J8)))</formula>
    </cfRule>
  </conditionalFormatting>
  <conditionalFormatting sqref="K6:K7">
    <cfRule type="expression" dxfId="75" priority="4" stopIfTrue="1">
      <formula>AND($K$6="n/a",$K$7="n/a")</formula>
    </cfRule>
  </conditionalFormatting>
  <conditionalFormatting sqref="K7">
    <cfRule type="expression" dxfId="74" priority="7">
      <formula>AND(K7&lt;&gt;"n/a",COUNTIF($I$7:$L$7,K7)&gt;1)</formula>
    </cfRule>
  </conditionalFormatting>
  <conditionalFormatting sqref="K7:L7">
    <cfRule type="expression" dxfId="73" priority="69">
      <formula>AND(K6="n/a",IF(LEN(K7)-LEN(SUBSTITUTE(K7,".",""))=3,0,1))</formula>
    </cfRule>
  </conditionalFormatting>
  <conditionalFormatting sqref="L6:L7">
    <cfRule type="expression" dxfId="72" priority="5">
      <formula>AND($L$6="n/a",$L$7="n/a")</formula>
    </cfRule>
  </conditionalFormatting>
  <conditionalFormatting sqref="L8:L9">
    <cfRule type="containsText" dxfId="71"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MJ79"/>
  <sheetViews>
    <sheetView showGridLines="0" zoomScale="130" zoomScaleNormal="130" workbookViewId="0">
      <pane ySplit="4" topLeftCell="A5" activePane="bottomLeft" state="frozen"/>
      <selection activeCell="B141" sqref="B141"/>
      <selection pane="bottomLeft" activeCell="F38" sqref="F38"/>
    </sheetView>
  </sheetViews>
  <sheetFormatPr baseColWidth="10" defaultColWidth="9" defaultRowHeight="15" x14ac:dyDescent="0.2"/>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x14ac:dyDescent="0.2">
      <c r="B1" s="86"/>
      <c r="C1" s="87"/>
      <c r="E1" s="85" t="s">
        <v>2</v>
      </c>
    </row>
    <row r="2" spans="2:11" ht="3" customHeight="1" x14ac:dyDescent="0.2">
      <c r="B2" s="86"/>
      <c r="C2" s="87"/>
    </row>
    <row r="3" spans="2:11" ht="60" customHeight="1" x14ac:dyDescent="0.2">
      <c r="B3" s="206" t="s">
        <v>431</v>
      </c>
      <c r="C3" s="206"/>
      <c r="D3" s="206"/>
      <c r="E3" s="206"/>
      <c r="F3" s="206"/>
      <c r="G3" s="206"/>
      <c r="H3" s="206"/>
      <c r="I3" s="206"/>
      <c r="J3" s="206"/>
      <c r="K3" s="206"/>
    </row>
    <row r="4" spans="2:11" s="17" customFormat="1" ht="2.25" customHeight="1" x14ac:dyDescent="0.15">
      <c r="B4" s="88"/>
      <c r="C4" s="88"/>
      <c r="I4" s="85"/>
      <c r="J4" s="85"/>
    </row>
    <row r="5" spans="2:11" s="17" customFormat="1" ht="17" customHeight="1" x14ac:dyDescent="0.15">
      <c r="B5" s="89" t="s">
        <v>59</v>
      </c>
      <c r="C5" s="90"/>
      <c r="E5" s="91" t="s">
        <v>60</v>
      </c>
      <c r="F5" s="198" t="s">
        <v>34</v>
      </c>
      <c r="G5" s="198"/>
      <c r="H5" s="93"/>
      <c r="I5" s="94" t="s">
        <v>61</v>
      </c>
      <c r="J5" s="207" t="s">
        <v>34</v>
      </c>
      <c r="K5" s="207"/>
    </row>
    <row r="6" spans="2:11" s="17" customFormat="1" ht="12" x14ac:dyDescent="0.2">
      <c r="B6" s="95" t="str">
        <f>IF((AND(F6&lt;&gt;"",F7&lt;&gt;"",J6&lt;&gt;"")),"✓","")</f>
        <v>✓</v>
      </c>
      <c r="C6" s="17" t="s">
        <v>62</v>
      </c>
      <c r="E6" s="96" t="s">
        <v>63</v>
      </c>
      <c r="F6" s="208" t="s">
        <v>498</v>
      </c>
      <c r="G6" s="208"/>
      <c r="H6" s="97"/>
      <c r="I6" s="96" t="s">
        <v>64</v>
      </c>
      <c r="J6" s="209" t="s">
        <v>487</v>
      </c>
      <c r="K6" s="209"/>
    </row>
    <row r="7" spans="2:11" s="17" customFormat="1" ht="15" customHeight="1" x14ac:dyDescent="0.2">
      <c r="B7" s="95" t="str">
        <f>IF((AND(F8&lt;&gt;"",F9&lt;&gt;"")),"✓","")</f>
        <v>✓</v>
      </c>
      <c r="C7" s="17" t="s">
        <v>65</v>
      </c>
      <c r="E7" s="96" t="s">
        <v>66</v>
      </c>
      <c r="F7" s="208" t="s">
        <v>48</v>
      </c>
      <c r="G7" s="208"/>
      <c r="H7" s="88"/>
    </row>
    <row r="8" spans="2:11" s="17" customFormat="1" ht="15" customHeight="1" x14ac:dyDescent="0.2">
      <c r="E8" s="96" t="s">
        <v>67</v>
      </c>
      <c r="F8" s="208" t="s">
        <v>490</v>
      </c>
      <c r="G8" s="208"/>
      <c r="H8" s="88"/>
      <c r="I8" s="210" t="s">
        <v>68</v>
      </c>
      <c r="J8" s="210"/>
      <c r="K8" s="98" t="s">
        <v>53</v>
      </c>
    </row>
    <row r="9" spans="2:11" s="17" customFormat="1" ht="15" customHeight="1" x14ac:dyDescent="0.2">
      <c r="E9" s="96" t="s">
        <v>69</v>
      </c>
      <c r="F9" s="208" t="s">
        <v>48</v>
      </c>
      <c r="G9" s="208"/>
      <c r="H9" s="88"/>
      <c r="I9" s="210" t="s">
        <v>70</v>
      </c>
      <c r="J9" s="210"/>
      <c r="K9" s="98" t="s">
        <v>53</v>
      </c>
    </row>
    <row r="10" spans="2:11" s="17" customFormat="1" ht="18" customHeight="1" x14ac:dyDescent="0.2">
      <c r="H10" s="88"/>
    </row>
    <row r="11" spans="2:11" s="17" customFormat="1" ht="17" customHeight="1" x14ac:dyDescent="0.2">
      <c r="B11" s="89" t="s">
        <v>71</v>
      </c>
      <c r="C11" s="99"/>
      <c r="E11" s="118" t="s">
        <v>464</v>
      </c>
      <c r="F11" s="202" t="s">
        <v>53</v>
      </c>
      <c r="G11" s="203"/>
      <c r="H11" s="88"/>
      <c r="I11" s="205"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205"/>
      <c r="K11" s="205"/>
    </row>
    <row r="12" spans="2:11" s="17" customFormat="1" ht="15" customHeight="1" x14ac:dyDescent="0.2">
      <c r="B12" s="100" t="str">
        <f>IF((AND(esx_license_std&lt;&gt;"")),"✓","")</f>
        <v>✓</v>
      </c>
      <c r="C12" s="17" t="s">
        <v>72</v>
      </c>
      <c r="E12" s="96" t="s">
        <v>8</v>
      </c>
      <c r="F12" s="201" t="s">
        <v>507</v>
      </c>
      <c r="G12" s="201"/>
      <c r="H12" s="88"/>
      <c r="I12" s="205"/>
      <c r="J12" s="205"/>
      <c r="K12" s="205"/>
    </row>
    <row r="13" spans="2:11" s="17" customFormat="1" ht="15" customHeight="1" x14ac:dyDescent="0.2">
      <c r="E13" s="96" t="s">
        <v>73</v>
      </c>
      <c r="F13" s="201" t="s">
        <v>504</v>
      </c>
      <c r="G13" s="201"/>
      <c r="H13" s="88"/>
      <c r="I13" s="205"/>
      <c r="J13" s="205"/>
      <c r="K13" s="205"/>
    </row>
    <row r="14" spans="2:11" s="17" customFormat="1" ht="15" customHeight="1" x14ac:dyDescent="0.2">
      <c r="E14" s="96" t="s">
        <v>11</v>
      </c>
      <c r="F14" s="201" t="s">
        <v>506</v>
      </c>
      <c r="G14" s="201"/>
      <c r="H14" s="88"/>
      <c r="I14" s="205"/>
      <c r="J14" s="205"/>
      <c r="K14" s="205"/>
    </row>
    <row r="15" spans="2:11" s="17" customFormat="1" ht="15" customHeight="1" x14ac:dyDescent="0.2">
      <c r="E15" s="96" t="s">
        <v>360</v>
      </c>
      <c r="F15" s="201" t="s">
        <v>505</v>
      </c>
      <c r="G15" s="201"/>
      <c r="H15" s="88"/>
    </row>
    <row r="16" spans="2:11" s="17" customFormat="1" ht="15" customHeight="1" x14ac:dyDescent="0.2">
      <c r="H16" s="88"/>
    </row>
    <row r="17" spans="2:26" s="17" customFormat="1" ht="15" customHeight="1" x14ac:dyDescent="0.2">
      <c r="E17" s="96" t="s">
        <v>11</v>
      </c>
      <c r="F17" s="92" t="s">
        <v>75</v>
      </c>
      <c r="G17" s="92" t="s">
        <v>76</v>
      </c>
      <c r="H17" s="88"/>
    </row>
    <row r="18" spans="2:26" s="17" customFormat="1" ht="17" customHeight="1" x14ac:dyDescent="0.2">
      <c r="B18" s="89" t="s">
        <v>74</v>
      </c>
      <c r="C18" s="99"/>
      <c r="E18" s="96" t="s">
        <v>79</v>
      </c>
      <c r="F18" s="102" t="s">
        <v>436</v>
      </c>
      <c r="G18" s="103" t="s">
        <v>481</v>
      </c>
      <c r="H18" s="97"/>
      <c r="I18" s="101" t="s">
        <v>77</v>
      </c>
      <c r="J18" s="198" t="s">
        <v>34</v>
      </c>
      <c r="K18" s="198"/>
    </row>
    <row r="19" spans="2:26" s="17" customFormat="1" ht="15" customHeight="1" x14ac:dyDescent="0.2">
      <c r="B19" s="95" t="str">
        <f>IF(Credentials!C8&lt;&gt;"","✓","")</f>
        <v>✓</v>
      </c>
      <c r="C19" s="17" t="s">
        <v>78</v>
      </c>
      <c r="E19" s="91" t="s">
        <v>80</v>
      </c>
      <c r="F19" s="102" t="s">
        <v>81</v>
      </c>
      <c r="H19" s="119"/>
      <c r="I19" s="96" t="s">
        <v>440</v>
      </c>
      <c r="J19" s="197" t="s">
        <v>456</v>
      </c>
      <c r="K19" s="197"/>
      <c r="M19" s="120" t="s">
        <v>402</v>
      </c>
    </row>
    <row r="20" spans="2:26" s="17" customFormat="1" ht="12" x14ac:dyDescent="0.2">
      <c r="B20" s="100" t="str">
        <f>IF((AND(F18&lt;&gt;"")),"✓","")</f>
        <v>✓</v>
      </c>
      <c r="C20" s="17" t="s">
        <v>83</v>
      </c>
      <c r="E20" s="91" t="s">
        <v>84</v>
      </c>
      <c r="F20" s="24" t="s">
        <v>85</v>
      </c>
      <c r="H20" s="88"/>
      <c r="I20" s="96" t="s">
        <v>82</v>
      </c>
      <c r="J20" s="204" t="s">
        <v>37</v>
      </c>
      <c r="K20" s="204"/>
      <c r="M20" s="120" t="s">
        <v>401</v>
      </c>
    </row>
    <row r="21" spans="2:26" s="17" customFormat="1" ht="12" x14ac:dyDescent="0.2">
      <c r="B21" s="100" t="str">
        <f>IF((AND(F23&lt;&gt;"",F24&lt;&gt;"",F26&lt;&gt;"")),"✓","")</f>
        <v>✓</v>
      </c>
      <c r="C21" s="17" t="s">
        <v>86</v>
      </c>
      <c r="H21" s="88"/>
      <c r="I21" s="96" t="s">
        <v>384</v>
      </c>
      <c r="J21" s="204" t="s">
        <v>37</v>
      </c>
      <c r="K21" s="204"/>
      <c r="M21" s="120"/>
    </row>
    <row r="22" spans="2:26" s="17" customFormat="1" ht="12" x14ac:dyDescent="0.2">
      <c r="B22" s="100" t="str">
        <f>IF((AND(F30&lt;&gt;"",F31&lt;&gt;"",F32&lt;&gt;"")),"✓","")</f>
        <v>✓</v>
      </c>
      <c r="C22" s="17" t="s">
        <v>87</v>
      </c>
      <c r="E22" s="96" t="s">
        <v>88</v>
      </c>
      <c r="F22" s="198" t="s">
        <v>34</v>
      </c>
      <c r="G22" s="198"/>
      <c r="H22" s="88"/>
      <c r="I22" s="96" t="s">
        <v>387</v>
      </c>
      <c r="J22" s="209" t="s">
        <v>497</v>
      </c>
      <c r="K22" s="209"/>
    </row>
    <row r="23" spans="2:26" s="17" customFormat="1" ht="13" customHeight="1" x14ac:dyDescent="0.2">
      <c r="B23" s="104" t="str">
        <f>IF(AND('Hosts and Networks'!E13&lt;&gt;"",'Hosts and Networks'!E14&lt;&gt;"",'Hosts and Networks'!E15&lt;&gt;""),"✓","")</f>
        <v>✓</v>
      </c>
      <c r="C23" s="17" t="s">
        <v>89</v>
      </c>
      <c r="E23" s="96" t="s">
        <v>443</v>
      </c>
      <c r="F23" s="197" t="s">
        <v>442</v>
      </c>
      <c r="G23" s="197"/>
      <c r="H23" s="88"/>
      <c r="I23" s="211" t="str">
        <f>IF(F25="No","You have disabled vLCM Cluster Image, as a result vSAN-ESA cannot be enabled and the value set in the Enable vSAN-ESA field will be ignored.",IF(AND(OR(J22="n/a",J22=""),J21="Yes"), M19&amp;M20,""))</f>
        <v/>
      </c>
      <c r="J23" s="211"/>
      <c r="K23" s="211"/>
    </row>
    <row r="24" spans="2:26" s="17" customFormat="1" ht="15" customHeight="1" x14ac:dyDescent="0.2">
      <c r="B24" s="104" t="str">
        <f>IF(AND(J19&lt;&gt;"",J20&lt;&gt;""),"✓","")</f>
        <v>✓</v>
      </c>
      <c r="C24" s="17" t="s">
        <v>90</v>
      </c>
      <c r="E24" s="96" t="s">
        <v>441</v>
      </c>
      <c r="F24" s="197" t="s">
        <v>449</v>
      </c>
      <c r="G24" s="197"/>
      <c r="H24" s="88"/>
      <c r="I24" s="211"/>
      <c r="J24" s="211"/>
      <c r="K24" s="211"/>
      <c r="L24" s="88"/>
      <c r="M24" s="88"/>
      <c r="N24" s="88"/>
      <c r="O24" s="88"/>
      <c r="P24" s="88"/>
      <c r="Q24" s="88"/>
      <c r="R24" s="88"/>
      <c r="S24" s="88"/>
      <c r="T24" s="88"/>
      <c r="U24" s="88"/>
      <c r="V24" s="88"/>
      <c r="W24" s="88"/>
      <c r="X24" s="88"/>
      <c r="Y24" s="88"/>
      <c r="Z24" s="88"/>
    </row>
    <row r="25" spans="2:26" s="17" customFormat="1" ht="15" customHeight="1" x14ac:dyDescent="0.2">
      <c r="E25" s="96" t="s">
        <v>375</v>
      </c>
      <c r="F25" s="202" t="s">
        <v>37</v>
      </c>
      <c r="G25" s="203"/>
      <c r="H25" s="88"/>
      <c r="I25" s="211"/>
      <c r="J25" s="211"/>
      <c r="K25" s="211"/>
      <c r="L25" s="88"/>
      <c r="M25" s="88"/>
      <c r="N25" s="88"/>
      <c r="O25" s="88"/>
      <c r="P25" s="88"/>
      <c r="Q25" s="88"/>
      <c r="R25" s="88"/>
      <c r="S25" s="88"/>
      <c r="T25" s="88"/>
      <c r="U25" s="88"/>
      <c r="V25" s="88"/>
      <c r="W25" s="88"/>
      <c r="X25" s="88"/>
      <c r="Y25" s="88"/>
      <c r="Z25" s="88"/>
    </row>
    <row r="26" spans="2:26" s="17" customFormat="1" ht="15" customHeight="1" x14ac:dyDescent="0.2">
      <c r="E26" s="96" t="s">
        <v>91</v>
      </c>
      <c r="F26" s="214" t="s">
        <v>120</v>
      </c>
      <c r="G26" s="214"/>
      <c r="H26" s="88"/>
      <c r="I26" s="101" t="s">
        <v>396</v>
      </c>
      <c r="J26" s="202" t="s">
        <v>53</v>
      </c>
      <c r="K26" s="203"/>
      <c r="L26" s="88"/>
      <c r="M26" s="88"/>
      <c r="N26" s="88"/>
      <c r="O26" s="88"/>
      <c r="P26" s="88"/>
      <c r="Q26" s="88"/>
      <c r="R26" s="88"/>
      <c r="S26" s="88"/>
      <c r="T26" s="88"/>
      <c r="U26" s="88"/>
      <c r="V26" s="88"/>
      <c r="W26" s="88"/>
      <c r="X26" s="88"/>
      <c r="Y26" s="88"/>
      <c r="Z26" s="88"/>
    </row>
    <row r="27" spans="2:26" s="17" customFormat="1" ht="15" customHeight="1" x14ac:dyDescent="0.2">
      <c r="H27" s="88"/>
      <c r="I27" s="96" t="s">
        <v>385</v>
      </c>
      <c r="J27" s="212" t="s">
        <v>48</v>
      </c>
      <c r="K27" s="213"/>
      <c r="L27" s="88"/>
      <c r="M27" s="88"/>
      <c r="N27" s="88"/>
      <c r="O27" s="88"/>
      <c r="P27" s="88"/>
      <c r="Q27" s="88"/>
      <c r="R27" s="88"/>
      <c r="S27" s="88"/>
      <c r="T27" s="88"/>
      <c r="U27" s="88"/>
      <c r="V27" s="88"/>
      <c r="W27" s="88"/>
      <c r="X27" s="88"/>
      <c r="Y27" s="88"/>
      <c r="Z27" s="88"/>
    </row>
    <row r="28" spans="2:26" s="17" customFormat="1" ht="15" customHeight="1" x14ac:dyDescent="0.2">
      <c r="E28" s="96" t="s">
        <v>92</v>
      </c>
      <c r="F28" s="209" t="s">
        <v>460</v>
      </c>
      <c r="G28" s="209"/>
      <c r="H28" s="88"/>
      <c r="I28" s="96" t="s">
        <v>386</v>
      </c>
      <c r="J28" s="212" t="s">
        <v>48</v>
      </c>
      <c r="K28" s="213"/>
      <c r="L28" s="88"/>
      <c r="M28" s="88"/>
      <c r="N28" s="88"/>
      <c r="O28" s="88"/>
      <c r="P28" s="88"/>
      <c r="Q28" s="88"/>
      <c r="R28" s="88"/>
      <c r="S28" s="88"/>
      <c r="T28" s="88"/>
      <c r="U28" s="88"/>
      <c r="V28" s="88"/>
      <c r="W28" s="88"/>
      <c r="X28" s="88"/>
      <c r="Y28" s="88"/>
      <c r="Z28" s="88"/>
    </row>
    <row r="29" spans="2:26" s="17" customFormat="1" ht="15" customHeight="1" x14ac:dyDescent="0.2">
      <c r="E29" s="96" t="s">
        <v>93</v>
      </c>
      <c r="F29" s="198" t="s">
        <v>34</v>
      </c>
      <c r="G29" s="198"/>
      <c r="H29" s="88"/>
      <c r="I29" s="96" t="s">
        <v>397</v>
      </c>
      <c r="J29" s="212" t="s">
        <v>48</v>
      </c>
      <c r="K29" s="213"/>
      <c r="L29" s="88"/>
      <c r="M29" s="88"/>
      <c r="N29" s="88"/>
      <c r="O29" s="88"/>
      <c r="P29" s="88"/>
      <c r="Q29" s="88"/>
      <c r="R29" s="88"/>
      <c r="S29" s="88"/>
      <c r="T29" s="88"/>
      <c r="U29" s="88"/>
      <c r="V29" s="88"/>
      <c r="W29" s="88"/>
      <c r="X29" s="88"/>
      <c r="Y29" s="88"/>
      <c r="Z29" s="88"/>
    </row>
    <row r="30" spans="2:26" s="17" customFormat="1" ht="15" customHeight="1" x14ac:dyDescent="0.2">
      <c r="E30" s="96" t="s">
        <v>453</v>
      </c>
      <c r="F30" s="197" t="s">
        <v>450</v>
      </c>
      <c r="G30" s="197"/>
      <c r="H30" s="88"/>
      <c r="I30" s="96" t="s">
        <v>398</v>
      </c>
      <c r="J30" s="212" t="s">
        <v>48</v>
      </c>
      <c r="K30" s="213"/>
      <c r="L30" s="88"/>
      <c r="M30" s="88"/>
      <c r="N30" s="88"/>
      <c r="O30" s="88"/>
      <c r="P30" s="88"/>
      <c r="Q30" s="88"/>
      <c r="R30" s="88"/>
      <c r="S30" s="88"/>
      <c r="T30" s="88"/>
      <c r="U30" s="88"/>
      <c r="V30" s="88"/>
      <c r="W30" s="88"/>
      <c r="X30" s="88"/>
      <c r="Y30" s="88"/>
      <c r="Z30" s="88"/>
    </row>
    <row r="31" spans="2:26" s="17" customFormat="1" ht="15" customHeight="1" x14ac:dyDescent="0.2">
      <c r="E31" s="96" t="s">
        <v>454</v>
      </c>
      <c r="F31" s="197" t="s">
        <v>451</v>
      </c>
      <c r="G31" s="197"/>
      <c r="H31" s="88"/>
      <c r="I31" s="96" t="s">
        <v>399</v>
      </c>
      <c r="J31" s="202" t="s">
        <v>420</v>
      </c>
      <c r="K31" s="203"/>
      <c r="L31" s="88"/>
      <c r="M31" s="88"/>
      <c r="N31" s="88"/>
      <c r="O31" s="88"/>
      <c r="P31" s="88"/>
      <c r="Q31" s="88"/>
      <c r="R31" s="88"/>
      <c r="S31" s="88"/>
      <c r="T31" s="88"/>
      <c r="U31" s="88"/>
      <c r="V31" s="88"/>
      <c r="W31" s="88"/>
      <c r="X31" s="88"/>
      <c r="Y31" s="88"/>
      <c r="Z31" s="88"/>
    </row>
    <row r="32" spans="2:26" s="17" customFormat="1" ht="15" customHeight="1" x14ac:dyDescent="0.2">
      <c r="E32" s="96" t="s">
        <v>455</v>
      </c>
      <c r="F32" s="197" t="s">
        <v>452</v>
      </c>
      <c r="G32" s="197"/>
      <c r="H32" s="88"/>
      <c r="I32" s="221" t="s">
        <v>419</v>
      </c>
      <c r="J32" s="215" t="s">
        <v>48</v>
      </c>
      <c r="K32" s="216"/>
      <c r="L32" s="88"/>
      <c r="M32" s="88"/>
      <c r="N32" s="88"/>
      <c r="O32" s="88"/>
      <c r="P32" s="88"/>
      <c r="Q32" s="88"/>
      <c r="R32" s="88"/>
      <c r="S32" s="88"/>
      <c r="T32" s="88"/>
      <c r="U32" s="88"/>
      <c r="V32" s="88"/>
      <c r="W32" s="88"/>
      <c r="X32" s="88"/>
      <c r="Y32" s="88"/>
      <c r="Z32" s="88"/>
    </row>
    <row r="33" spans="2:21" s="17" customFormat="1" ht="39" x14ac:dyDescent="0.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22"/>
      <c r="J33" s="217"/>
      <c r="K33" s="218"/>
    </row>
    <row r="34" spans="2:21" s="17" customFormat="1" ht="15" customHeight="1" x14ac:dyDescent="0.2">
      <c r="E34" s="131"/>
      <c r="F34" s="131"/>
      <c r="G34" s="131"/>
      <c r="H34" s="105"/>
      <c r="I34" s="223"/>
      <c r="J34" s="219"/>
      <c r="K34" s="220"/>
      <c r="L34" s="129" t="str">
        <f>CLEAN(J32)</f>
        <v>n/a</v>
      </c>
      <c r="M34" s="88"/>
      <c r="N34" s="88"/>
      <c r="O34" s="88"/>
      <c r="P34" s="88"/>
      <c r="Q34" s="88"/>
      <c r="R34" s="88"/>
      <c r="S34" s="88"/>
      <c r="T34" s="88"/>
      <c r="U34" s="88"/>
    </row>
    <row r="35" spans="2:21" s="17" customFormat="1" ht="15" customHeight="1" x14ac:dyDescent="0.2">
      <c r="H35" s="105"/>
      <c r="I35" s="211"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211"/>
      <c r="K35" s="211"/>
      <c r="L35" s="88"/>
      <c r="M35" s="88"/>
      <c r="N35" s="88"/>
      <c r="O35" s="88"/>
      <c r="P35" s="88"/>
      <c r="Q35" s="88"/>
      <c r="R35" s="88"/>
      <c r="S35" s="88"/>
      <c r="T35" s="88"/>
      <c r="U35" s="88"/>
    </row>
    <row r="36" spans="2:21" s="17" customFormat="1" ht="15" customHeight="1" x14ac:dyDescent="0.2">
      <c r="E36" s="134"/>
      <c r="F36" s="200"/>
      <c r="G36" s="200"/>
      <c r="H36" s="105"/>
      <c r="L36" s="88"/>
      <c r="M36" s="88"/>
      <c r="N36" s="88"/>
      <c r="O36" s="88"/>
      <c r="P36" s="88"/>
      <c r="Q36" s="88"/>
      <c r="R36" s="88"/>
      <c r="S36" s="88"/>
      <c r="T36" s="88"/>
      <c r="U36" s="88"/>
    </row>
    <row r="37" spans="2:21" s="17" customFormat="1" ht="16" customHeight="1" x14ac:dyDescent="0.2">
      <c r="B37" s="89" t="s">
        <v>360</v>
      </c>
      <c r="C37" s="99"/>
      <c r="E37" s="132" t="s">
        <v>365</v>
      </c>
      <c r="F37" s="133" t="s">
        <v>75</v>
      </c>
      <c r="G37" s="133" t="s">
        <v>76</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 customHeight="1" x14ac:dyDescent="0.2">
      <c r="B38" s="100" t="str">
        <f>IF(AND(F38&lt;&gt;"",F39&lt;&gt;"",F40&lt;&gt;"",F41&lt;&gt;"",G38&lt;&gt;"",G39&lt;&gt;"",G40&lt;&gt;"",G41&lt;&gt;""),"✓","")</f>
        <v>✓</v>
      </c>
      <c r="C38" s="17" t="s">
        <v>364</v>
      </c>
      <c r="E38" s="96" t="s">
        <v>366</v>
      </c>
      <c r="F38" s="102" t="s">
        <v>437</v>
      </c>
      <c r="G38" s="103" t="s">
        <v>488</v>
      </c>
      <c r="H38" s="106"/>
      <c r="L38" s="88"/>
      <c r="M38" s="88"/>
      <c r="N38" s="88"/>
      <c r="O38" s="88"/>
      <c r="P38" s="88"/>
      <c r="Q38" s="88"/>
      <c r="R38" s="88"/>
      <c r="S38" s="88"/>
      <c r="T38" s="88"/>
      <c r="U38" s="88"/>
    </row>
    <row r="39" spans="2:21" s="17" customFormat="1" ht="17" customHeight="1" x14ac:dyDescent="0.2">
      <c r="E39" s="96" t="s">
        <v>367</v>
      </c>
      <c r="F39" s="102" t="s">
        <v>94</v>
      </c>
      <c r="G39" s="103" t="s">
        <v>489</v>
      </c>
      <c r="H39" s="106"/>
      <c r="L39" s="88"/>
      <c r="M39" s="88"/>
      <c r="N39" s="88"/>
      <c r="O39" s="88"/>
      <c r="P39" s="88"/>
      <c r="Q39" s="88"/>
      <c r="R39" s="88"/>
      <c r="S39" s="88"/>
      <c r="T39" s="88"/>
      <c r="U39" s="88"/>
    </row>
    <row r="40" spans="2:21" s="17" customFormat="1" ht="15" customHeight="1" x14ac:dyDescent="0.2">
      <c r="E40" s="96" t="s">
        <v>368</v>
      </c>
      <c r="F40" s="102" t="s">
        <v>48</v>
      </c>
      <c r="G40" s="103" t="s">
        <v>48</v>
      </c>
      <c r="H40" s="106"/>
      <c r="L40" s="88"/>
      <c r="M40" s="88"/>
      <c r="N40" s="88"/>
      <c r="O40" s="88"/>
      <c r="P40" s="88"/>
      <c r="Q40" s="88"/>
      <c r="R40" s="88"/>
      <c r="S40" s="88"/>
      <c r="T40" s="88"/>
      <c r="U40" s="88"/>
    </row>
    <row r="41" spans="2:21" s="17" customFormat="1" ht="15" customHeight="1" x14ac:dyDescent="0.2">
      <c r="E41" s="96" t="s">
        <v>369</v>
      </c>
      <c r="F41" s="102" t="s">
        <v>48</v>
      </c>
      <c r="G41" s="103" t="s">
        <v>48</v>
      </c>
      <c r="H41" s="106"/>
      <c r="L41" s="88"/>
      <c r="M41" s="88"/>
      <c r="N41" s="88"/>
      <c r="O41" s="88"/>
      <c r="P41" s="88"/>
      <c r="Q41" s="88"/>
      <c r="R41" s="88"/>
      <c r="S41" s="88"/>
      <c r="T41" s="88"/>
      <c r="U41" s="88"/>
    </row>
    <row r="42" spans="2:21" s="17" customFormat="1" ht="15" customHeight="1" x14ac:dyDescent="0.2">
      <c r="E42" s="91" t="s">
        <v>370</v>
      </c>
      <c r="F42" s="102" t="s">
        <v>81</v>
      </c>
      <c r="H42" s="106"/>
      <c r="L42" s="88"/>
      <c r="M42" s="88"/>
      <c r="N42" s="88"/>
      <c r="O42" s="88"/>
      <c r="P42" s="88"/>
      <c r="Q42" s="88"/>
      <c r="R42" s="88"/>
      <c r="S42" s="88"/>
      <c r="T42" s="88"/>
      <c r="U42" s="88"/>
    </row>
    <row r="43" spans="2:21" s="17" customFormat="1" ht="15" customHeight="1" x14ac:dyDescent="0.2">
      <c r="H43" s="88"/>
      <c r="L43" s="88"/>
      <c r="M43" s="88"/>
      <c r="N43" s="88"/>
      <c r="O43" s="88"/>
      <c r="P43" s="88"/>
      <c r="Q43" s="88"/>
      <c r="R43" s="88"/>
      <c r="S43" s="88"/>
      <c r="T43" s="88"/>
      <c r="U43" s="88"/>
    </row>
    <row r="44" spans="2:21" s="17" customFormat="1" ht="15" customHeight="1" x14ac:dyDescent="0.15">
      <c r="E44" s="91" t="s">
        <v>15</v>
      </c>
      <c r="F44" s="198" t="s">
        <v>34</v>
      </c>
      <c r="G44" s="198"/>
      <c r="H44" s="85"/>
      <c r="L44" s="88"/>
      <c r="M44" s="88"/>
      <c r="N44" s="88"/>
      <c r="O44" s="88"/>
      <c r="P44" s="88"/>
      <c r="Q44" s="88"/>
      <c r="R44" s="88"/>
      <c r="S44" s="88"/>
      <c r="T44" s="88"/>
      <c r="U44" s="88"/>
    </row>
    <row r="45" spans="2:21" s="17" customFormat="1" ht="21" customHeight="1" x14ac:dyDescent="0.15">
      <c r="B45" s="89" t="s">
        <v>15</v>
      </c>
      <c r="C45" s="99"/>
      <c r="D45" s="85"/>
      <c r="E45" s="96" t="s">
        <v>96</v>
      </c>
      <c r="F45" s="196" t="s">
        <v>438</v>
      </c>
      <c r="G45" s="196"/>
      <c r="H45" s="85"/>
      <c r="L45" s="88"/>
      <c r="M45" s="88"/>
      <c r="N45" s="88"/>
      <c r="O45" s="88"/>
      <c r="P45" s="88"/>
      <c r="Q45" s="88"/>
      <c r="R45" s="88"/>
      <c r="S45" s="88"/>
      <c r="T45" s="88"/>
      <c r="U45" s="88"/>
    </row>
    <row r="46" spans="2:21" ht="17" customHeight="1" x14ac:dyDescent="0.2">
      <c r="B46" s="100" t="str">
        <f>IF((AND(F45&lt;&gt;"",F46&lt;&gt;"")),"✓","")</f>
        <v>✓</v>
      </c>
      <c r="C46" s="17" t="s">
        <v>95</v>
      </c>
      <c r="E46" s="96" t="s">
        <v>97</v>
      </c>
      <c r="F46" s="199" t="s">
        <v>499</v>
      </c>
      <c r="G46" s="199"/>
      <c r="L46" s="88"/>
      <c r="M46" s="88"/>
      <c r="N46" s="88"/>
      <c r="O46" s="88"/>
      <c r="P46" s="88"/>
      <c r="Q46" s="88"/>
      <c r="R46" s="88"/>
      <c r="S46" s="88"/>
      <c r="T46" s="88"/>
      <c r="U46" s="88"/>
    </row>
    <row r="47" spans="2:21" ht="14" customHeight="1" x14ac:dyDescent="0.2">
      <c r="E47" s="96" t="s">
        <v>98</v>
      </c>
      <c r="F47" s="196" t="s">
        <v>459</v>
      </c>
      <c r="G47" s="196"/>
      <c r="L47" s="88"/>
      <c r="M47" s="88"/>
      <c r="N47" s="88"/>
      <c r="O47" s="88"/>
      <c r="P47" s="88"/>
      <c r="Q47" s="88"/>
      <c r="R47" s="88"/>
      <c r="S47" s="88"/>
      <c r="T47" s="88"/>
      <c r="U47" s="88"/>
    </row>
    <row r="48" spans="2:21" ht="14" customHeight="1" x14ac:dyDescent="0.2">
      <c r="L48" s="88"/>
      <c r="M48" s="88"/>
      <c r="N48" s="88"/>
      <c r="O48" s="88"/>
      <c r="P48" s="88"/>
      <c r="Q48" s="88"/>
      <c r="R48" s="88"/>
      <c r="S48" s="88"/>
      <c r="T48" s="88"/>
      <c r="U48" s="88"/>
    </row>
    <row r="49" spans="5:21" ht="14" customHeight="1" x14ac:dyDescent="0.2">
      <c r="E49" s="91" t="s">
        <v>433</v>
      </c>
      <c r="F49" s="197" t="s">
        <v>434</v>
      </c>
      <c r="G49" s="197"/>
      <c r="L49" s="88"/>
      <c r="M49" s="88"/>
      <c r="N49" s="88"/>
      <c r="O49" s="88"/>
      <c r="P49" s="88"/>
      <c r="Q49" s="88"/>
      <c r="R49" s="88"/>
      <c r="S49" s="88"/>
      <c r="T49" s="88"/>
      <c r="U49" s="88"/>
    </row>
    <row r="50" spans="5:21" ht="14" customHeight="1" x14ac:dyDescent="0.2">
      <c r="L50" s="88"/>
      <c r="M50" s="88"/>
      <c r="N50" s="88"/>
      <c r="O50" s="88"/>
      <c r="P50" s="88"/>
      <c r="Q50" s="88"/>
      <c r="R50" s="88"/>
      <c r="S50" s="88"/>
      <c r="T50" s="88"/>
      <c r="U50" s="88"/>
    </row>
    <row r="51" spans="5:21" ht="14" customHeight="1" x14ac:dyDescent="0.2">
      <c r="E51" s="128"/>
      <c r="L51" s="88"/>
      <c r="M51" s="88"/>
      <c r="N51" s="88"/>
      <c r="O51" s="88"/>
      <c r="P51" s="88"/>
      <c r="Q51" s="88"/>
      <c r="R51" s="88"/>
      <c r="S51" s="88"/>
      <c r="T51" s="88"/>
      <c r="U51" s="88"/>
    </row>
    <row r="52" spans="5:21" x14ac:dyDescent="0.2">
      <c r="L52" s="88"/>
      <c r="M52" s="88"/>
      <c r="N52" s="88"/>
      <c r="O52" s="88"/>
      <c r="P52" s="88"/>
      <c r="Q52" s="88"/>
      <c r="R52" s="88"/>
      <c r="S52" s="88"/>
      <c r="T52" s="88"/>
      <c r="U52" s="88"/>
    </row>
    <row r="53" spans="5:21" x14ac:dyDescent="0.2">
      <c r="L53" s="88"/>
      <c r="M53" s="88"/>
      <c r="N53" s="88"/>
      <c r="O53" s="88"/>
      <c r="P53" s="88"/>
      <c r="Q53" s="88"/>
      <c r="R53" s="88"/>
      <c r="S53" s="88"/>
      <c r="T53" s="88"/>
      <c r="U53" s="88"/>
    </row>
    <row r="54" spans="5:21" x14ac:dyDescent="0.2">
      <c r="L54" s="88"/>
      <c r="M54" s="88"/>
      <c r="N54" s="88"/>
      <c r="O54" s="88"/>
      <c r="P54" s="88"/>
      <c r="Q54" s="88"/>
      <c r="R54" s="88"/>
      <c r="S54" s="88"/>
      <c r="T54" s="88"/>
      <c r="U54" s="88"/>
    </row>
    <row r="55" spans="5:21" x14ac:dyDescent="0.2">
      <c r="L55" s="88"/>
      <c r="M55" s="88"/>
      <c r="N55" s="88"/>
      <c r="O55" s="88"/>
      <c r="P55" s="88"/>
      <c r="Q55" s="88"/>
      <c r="R55" s="88"/>
      <c r="S55" s="88"/>
      <c r="T55" s="88"/>
      <c r="U55" s="88"/>
    </row>
    <row r="56" spans="5:21" x14ac:dyDescent="0.2">
      <c r="L56" s="88"/>
      <c r="M56" s="88"/>
      <c r="N56" s="88"/>
      <c r="O56" s="88"/>
      <c r="P56" s="88"/>
      <c r="Q56" s="88"/>
      <c r="R56" s="88"/>
      <c r="S56" s="88"/>
      <c r="T56" s="88"/>
      <c r="U56" s="88"/>
    </row>
    <row r="57" spans="5:21" x14ac:dyDescent="0.2">
      <c r="L57" s="88"/>
      <c r="M57" s="88"/>
      <c r="N57" s="88"/>
      <c r="O57" s="88"/>
      <c r="P57" s="88"/>
      <c r="Q57" s="88"/>
      <c r="R57" s="88"/>
      <c r="S57" s="88"/>
      <c r="T57" s="88"/>
      <c r="U57" s="88"/>
    </row>
    <row r="58" spans="5:21" x14ac:dyDescent="0.2">
      <c r="L58" s="88"/>
      <c r="M58" s="88"/>
      <c r="N58" s="88"/>
      <c r="O58" s="88"/>
      <c r="P58" s="88"/>
      <c r="Q58" s="88"/>
      <c r="R58" s="88"/>
      <c r="S58" s="88"/>
      <c r="T58" s="88"/>
      <c r="U58" s="88"/>
    </row>
    <row r="59" spans="5:21" x14ac:dyDescent="0.2">
      <c r="L59" s="88"/>
      <c r="M59" s="88"/>
      <c r="N59" s="88"/>
      <c r="O59" s="88"/>
      <c r="P59" s="88"/>
      <c r="Q59" s="88"/>
      <c r="R59" s="88"/>
      <c r="S59" s="88"/>
      <c r="T59" s="88"/>
      <c r="U59" s="88"/>
    </row>
    <row r="60" spans="5:21" x14ac:dyDescent="0.2">
      <c r="L60" s="88"/>
      <c r="M60" s="88"/>
      <c r="N60" s="88"/>
      <c r="O60" s="88"/>
      <c r="P60" s="88"/>
      <c r="Q60" s="88"/>
      <c r="R60" s="88"/>
      <c r="S60" s="88"/>
      <c r="T60" s="88"/>
      <c r="U60" s="88"/>
    </row>
    <row r="61" spans="5:21" x14ac:dyDescent="0.2">
      <c r="L61" s="88"/>
      <c r="M61" s="88"/>
      <c r="N61" s="88"/>
      <c r="O61" s="88"/>
      <c r="P61" s="88"/>
      <c r="Q61" s="88"/>
      <c r="R61" s="88"/>
      <c r="S61" s="88"/>
      <c r="T61" s="88"/>
      <c r="U61" s="88"/>
    </row>
    <row r="62" spans="5:21" x14ac:dyDescent="0.2">
      <c r="L62" s="88"/>
      <c r="M62" s="88"/>
      <c r="N62" s="88"/>
      <c r="O62" s="88"/>
      <c r="P62" s="88"/>
      <c r="Q62" s="88"/>
      <c r="R62" s="88"/>
      <c r="S62" s="88"/>
      <c r="T62" s="88"/>
      <c r="U62" s="88"/>
    </row>
    <row r="63" spans="5:21" x14ac:dyDescent="0.2">
      <c r="L63" s="88"/>
      <c r="M63" s="88"/>
      <c r="N63" s="88"/>
      <c r="O63" s="88"/>
      <c r="P63" s="88"/>
      <c r="Q63" s="88"/>
      <c r="R63" s="88"/>
      <c r="S63" s="88"/>
      <c r="T63" s="88"/>
      <c r="U63" s="88"/>
    </row>
    <row r="64" spans="5:21" x14ac:dyDescent="0.2">
      <c r="L64" s="88"/>
      <c r="M64" s="88"/>
      <c r="N64" s="88"/>
      <c r="O64" s="88"/>
      <c r="P64" s="88"/>
      <c r="Q64" s="88"/>
      <c r="R64" s="88"/>
      <c r="S64" s="88"/>
      <c r="T64" s="88"/>
      <c r="U64" s="88"/>
    </row>
    <row r="65" spans="12:21" x14ac:dyDescent="0.2">
      <c r="L65" s="88"/>
      <c r="M65" s="88"/>
      <c r="N65" s="88"/>
      <c r="O65" s="88"/>
      <c r="P65" s="88"/>
      <c r="Q65" s="88"/>
      <c r="R65" s="88"/>
      <c r="S65" s="88"/>
      <c r="T65" s="88"/>
      <c r="U65" s="88"/>
    </row>
    <row r="66" spans="12:21" x14ac:dyDescent="0.2">
      <c r="L66" s="88"/>
      <c r="M66" s="88"/>
      <c r="N66" s="88"/>
      <c r="O66" s="88"/>
      <c r="P66" s="88"/>
      <c r="Q66" s="88"/>
      <c r="R66" s="88"/>
      <c r="S66" s="88"/>
      <c r="T66" s="88"/>
      <c r="U66" s="88"/>
    </row>
    <row r="67" spans="12:21" x14ac:dyDescent="0.2">
      <c r="L67" s="88"/>
      <c r="M67" s="88"/>
      <c r="N67" s="88"/>
      <c r="O67" s="88"/>
      <c r="P67" s="88"/>
      <c r="Q67" s="88"/>
      <c r="R67" s="88"/>
      <c r="S67" s="88"/>
      <c r="T67" s="88"/>
      <c r="U67" s="88"/>
    </row>
    <row r="68" spans="12:21" x14ac:dyDescent="0.2">
      <c r="L68" s="88"/>
      <c r="M68" s="88"/>
      <c r="N68" s="88"/>
      <c r="O68" s="88"/>
      <c r="P68" s="88"/>
      <c r="Q68" s="88"/>
      <c r="R68" s="88"/>
      <c r="S68" s="88"/>
      <c r="T68" s="88"/>
      <c r="U68" s="88"/>
    </row>
    <row r="69" spans="12:21" x14ac:dyDescent="0.2">
      <c r="L69" s="88"/>
      <c r="M69" s="88"/>
      <c r="N69" s="88"/>
      <c r="O69" s="88"/>
      <c r="P69" s="88"/>
      <c r="Q69" s="88"/>
      <c r="R69" s="88"/>
      <c r="S69" s="88"/>
      <c r="T69" s="88"/>
      <c r="U69" s="88"/>
    </row>
    <row r="70" spans="12:21" x14ac:dyDescent="0.2">
      <c r="L70" s="88"/>
      <c r="M70" s="88"/>
      <c r="N70" s="88"/>
      <c r="O70" s="88"/>
      <c r="P70" s="88"/>
      <c r="Q70" s="88"/>
      <c r="R70" s="88"/>
      <c r="S70" s="88"/>
      <c r="T70" s="88"/>
      <c r="U70" s="88"/>
    </row>
    <row r="71" spans="12:21" x14ac:dyDescent="0.2">
      <c r="L71" s="88"/>
      <c r="M71" s="88"/>
      <c r="N71" s="88"/>
      <c r="O71" s="88"/>
      <c r="P71" s="88"/>
      <c r="Q71" s="88"/>
      <c r="R71" s="88"/>
      <c r="S71" s="88"/>
      <c r="T71" s="88"/>
      <c r="U71" s="88"/>
    </row>
    <row r="72" spans="12:21" x14ac:dyDescent="0.2">
      <c r="L72" s="88"/>
      <c r="M72" s="88"/>
      <c r="N72" s="88"/>
      <c r="O72" s="88"/>
      <c r="P72" s="88"/>
      <c r="Q72" s="88"/>
      <c r="R72" s="88"/>
      <c r="S72" s="88"/>
      <c r="T72" s="88"/>
      <c r="U72" s="88"/>
    </row>
    <row r="73" spans="12:21" x14ac:dyDescent="0.2">
      <c r="L73" s="88"/>
      <c r="M73" s="88"/>
      <c r="N73" s="88"/>
      <c r="O73" s="88"/>
      <c r="P73" s="88"/>
      <c r="Q73" s="88"/>
      <c r="R73" s="88"/>
      <c r="S73" s="88"/>
      <c r="T73" s="88"/>
      <c r="U73" s="88"/>
    </row>
    <row r="74" spans="12:21" x14ac:dyDescent="0.2">
      <c r="L74" s="88"/>
      <c r="M74" s="88"/>
      <c r="N74" s="88"/>
      <c r="O74" s="88"/>
      <c r="P74" s="88"/>
      <c r="Q74" s="88"/>
      <c r="R74" s="88"/>
      <c r="S74" s="88"/>
      <c r="T74" s="88"/>
      <c r="U74" s="88"/>
    </row>
    <row r="75" spans="12:21" x14ac:dyDescent="0.2">
      <c r="L75" s="88"/>
      <c r="M75" s="88"/>
      <c r="N75" s="88"/>
      <c r="O75" s="88"/>
      <c r="P75" s="88"/>
      <c r="Q75" s="88"/>
      <c r="R75" s="88"/>
      <c r="S75" s="88"/>
      <c r="T75" s="88"/>
      <c r="U75" s="88"/>
    </row>
    <row r="76" spans="12:21" x14ac:dyDescent="0.2">
      <c r="L76" s="88"/>
      <c r="M76" s="88"/>
      <c r="N76" s="88"/>
      <c r="O76" s="88"/>
      <c r="P76" s="88"/>
      <c r="Q76" s="88"/>
      <c r="R76" s="88"/>
      <c r="S76" s="88"/>
      <c r="T76" s="88"/>
      <c r="U76" s="88"/>
    </row>
    <row r="77" spans="12:21" x14ac:dyDescent="0.2">
      <c r="L77" s="88"/>
      <c r="M77" s="88"/>
      <c r="N77" s="88"/>
      <c r="O77" s="88"/>
      <c r="P77" s="88"/>
      <c r="Q77" s="88"/>
      <c r="R77" s="88"/>
      <c r="S77" s="88"/>
      <c r="T77" s="88"/>
      <c r="U77" s="88"/>
    </row>
    <row r="78" spans="12:21" x14ac:dyDescent="0.2">
      <c r="L78" s="88"/>
      <c r="M78" s="88"/>
      <c r="N78" s="88"/>
      <c r="O78" s="88"/>
      <c r="P78" s="88"/>
      <c r="Q78" s="88"/>
      <c r="R78" s="88"/>
      <c r="S78" s="88"/>
      <c r="T78" s="88"/>
      <c r="U78" s="88"/>
    </row>
    <row r="79" spans="12:21" x14ac:dyDescent="0.2">
      <c r="L79" s="88"/>
      <c r="M79" s="88"/>
      <c r="N79" s="88"/>
      <c r="O79" s="88"/>
      <c r="P79" s="88"/>
      <c r="Q79" s="88"/>
      <c r="R79" s="88"/>
      <c r="S79" s="88"/>
      <c r="T79" s="88"/>
      <c r="U79" s="88"/>
    </row>
  </sheetData>
  <sheetProtection sheet="1" objects="1" scenarios="1"/>
  <mergeCells count="47">
    <mergeCell ref="J21:K21"/>
    <mergeCell ref="J22:K22"/>
    <mergeCell ref="J26:K26"/>
    <mergeCell ref="J27:K27"/>
    <mergeCell ref="J28:K28"/>
    <mergeCell ref="I23:K25"/>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F7:G7"/>
    <mergeCell ref="F8:G8"/>
    <mergeCell ref="I8:J8"/>
    <mergeCell ref="F9:G9"/>
    <mergeCell ref="I9:J9"/>
    <mergeCell ref="B3:K3"/>
    <mergeCell ref="F5:G5"/>
    <mergeCell ref="J5:K5"/>
    <mergeCell ref="F6:G6"/>
    <mergeCell ref="J6:K6"/>
    <mergeCell ref="F15:G15"/>
    <mergeCell ref="F11:G11"/>
    <mergeCell ref="J18:K18"/>
    <mergeCell ref="J19:K19"/>
    <mergeCell ref="J20:K20"/>
    <mergeCell ref="F12:G12"/>
    <mergeCell ref="F13:G13"/>
    <mergeCell ref="F14:G14"/>
    <mergeCell ref="I11:K14"/>
    <mergeCell ref="F47:G47"/>
    <mergeCell ref="F49:G49"/>
    <mergeCell ref="F31:G31"/>
    <mergeCell ref="F32:G32"/>
    <mergeCell ref="F44:G44"/>
    <mergeCell ref="F45:G45"/>
    <mergeCell ref="F46:G46"/>
    <mergeCell ref="F36:G36"/>
  </mergeCells>
  <conditionalFormatting sqref="B5:B7 B18:B24 B37:B38 B45:B46 B50:B306">
    <cfRule type="cellIs" dxfId="70" priority="55" operator="equal">
      <formula>"✓"</formula>
    </cfRule>
  </conditionalFormatting>
  <conditionalFormatting sqref="B11:B12">
    <cfRule type="cellIs" dxfId="69" priority="111" operator="equal">
      <formula>"✓"</formula>
    </cfRule>
  </conditionalFormatting>
  <conditionalFormatting sqref="E28">
    <cfRule type="expression" dxfId="68" priority="107">
      <formula>#REF!="Standard"</formula>
    </cfRule>
  </conditionalFormatting>
  <conditionalFormatting sqref="E12:G15">
    <cfRule type="expression" dxfId="67" priority="32" stopIfTrue="1">
      <formula>$F$11="No"</formula>
    </cfRule>
  </conditionalFormatting>
  <conditionalFormatting sqref="E29:G32">
    <cfRule type="expression" dxfId="66" priority="106">
      <formula>$F$28="Standard"</formula>
    </cfRule>
  </conditionalFormatting>
  <conditionalFormatting sqref="F6">
    <cfRule type="containsText" dxfId="65" priority="73" operator="containsText" text="n/a">
      <formula>NOT(ISERROR(SEARCH("n/a",F6)))</formula>
    </cfRule>
  </conditionalFormatting>
  <conditionalFormatting sqref="F6:F7">
    <cfRule type="expression" dxfId="64" priority="60">
      <formula>IF(LEN(F6)-LEN(SUBSTITUTE(F6,".",""))=3,0,1)</formula>
    </cfRule>
  </conditionalFormatting>
  <conditionalFormatting sqref="F6:F9">
    <cfRule type="expression" dxfId="63" priority="58">
      <formula>LEN(TRIM(F6))=0</formula>
    </cfRule>
  </conditionalFormatting>
  <conditionalFormatting sqref="F7">
    <cfRule type="containsText" dxfId="62" priority="59" operator="containsText" text="n/a">
      <formula>NOT(ISERROR(SEARCH("n/a",F7)))</formula>
    </cfRule>
  </conditionalFormatting>
  <conditionalFormatting sqref="F9">
    <cfRule type="containsText" dxfId="61" priority="71" operator="containsText" text="n/a">
      <formula>NOT(ISERROR(SEARCH("n/a",F9)))</formula>
    </cfRule>
  </conditionalFormatting>
  <conditionalFormatting sqref="F12:F15">
    <cfRule type="expression" dxfId="60" priority="108">
      <formula>IF(#REF!="",0,1)</formula>
    </cfRule>
    <cfRule type="expression" dxfId="59" priority="134">
      <formula>LEN(TRIM(F12))=0</formula>
    </cfRule>
    <cfRule type="duplicateValues" dxfId="58" priority="133" stopIfTrue="1"/>
  </conditionalFormatting>
  <conditionalFormatting sqref="F18">
    <cfRule type="expression" dxfId="57" priority="57" stopIfTrue="1">
      <formula>LEN(TRIM(F18))=0</formula>
    </cfRule>
    <cfRule type="expression" dxfId="56" priority="6" stopIfTrue="1">
      <formula>$F$18="n/a"</formula>
    </cfRule>
  </conditionalFormatting>
  <conditionalFormatting sqref="F23:F24">
    <cfRule type="expression" dxfId="55" priority="62" stopIfTrue="1">
      <formula>LEN(TRIM(F23))=0</formula>
    </cfRule>
  </conditionalFormatting>
  <conditionalFormatting sqref="F38">
    <cfRule type="expression" dxfId="54" priority="18" stopIfTrue="1">
      <formula>AND($F$38&lt;&gt;"n/a",IF($F$38&lt;&gt;"n/a",COUNTIF($F$38:$F$41,$F$38)&gt;1))</formula>
    </cfRule>
    <cfRule type="expression" dxfId="53" priority="5">
      <formula>$F$38="n/a"</formula>
    </cfRule>
  </conditionalFormatting>
  <conditionalFormatting sqref="F39">
    <cfRule type="expression" dxfId="52" priority="19" stopIfTrue="1">
      <formula>AND($F$39&lt;&gt;"n/a",IF($F$39&lt;&gt;"n/a",COUNTIF($F$38:$F$41,$F$39)&gt;1))</formula>
    </cfRule>
    <cfRule type="expression" dxfId="51" priority="4">
      <formula>$F$39="n/a"</formula>
    </cfRule>
  </conditionalFormatting>
  <conditionalFormatting sqref="F45">
    <cfRule type="expression" dxfId="50" priority="1">
      <formula>$F$45="n/a"</formula>
    </cfRule>
  </conditionalFormatting>
  <conditionalFormatting sqref="F18:G18">
    <cfRule type="expression" dxfId="49" priority="24">
      <formula>AND($F$18="n/a",$G$18="n/a")</formula>
    </cfRule>
  </conditionalFormatting>
  <conditionalFormatting sqref="F30:G30">
    <cfRule type="expression" dxfId="48" priority="80">
      <formula>LEN(TRIM(F30))=0</formula>
    </cfRule>
  </conditionalFormatting>
  <conditionalFormatting sqref="F38:G38">
    <cfRule type="expression" dxfId="47" priority="10" stopIfTrue="1">
      <formula>AND($F$38="n/a",$G$38="n/a")</formula>
    </cfRule>
  </conditionalFormatting>
  <conditionalFormatting sqref="F39:G39">
    <cfRule type="expression" dxfId="46" priority="11">
      <formula>AND($F$39="n/a",$G$39="n/a")</formula>
    </cfRule>
  </conditionalFormatting>
  <conditionalFormatting sqref="F45:G46">
    <cfRule type="expression" dxfId="45" priority="9" stopIfTrue="1">
      <formula>AND($F$45="n/a",$F$46="n/a")</formula>
    </cfRule>
  </conditionalFormatting>
  <conditionalFormatting sqref="F46:G46">
    <cfRule type="expression" dxfId="44" priority="85" stopIfTrue="1">
      <formula>LEN(TRIM(F46))=0</formula>
    </cfRule>
    <cfRule type="expression" dxfId="43" priority="83" stopIfTrue="1">
      <formula>AND($F$46&lt;&gt;"n/a",IF(LEN(F46)-LEN(SUBSTITUTE(F46,".",""))=3,0,1))</formula>
    </cfRule>
  </conditionalFormatting>
  <conditionalFormatting sqref="F49:G49">
    <cfRule type="expression" dxfId="42" priority="8">
      <formula>LEN(TRIM(F49))=0</formula>
    </cfRule>
    <cfRule type="containsText" dxfId="41" priority="68" stopIfTrue="1" operator="containsText" text="n/a">
      <formula>NOT(ISERROR(SEARCH("n/a",F49)))</formula>
    </cfRule>
  </conditionalFormatting>
  <conditionalFormatting sqref="G18">
    <cfRule type="expression" dxfId="40" priority="86" stopIfTrue="1">
      <formula>AND($G$18&lt;&gt;"n/a",IF(LEN(G18)-LEN(SUBSTITUTE(G18,".",""))=3,0,1))</formula>
    </cfRule>
  </conditionalFormatting>
  <conditionalFormatting sqref="G38">
    <cfRule type="expression" dxfId="39" priority="14">
      <formula>AND($G$38&lt;&gt;"n/a",IF($G$38&lt;&gt;"n/a",COUNTIF($G$38:$G$41,$G$38)&gt;1))</formula>
    </cfRule>
  </conditionalFormatting>
  <conditionalFormatting sqref="G39">
    <cfRule type="expression" dxfId="38" priority="15" stopIfTrue="1">
      <formula>AND($G$39&lt;&gt;"n/a",IF($G$39&lt;&gt;"n/a",COUNTIF($G$38:$G$41,$G$39)&gt;1))</formula>
    </cfRule>
  </conditionalFormatting>
  <conditionalFormatting sqref="J22">
    <cfRule type="expression" dxfId="37" priority="42">
      <formula>LEN(TRIM(J22))=0</formula>
    </cfRule>
  </conditionalFormatting>
  <conditionalFormatting sqref="J27">
    <cfRule type="expression" dxfId="36" priority="31">
      <formula>AND($J$27="n/a",OR($J$28&lt;&gt;"n/a",$J$29&lt;&gt;"n/a",$J$30&lt;&gt;"n/a"))</formula>
    </cfRule>
  </conditionalFormatting>
  <conditionalFormatting sqref="J28">
    <cfRule type="expression" dxfId="35" priority="33" stopIfTrue="1">
      <formula>AND($J$28="n/a",OR($J$27&lt;&gt;"n/a",$J$29&lt;&gt;"n/a",$J$30&lt;&gt;"n/a"))</formula>
    </cfRule>
  </conditionalFormatting>
  <conditionalFormatting sqref="J29">
    <cfRule type="expression" dxfId="34" priority="35" stopIfTrue="1">
      <formula>AND(OR($J$29="n/a",$J$29=""),$J$30&lt;&gt;"n/a",$J$30&lt;&gt;"")</formula>
    </cfRule>
  </conditionalFormatting>
  <conditionalFormatting sqref="J30">
    <cfRule type="expression" dxfId="33" priority="34">
      <formula>AND($J$29&lt;&gt;"n/a",$J$29&lt;&gt;"",OR($J$30="n/a",$J$30=""))</formula>
    </cfRule>
  </conditionalFormatting>
  <conditionalFormatting sqref="J32">
    <cfRule type="expression" dxfId="32" priority="27">
      <formula>$J$26="No"</formula>
    </cfRule>
  </conditionalFormatting>
  <conditionalFormatting sqref="J6:K6">
    <cfRule type="containsText" dxfId="31" priority="76" operator="containsText" text="n/a">
      <formula>NOT(ISERROR(SEARCH("n/a",J6)))</formula>
    </cfRule>
    <cfRule type="expression" dxfId="30" priority="77">
      <formula>LEN(TRIM(J6))=0</formula>
    </cfRule>
  </conditionalFormatting>
  <conditionalFormatting sqref="J19:K19">
    <cfRule type="top10" dxfId="29" priority="78" rank="10"/>
  </conditionalFormatting>
  <conditionalFormatting sqref="J20:K20">
    <cfRule type="expression" dxfId="28" priority="160" stopIfTrue="1">
      <formula>AND($F$25="Yes",$J$21="Yes")</formula>
    </cfRule>
  </conditionalFormatting>
  <conditionalFormatting sqref="J21:K22">
    <cfRule type="expression" dxfId="27" priority="29">
      <formula>$F$25="No"</formula>
    </cfRule>
  </conditionalFormatting>
  <conditionalFormatting sqref="J22:K22">
    <cfRule type="containsText" dxfId="26" priority="41" operator="containsText" text="n/a">
      <formula>NOT(ISERROR(SEARCH("n/a",J22)))</formula>
    </cfRule>
    <cfRule type="expression" dxfId="25" priority="40" stopIfTrue="1">
      <formula>$J$21="No"</formula>
    </cfRule>
  </conditionalFormatting>
  <conditionalFormatting sqref="J27:K28">
    <cfRule type="expression" dxfId="24" priority="37" stopIfTrue="1">
      <formula>AND($J$27="n/a",$J$28="n/a",$J$26="Yes")</formula>
    </cfRule>
  </conditionalFormatting>
  <conditionalFormatting sqref="J27:K31">
    <cfRule type="expression" dxfId="23" priority="53">
      <formula>$J$26="No"</formula>
    </cfRule>
  </conditionalFormatting>
  <conditionalFormatting sqref="J32:K34">
    <cfRule type="expression" dxfId="22"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3A0D-8449-414F-B4E6-B4F1B6AE4BAE}">
  <sheetPr codeName="Sheet5"/>
  <dimension ref="A1:ALX36"/>
  <sheetViews>
    <sheetView tabSelected="1" topLeftCell="D3" zoomScale="130" zoomScaleNormal="130" workbookViewId="0">
      <selection activeCell="E37" sqref="E37"/>
    </sheetView>
  </sheetViews>
  <sheetFormatPr baseColWidth="10" defaultColWidth="9" defaultRowHeight="15" x14ac:dyDescent="0.2"/>
  <cols>
    <col min="1" max="1" width="1.1640625" style="85" customWidth="1"/>
    <col min="2" max="2" width="3.33203125" style="85" customWidth="1"/>
    <col min="3" max="3" width="45.83203125" style="85" customWidth="1"/>
    <col min="4" max="4" width="1.6640625" style="85" customWidth="1"/>
    <col min="5" max="5" width="42.83203125" style="85" customWidth="1"/>
    <col min="6" max="7" width="43.1640625" style="85" customWidth="1"/>
    <col min="8" max="8" width="9" style="85"/>
    <col min="9" max="9" width="24.83203125" style="85" customWidth="1"/>
    <col min="10" max="10" width="39.33203125" style="85" customWidth="1"/>
    <col min="11" max="11" width="12.6640625" style="85" customWidth="1"/>
    <col min="12" max="12" width="79.6640625" style="85" bestFit="1" customWidth="1"/>
    <col min="13" max="1012" width="9" style="85"/>
  </cols>
  <sheetData>
    <row r="1" spans="2:12" ht="111" customHeight="1" x14ac:dyDescent="0.2">
      <c r="B1" s="86"/>
      <c r="C1" s="87"/>
      <c r="E1" s="85" t="s">
        <v>2</v>
      </c>
    </row>
    <row r="2" spans="2:12" s="17" customFormat="1" ht="4" customHeight="1" x14ac:dyDescent="0.2">
      <c r="B2" s="88"/>
      <c r="C2" s="88"/>
    </row>
    <row r="3" spans="2:12" s="17" customFormat="1" ht="17" customHeight="1" x14ac:dyDescent="0.2">
      <c r="B3" s="89" t="s">
        <v>509</v>
      </c>
      <c r="C3" s="90"/>
      <c r="E3" s="91" t="s">
        <v>60</v>
      </c>
      <c r="F3" s="232" t="s">
        <v>34</v>
      </c>
      <c r="G3" s="233"/>
      <c r="I3" s="101" t="s">
        <v>538</v>
      </c>
      <c r="J3" s="207" t="s">
        <v>34</v>
      </c>
      <c r="K3" s="234"/>
      <c r="L3" s="234"/>
    </row>
    <row r="4" spans="2:12" s="17" customFormat="1" ht="12" x14ac:dyDescent="0.2">
      <c r="C4" s="17" t="s">
        <v>510</v>
      </c>
      <c r="E4" s="96" t="s">
        <v>511</v>
      </c>
      <c r="F4" s="212" t="s">
        <v>511</v>
      </c>
      <c r="G4" s="213"/>
      <c r="I4" s="96" t="s">
        <v>537</v>
      </c>
      <c r="J4" s="235" t="s">
        <v>539</v>
      </c>
      <c r="K4" s="236"/>
      <c r="L4" s="236"/>
    </row>
    <row r="5" spans="2:12" s="17" customFormat="1" ht="15" customHeight="1" x14ac:dyDescent="0.2">
      <c r="E5" s="96" t="s">
        <v>512</v>
      </c>
      <c r="F5" s="212" t="s">
        <v>513</v>
      </c>
      <c r="G5" s="213"/>
      <c r="I5" s="96" t="s">
        <v>536</v>
      </c>
      <c r="J5" s="235" t="s">
        <v>540</v>
      </c>
      <c r="K5" s="236"/>
      <c r="L5" s="236"/>
    </row>
    <row r="6" spans="2:12" s="17" customFormat="1" ht="15" customHeight="1" x14ac:dyDescent="0.2">
      <c r="E6" s="96" t="s">
        <v>514</v>
      </c>
      <c r="F6" s="212" t="s">
        <v>515</v>
      </c>
      <c r="G6" s="213"/>
    </row>
    <row r="7" spans="2:12" s="17" customFormat="1" ht="15" customHeight="1" x14ac:dyDescent="0.2">
      <c r="E7" s="96" t="s">
        <v>516</v>
      </c>
      <c r="F7" s="212" t="s">
        <v>517</v>
      </c>
      <c r="G7" s="213"/>
    </row>
    <row r="8" spans="2:12" s="17" customFormat="1" ht="18" customHeight="1" x14ac:dyDescent="0.2"/>
    <row r="9" spans="2:12" s="17" customFormat="1" ht="17" customHeight="1" x14ac:dyDescent="0.2">
      <c r="B9" s="89" t="s">
        <v>518</v>
      </c>
      <c r="C9" s="90"/>
      <c r="E9" s="91" t="s">
        <v>519</v>
      </c>
      <c r="F9" s="232" t="s">
        <v>34</v>
      </c>
      <c r="G9" s="233"/>
    </row>
    <row r="10" spans="2:12" s="17" customFormat="1" ht="12" x14ac:dyDescent="0.2">
      <c r="C10" s="17" t="s">
        <v>510</v>
      </c>
      <c r="E10" s="96" t="s">
        <v>520</v>
      </c>
      <c r="F10" s="212" t="s">
        <v>532</v>
      </c>
      <c r="G10" s="213"/>
    </row>
    <row r="11" spans="2:12" s="17" customFormat="1" ht="15" customHeight="1" x14ac:dyDescent="0.2">
      <c r="E11" s="96" t="s">
        <v>75</v>
      </c>
      <c r="F11" s="212" t="s">
        <v>533</v>
      </c>
      <c r="G11" s="213"/>
    </row>
    <row r="12" spans="2:12" s="17" customFormat="1" ht="15" customHeight="1" x14ac:dyDescent="0.2">
      <c r="E12" s="96" t="s">
        <v>521</v>
      </c>
      <c r="F12" s="245" t="s">
        <v>544</v>
      </c>
      <c r="G12" s="246"/>
    </row>
    <row r="13" spans="2:12" s="17" customFormat="1" ht="15" customHeight="1" x14ac:dyDescent="0.2">
      <c r="E13" s="96" t="s">
        <v>522</v>
      </c>
      <c r="F13" s="245" t="s">
        <v>543</v>
      </c>
      <c r="G13" s="246"/>
    </row>
    <row r="14" spans="2:12" s="17" customFormat="1" ht="15" customHeight="1" x14ac:dyDescent="0.2">
      <c r="E14" s="96" t="s">
        <v>523</v>
      </c>
      <c r="F14" s="245" t="s">
        <v>482</v>
      </c>
      <c r="G14" s="246"/>
    </row>
    <row r="15" spans="2:12" s="17" customFormat="1" ht="15" customHeight="1" x14ac:dyDescent="0.2">
      <c r="E15" s="96" t="s">
        <v>524</v>
      </c>
      <c r="F15" s="245" t="s">
        <v>482</v>
      </c>
      <c r="G15" s="246"/>
    </row>
    <row r="16" spans="2:12" s="17" customFormat="1" ht="18" customHeight="1" x14ac:dyDescent="0.2"/>
    <row r="17" spans="1:12" s="17" customFormat="1" ht="17" customHeight="1" x14ac:dyDescent="0.2">
      <c r="B17" s="89" t="s">
        <v>525</v>
      </c>
      <c r="C17" s="90"/>
      <c r="E17" s="91" t="s">
        <v>526</v>
      </c>
      <c r="F17" s="136" t="s">
        <v>554</v>
      </c>
      <c r="G17" s="136" t="s">
        <v>555</v>
      </c>
    </row>
    <row r="18" spans="1:12" s="17" customFormat="1" ht="15" customHeight="1" x14ac:dyDescent="0.2">
      <c r="E18" s="96" t="s">
        <v>527</v>
      </c>
      <c r="F18" s="138">
        <v>12</v>
      </c>
      <c r="G18" s="138">
        <v>6</v>
      </c>
    </row>
    <row r="19" spans="1:12" s="17" customFormat="1" ht="15" customHeight="1" x14ac:dyDescent="0.2">
      <c r="E19" s="96" t="s">
        <v>528</v>
      </c>
      <c r="F19" s="137">
        <v>78</v>
      </c>
      <c r="G19" s="137">
        <v>32</v>
      </c>
    </row>
    <row r="20" spans="1:12" s="17" customFormat="1" ht="15" customHeight="1" x14ac:dyDescent="0.2">
      <c r="E20" s="96" t="s">
        <v>529</v>
      </c>
      <c r="F20" s="137">
        <v>32</v>
      </c>
      <c r="G20" s="137">
        <v>32</v>
      </c>
    </row>
    <row r="21" spans="1:12" s="17" customFormat="1" ht="15" customHeight="1" x14ac:dyDescent="0.2">
      <c r="E21" s="96" t="str">
        <f>IF('[3]Deploy Parameters'!J21 = "Yes", "ESA Disk 1", "Caching Disk")</f>
        <v>Caching Disk</v>
      </c>
      <c r="F21" s="137">
        <v>500</v>
      </c>
      <c r="G21" s="137">
        <v>500</v>
      </c>
    </row>
    <row r="22" spans="1:12" ht="14" customHeight="1" x14ac:dyDescent="0.2">
      <c r="A22" s="17"/>
      <c r="B22" s="17"/>
      <c r="C22" s="17"/>
      <c r="E22" s="96" t="str">
        <f>IF('[3]Deploy Parameters'!J21="Yes","ESA Disk 2","CapacityDisk")</f>
        <v>CapacityDisk</v>
      </c>
      <c r="F22" s="137">
        <v>500</v>
      </c>
      <c r="G22" s="137">
        <v>500</v>
      </c>
      <c r="H22" s="88"/>
      <c r="I22" s="88"/>
      <c r="J22" s="88"/>
    </row>
    <row r="23" spans="1:12" x14ac:dyDescent="0.2">
      <c r="E23" s="96" t="s">
        <v>530</v>
      </c>
      <c r="F23" s="102" t="s">
        <v>531</v>
      </c>
      <c r="G23" s="102" t="s">
        <v>531</v>
      </c>
      <c r="H23" s="88"/>
      <c r="I23" s="88"/>
      <c r="J23" s="88"/>
    </row>
    <row r="24" spans="1:12" x14ac:dyDescent="0.2">
      <c r="E24" s="96" t="s">
        <v>535</v>
      </c>
      <c r="F24" s="102" t="s">
        <v>531</v>
      </c>
      <c r="G24" s="102" t="s">
        <v>531</v>
      </c>
      <c r="H24" s="88"/>
      <c r="I24" s="88"/>
      <c r="J24" s="88"/>
    </row>
    <row r="25" spans="1:12" ht="16" thickBot="1" x14ac:dyDescent="0.25">
      <c r="E25" s="96" t="s">
        <v>541</v>
      </c>
      <c r="F25" s="135" t="s">
        <v>542</v>
      </c>
      <c r="G25" s="135" t="s">
        <v>542</v>
      </c>
      <c r="H25" s="88"/>
      <c r="I25" s="88"/>
      <c r="J25" s="88"/>
    </row>
    <row r="26" spans="1:12" ht="16" thickBot="1" x14ac:dyDescent="0.25">
      <c r="H26" s="88"/>
      <c r="I26" s="65" t="s">
        <v>35</v>
      </c>
      <c r="J26" s="66" t="s">
        <v>36</v>
      </c>
      <c r="K26" s="67" t="s">
        <v>53</v>
      </c>
      <c r="L26" s="35"/>
    </row>
    <row r="27" spans="1:12" ht="18" x14ac:dyDescent="0.2">
      <c r="B27" s="89" t="s">
        <v>545</v>
      </c>
      <c r="C27" s="89"/>
      <c r="E27" s="239" t="s">
        <v>38</v>
      </c>
      <c r="F27" s="240"/>
      <c r="G27" s="139"/>
      <c r="H27" s="88"/>
      <c r="I27" s="45" t="s">
        <v>38</v>
      </c>
      <c r="J27" s="46" t="s">
        <v>39</v>
      </c>
      <c r="K27" s="46"/>
      <c r="L27" s="146" t="s">
        <v>40</v>
      </c>
    </row>
    <row r="28" spans="1:12" s="85" customFormat="1" ht="13" thickBot="1" x14ac:dyDescent="0.2">
      <c r="E28" s="91" t="s">
        <v>75</v>
      </c>
      <c r="F28" s="237" t="s">
        <v>34</v>
      </c>
      <c r="G28" s="238"/>
      <c r="H28" s="88"/>
      <c r="I28" s="68" t="s">
        <v>42</v>
      </c>
      <c r="J28" s="241" t="s">
        <v>43</v>
      </c>
      <c r="K28" s="242"/>
      <c r="L28" s="140" t="s">
        <v>373</v>
      </c>
    </row>
    <row r="29" spans="1:12" s="85" customFormat="1" ht="12" x14ac:dyDescent="0.15">
      <c r="E29" s="141" t="s">
        <v>556</v>
      </c>
      <c r="F29" s="243" t="s">
        <v>546</v>
      </c>
      <c r="G29" s="244"/>
      <c r="H29" s="88"/>
      <c r="I29" s="68" t="str">
        <f>IF(AND(E29&lt;&gt;"n/a",E29&lt;&gt;""),E29,E30)</f>
        <v>vcf42-esx05</v>
      </c>
      <c r="J29" s="226"/>
      <c r="K29" s="227"/>
      <c r="L29" s="142"/>
    </row>
    <row r="30" spans="1:12" s="85" customFormat="1" ht="12" x14ac:dyDescent="0.15">
      <c r="E30" s="143" t="s">
        <v>557</v>
      </c>
      <c r="F30" s="230" t="s">
        <v>547</v>
      </c>
      <c r="G30" s="231"/>
      <c r="H30" s="88"/>
      <c r="I30" s="68" t="str">
        <f>IF(AND(E30&lt;&gt;"n/a",E30&lt;&gt;""),E30,E31)</f>
        <v>vcf42-esx06</v>
      </c>
      <c r="J30" s="226"/>
      <c r="K30" s="227"/>
      <c r="L30" s="142"/>
    </row>
    <row r="31" spans="1:12" s="85" customFormat="1" ht="12" x14ac:dyDescent="0.15">
      <c r="E31" s="143" t="s">
        <v>558</v>
      </c>
      <c r="F31" s="230" t="s">
        <v>548</v>
      </c>
      <c r="G31" s="231"/>
      <c r="H31" s="88"/>
      <c r="I31" s="68" t="str">
        <f t="shared" ref="I31:I36" si="0">IF(AND(E31&lt;&gt;"n/a",E31&lt;&gt;""),E31,E32)</f>
        <v>vcf42-esx07</v>
      </c>
      <c r="J31" s="226"/>
      <c r="K31" s="227"/>
      <c r="L31" s="144"/>
    </row>
    <row r="32" spans="1:12" s="85" customFormat="1" ht="12" x14ac:dyDescent="0.15">
      <c r="E32" s="143" t="s">
        <v>559</v>
      </c>
      <c r="F32" s="224" t="s">
        <v>549</v>
      </c>
      <c r="G32" s="225"/>
      <c r="H32" s="88"/>
      <c r="I32" s="68" t="str">
        <f t="shared" si="0"/>
        <v>vcf42-esx08</v>
      </c>
      <c r="J32" s="226"/>
      <c r="K32" s="227"/>
      <c r="L32" s="144"/>
    </row>
    <row r="33" spans="5:12" s="85" customFormat="1" ht="12" x14ac:dyDescent="0.15">
      <c r="E33" s="143" t="s">
        <v>560</v>
      </c>
      <c r="F33" s="224" t="s">
        <v>550</v>
      </c>
      <c r="G33" s="225"/>
      <c r="H33" s="88"/>
      <c r="I33" s="68" t="str">
        <f t="shared" si="0"/>
        <v>vcf42-esx09</v>
      </c>
      <c r="J33" s="226"/>
      <c r="K33" s="227"/>
      <c r="L33" s="144"/>
    </row>
    <row r="34" spans="5:12" s="85" customFormat="1" ht="12" x14ac:dyDescent="0.15">
      <c r="E34" s="143" t="s">
        <v>561</v>
      </c>
      <c r="F34" s="224" t="s">
        <v>551</v>
      </c>
      <c r="G34" s="225"/>
      <c r="H34" s="88"/>
      <c r="I34" s="68" t="str">
        <f t="shared" si="0"/>
        <v>vcf42-esx10</v>
      </c>
      <c r="J34" s="226"/>
      <c r="K34" s="227"/>
      <c r="L34" s="144"/>
    </row>
    <row r="35" spans="5:12" s="85" customFormat="1" ht="12" x14ac:dyDescent="0.15">
      <c r="E35" s="143" t="s">
        <v>562</v>
      </c>
      <c r="F35" s="224" t="s">
        <v>552</v>
      </c>
      <c r="G35" s="225"/>
      <c r="H35" s="88"/>
      <c r="I35" s="68" t="str">
        <f t="shared" si="0"/>
        <v>vcf42-esx11</v>
      </c>
      <c r="J35" s="226"/>
      <c r="K35" s="227"/>
      <c r="L35" s="144"/>
    </row>
    <row r="36" spans="5:12" s="85" customFormat="1" ht="13" thickBot="1" x14ac:dyDescent="0.2">
      <c r="E36" s="145" t="s">
        <v>563</v>
      </c>
      <c r="F36" s="228" t="s">
        <v>553</v>
      </c>
      <c r="G36" s="229"/>
      <c r="H36" s="88"/>
      <c r="I36" s="68" t="str">
        <f t="shared" si="0"/>
        <v>vcf42-esx12</v>
      </c>
      <c r="J36" s="226"/>
      <c r="K36" s="227"/>
      <c r="L36" s="144"/>
    </row>
  </sheetData>
  <sheetProtection sheet="1" objects="1" scenarios="1"/>
  <mergeCells count="34">
    <mergeCell ref="F14:G14"/>
    <mergeCell ref="F15:G15"/>
    <mergeCell ref="F4:G4"/>
    <mergeCell ref="F5:G5"/>
    <mergeCell ref="F6:G6"/>
    <mergeCell ref="F7:G7"/>
    <mergeCell ref="F10:G10"/>
    <mergeCell ref="F33:G33"/>
    <mergeCell ref="J33:K33"/>
    <mergeCell ref="F3:G3"/>
    <mergeCell ref="J3:L3"/>
    <mergeCell ref="J4:L4"/>
    <mergeCell ref="J5:L5"/>
    <mergeCell ref="F9:G9"/>
    <mergeCell ref="F28:G28"/>
    <mergeCell ref="E27:F27"/>
    <mergeCell ref="J28:K28"/>
    <mergeCell ref="F29:G29"/>
    <mergeCell ref="J29:K29"/>
    <mergeCell ref="F30:G30"/>
    <mergeCell ref="F11:G11"/>
    <mergeCell ref="F12:G12"/>
    <mergeCell ref="F13:G13"/>
    <mergeCell ref="J30:K30"/>
    <mergeCell ref="F31:G31"/>
    <mergeCell ref="J31:K31"/>
    <mergeCell ref="F32:G32"/>
    <mergeCell ref="J32:K32"/>
    <mergeCell ref="F34:G34"/>
    <mergeCell ref="J34:K34"/>
    <mergeCell ref="F35:G35"/>
    <mergeCell ref="J35:K35"/>
    <mergeCell ref="F36:G36"/>
    <mergeCell ref="J36:K36"/>
  </mergeCells>
  <conditionalFormatting sqref="B3">
    <cfRule type="cellIs" dxfId="21" priority="54" operator="equal">
      <formula>"✓"</formula>
    </cfRule>
  </conditionalFormatting>
  <conditionalFormatting sqref="B9 B23:B27 C27">
    <cfRule type="cellIs" dxfId="20" priority="55" operator="equal">
      <formula>"✓"</formula>
    </cfRule>
  </conditionalFormatting>
  <conditionalFormatting sqref="B17">
    <cfRule type="cellIs" dxfId="19" priority="49" operator="equal">
      <formula>"✓"</formula>
    </cfRule>
  </conditionalFormatting>
  <conditionalFormatting sqref="B29:B279">
    <cfRule type="cellIs" dxfId="18" priority="38" operator="equal">
      <formula>"✓"</formula>
    </cfRule>
  </conditionalFormatting>
  <conditionalFormatting sqref="F4:F7">
    <cfRule type="expression" dxfId="17" priority="10" stopIfTrue="1">
      <formula>LEN(TRIM(F4))=0</formula>
    </cfRule>
  </conditionalFormatting>
  <conditionalFormatting sqref="F10:F11">
    <cfRule type="expression" dxfId="16" priority="11" stopIfTrue="1">
      <formula>LEN(TRIM(F10))=0</formula>
    </cfRule>
  </conditionalFormatting>
  <conditionalFormatting sqref="F12:F15">
    <cfRule type="expression" dxfId="15" priority="13">
      <formula>LEN(TRIM(F12))=0</formula>
    </cfRule>
    <cfRule type="containsText" dxfId="14" priority="14" operator="containsText" text="n/a">
      <formula>NOT(ISERROR(SEARCH("n/a",F12)))</formula>
    </cfRule>
  </conditionalFormatting>
  <conditionalFormatting sqref="F13">
    <cfRule type="expression" dxfId="13" priority="9" stopIfTrue="1">
      <formula>LEN(TRIM(F13))=0</formula>
    </cfRule>
  </conditionalFormatting>
  <conditionalFormatting sqref="F18:G24">
    <cfRule type="expression" dxfId="12" priority="3" stopIfTrue="1">
      <formula>LEN(TRIM(F18))=0</formula>
    </cfRule>
  </conditionalFormatting>
  <conditionalFormatting sqref="F25:G25">
    <cfRule type="expression" dxfId="11" priority="1">
      <formula>LEN(TRIM(F25))=0</formula>
    </cfRule>
    <cfRule type="containsText" dxfId="10" priority="2" operator="containsText" text="n/a">
      <formula>NOT(ISERROR(SEARCH("n/a",F25)))</formula>
    </cfRule>
  </conditionalFormatting>
  <conditionalFormatting sqref="I28:J30 J31:J34 L28:L36 I27:L27 I31:I36">
    <cfRule type="expression" dxfId="9" priority="7">
      <formula>$L$10="No"</formula>
    </cfRule>
  </conditionalFormatting>
  <conditionalFormatting sqref="J4:J5">
    <cfRule type="top10" dxfId="8" priority="15" rank="10"/>
  </conditionalFormatting>
  <conditionalFormatting sqref="J28:J34">
    <cfRule type="expression" dxfId="7" priority="6">
      <formula>LEN(TRIM(J28))=0</formula>
    </cfRule>
  </conditionalFormatting>
  <conditionalFormatting sqref="J33:J36">
    <cfRule type="expression" dxfId="6" priority="5">
      <formula>$L$10="No"</formula>
    </cfRule>
  </conditionalFormatting>
  <conditionalFormatting sqref="L28:L36 J33:J36">
    <cfRule type="expression" dxfId="5" priority="4">
      <formula>LEN(TRIM(J28))=0</formula>
    </cfRule>
  </conditionalFormatting>
  <dataValidations count="4">
    <dataValidation type="custom" allowBlank="1" showInputMessage="1" showErrorMessage="1" errorTitle="Invalid IP Address" error="Please enter a valid IP Address" sqref="F12 F25:G25 F14:F15" xr:uid="{F50FBD80-E401-ED4E-8479-AD74832267CB}">
      <formula1>IF(ISNUMBER(VALUE(SUBSTITUTE(F12,".",""))),AND(--LEFT(F12,FIND(".",F12)-1)&lt;256,--MID(SUBSTITUTE(F12,".",REPT(" ",99)),99,99)&lt;256,--MID(SUBSTITUTE(F12,".",REPT(" ",99)),198,99)&lt;256,--RIGHT(SUBSTITUTE(F12,".",REPT(" ",99)),99)&lt;256),F12="n/a")</formula1>
      <formula2>0</formula2>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E29:E36" xr:uid="{52BEB40A-A061-C048-839A-ED9E1F5409E6}">
      <formula1>0</formula1>
      <formula2>0</formula2>
    </dataValidation>
    <dataValidation type="custom" allowBlank="1" showInputMessage="1" showErrorMessage="1" errorTitle="Invalid IP Address" error="Please enter a valid IP Address" sqref="F29 F32:F36" xr:uid="{DCDCA96F-11F9-744E-8E99-543F1D541E15}">
      <formula1>IF(ISNUMBER(VALUE(SUBSTITUTE(F29,".",""))),AND(--LEFT(F29,FIND(".",F29)-1)&lt;256,--MID(SUBSTITUTE(F29,".",REPT(" ",99)),99,99)&lt;256,--MID(SUBSTITUTE(F29,".",REPT(" ",99)),198,99)&lt;256,--RIGHT(SUBSTITUTE(F29,".",REPT(" ",99)),99)&lt;256),F29="n/a")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26" xr:uid="{6E912B17-D655-EB46-AAD6-B02C8FD97A5D}">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5"/>
  <sheetViews>
    <sheetView topLeftCell="A5" zoomScaleNormal="100" workbookViewId="0">
      <selection activeCell="A22" sqref="A22:A23"/>
    </sheetView>
  </sheetViews>
  <sheetFormatPr baseColWidth="10" defaultColWidth="11.5" defaultRowHeight="15" x14ac:dyDescent="0.2"/>
  <cols>
    <col min="1" max="1" width="21.1640625" customWidth="1"/>
    <col min="3" max="3" width="86.33203125" customWidth="1"/>
  </cols>
  <sheetData>
    <row r="1" spans="1:3" x14ac:dyDescent="0.2">
      <c r="A1" s="107" t="s">
        <v>99</v>
      </c>
      <c r="C1" s="107" t="s">
        <v>100</v>
      </c>
    </row>
    <row r="2" spans="1:3" ht="64" x14ac:dyDescent="0.2">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x14ac:dyDescent="0.2">
      <c r="A3" t="s">
        <v>101</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x14ac:dyDescent="0.2">
      <c r="A4" t="s">
        <v>102</v>
      </c>
      <c r="C4" s="108" t="s">
        <v>103</v>
      </c>
    </row>
    <row r="5" spans="1:3" ht="112" x14ac:dyDescent="0.2">
      <c r="A5" t="s">
        <v>104</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x14ac:dyDescent="0.2">
      <c r="A6" t="s">
        <v>105</v>
      </c>
      <c r="C6" s="108"/>
    </row>
    <row r="7" spans="1:3" x14ac:dyDescent="0.2">
      <c r="A7" t="s">
        <v>106</v>
      </c>
    </row>
    <row r="8" spans="1:3" x14ac:dyDescent="0.2">
      <c r="A8" t="s">
        <v>107</v>
      </c>
    </row>
    <row r="9" spans="1:3" x14ac:dyDescent="0.2">
      <c r="A9" t="s">
        <v>108</v>
      </c>
    </row>
    <row r="10" spans="1:3" x14ac:dyDescent="0.2">
      <c r="A10" t="s">
        <v>109</v>
      </c>
    </row>
    <row r="11" spans="1:3" x14ac:dyDescent="0.2">
      <c r="A11" t="s">
        <v>110</v>
      </c>
    </row>
    <row r="12" spans="1:3" x14ac:dyDescent="0.2">
      <c r="A12" t="s">
        <v>111</v>
      </c>
    </row>
    <row r="13" spans="1:3" x14ac:dyDescent="0.2">
      <c r="A13" t="s">
        <v>112</v>
      </c>
    </row>
    <row r="14" spans="1:3" x14ac:dyDescent="0.2">
      <c r="A14" t="s">
        <v>381</v>
      </c>
    </row>
    <row r="15" spans="1:3" x14ac:dyDescent="0.2">
      <c r="A15" t="s">
        <v>113</v>
      </c>
    </row>
    <row r="16" spans="1:3" x14ac:dyDescent="0.2">
      <c r="A16" t="s">
        <v>114</v>
      </c>
    </row>
    <row r="17" spans="1:1" x14ac:dyDescent="0.2">
      <c r="A17" t="s">
        <v>115</v>
      </c>
    </row>
    <row r="18" spans="1:1" x14ac:dyDescent="0.2">
      <c r="A18" t="s">
        <v>116</v>
      </c>
    </row>
    <row r="19" spans="1:1" x14ac:dyDescent="0.2">
      <c r="A19" t="s">
        <v>117</v>
      </c>
    </row>
    <row r="20" spans="1:1" x14ac:dyDescent="0.2">
      <c r="A20" t="s">
        <v>118</v>
      </c>
    </row>
    <row r="21" spans="1:1" x14ac:dyDescent="0.2">
      <c r="A21" t="s">
        <v>119</v>
      </c>
    </row>
    <row r="22" spans="1:1" x14ac:dyDescent="0.2">
      <c r="A22" t="s">
        <v>120</v>
      </c>
    </row>
    <row r="23" spans="1:1" x14ac:dyDescent="0.2">
      <c r="A23" t="s">
        <v>121</v>
      </c>
    </row>
    <row r="24" spans="1:1" x14ac:dyDescent="0.2">
      <c r="A24" t="s">
        <v>382</v>
      </c>
    </row>
    <row r="25" spans="1:1" x14ac:dyDescent="0.2">
      <c r="A25" t="s">
        <v>383</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MJ187"/>
  <sheetViews>
    <sheetView topLeftCell="A151" zoomScale="140" zoomScaleNormal="140" workbookViewId="0">
      <selection activeCell="A155" sqref="A155"/>
    </sheetView>
  </sheetViews>
  <sheetFormatPr baseColWidth="10" defaultColWidth="8.83203125" defaultRowHeight="15" x14ac:dyDescent="0.2"/>
  <cols>
    <col min="1" max="1" width="120.83203125" style="109" customWidth="1"/>
    <col min="2" max="2" width="78.83203125" style="109" customWidth="1"/>
    <col min="3" max="1024" width="8.83203125" style="109"/>
  </cols>
  <sheetData>
    <row r="1" spans="1:2" x14ac:dyDescent="0.2">
      <c r="A1" s="109" t="s">
        <v>122</v>
      </c>
    </row>
    <row r="2" spans="1:2" x14ac:dyDescent="0.2">
      <c r="A2" s="110" t="str">
        <f>"workflow-type=VCF"</f>
        <v>workflow-type=VCF</v>
      </c>
      <c r="B2" s="109" t="s">
        <v>432</v>
      </c>
    </row>
    <row r="3" spans="1:2" x14ac:dyDescent="0.2">
      <c r="A3" s="110" t="str">
        <f>(IF('Deploy Parameters'!K8="Yes","CeipEnabled=true","CeipEnabled=false"))</f>
        <v>CeipEnabled=false</v>
      </c>
      <c r="B3" s="109" t="s">
        <v>123</v>
      </c>
    </row>
    <row r="4" spans="1:2" x14ac:dyDescent="0.2">
      <c r="A4" s="110" t="str">
        <f>(IF('Deploy Parameters'!K9="Yes","FipsEnabled=true","FipsEnabled=false"))</f>
        <v>FipsEnabled=false</v>
      </c>
      <c r="B4" s="109" t="s">
        <v>124</v>
      </c>
    </row>
    <row r="5" spans="1:2" x14ac:dyDescent="0.2">
      <c r="A5" s="110" t="str">
        <f>"workflowVersion.vcf-ems="&amp;RIGHT(Introduction!F3,5)</f>
        <v>workflowVersion.vcf-ems=5.2.0</v>
      </c>
      <c r="B5" s="109" t="s">
        <v>125</v>
      </c>
    </row>
    <row r="6" spans="1:2" x14ac:dyDescent="0.2">
      <c r="A6" s="110" t="str">
        <f>(IF('Deploy Parameters'!F11="Yes","DeployWithoutLicenseKeys=false",IF('Deploy Parameters'!F11="No","DeployWithoutLicenseKeys=true","")))</f>
        <v>DeployWithoutLicenseKeys=true</v>
      </c>
      <c r="B6" s="109" t="s">
        <v>466</v>
      </c>
    </row>
    <row r="8" spans="1:2" s="109" customFormat="1" x14ac:dyDescent="0.2">
      <c r="A8" s="109" t="s">
        <v>126</v>
      </c>
    </row>
    <row r="9" spans="1:2" s="109" customFormat="1" x14ac:dyDescent="0.2">
      <c r="A9" s="109" t="s">
        <v>127</v>
      </c>
    </row>
    <row r="10" spans="1:2" x14ac:dyDescent="0.2">
      <c r="A10" s="110" t="str">
        <f>IF('Deploy Parameters'!F8="n/a","ntp-server@address=","ntp-server@address="&amp;'Deploy Parameters'!F8)</f>
        <v>ntp-server@address=192.168.0.1</v>
      </c>
      <c r="B10" s="109" t="s">
        <v>128</v>
      </c>
    </row>
    <row r="11" spans="1:2" x14ac:dyDescent="0.2">
      <c r="A11" s="110" t="str">
        <f>IF('Deploy Parameters'!F9="n/a","remote-site-ntp-server@address=","remote-site-ntp-server@address="&amp;'Deploy Parameters'!F9)</f>
        <v>remote-site-ntp-server@address=</v>
      </c>
      <c r="B11" s="109" t="s">
        <v>128</v>
      </c>
    </row>
    <row r="12" spans="1:2" x14ac:dyDescent="0.2">
      <c r="A12" s="109" t="s">
        <v>129</v>
      </c>
    </row>
    <row r="13" spans="1:2" x14ac:dyDescent="0.2">
      <c r="A13" s="110" t="str">
        <f>IF('Deploy Parameters'!J7="child","root-dns-records@zoneName="&amp;'Deploy Parameters'!#REF!,"root-dns-records@zoneName="&amp;'Deploy Parameters'!J6)</f>
        <v>root-dns-records@zoneName=vcf.lab.local</v>
      </c>
      <c r="B13" s="109" t="s">
        <v>130</v>
      </c>
    </row>
    <row r="14" spans="1:2" x14ac:dyDescent="0.2">
      <c r="A14" s="110" t="str">
        <f>"managementNetwork.primaryDns="&amp;'Deploy Parameters'!F6</f>
        <v>managementNetwork.primaryDns=192.168.0.250</v>
      </c>
      <c r="B14" s="109" t="s">
        <v>131</v>
      </c>
    </row>
    <row r="15" spans="1:2" x14ac:dyDescent="0.2">
      <c r="A15" s="110" t="str">
        <f>IF('Deploy Parameters'!J6="n/a","local-dns-records@zoneName="&amp;'Deploy Parameters'!J6,"local-dns-records@zoneName="&amp;'Deploy Parameters'!J6)</f>
        <v>local-dns-records@zoneName=vcf.lab.local</v>
      </c>
      <c r="B15" s="109" t="s">
        <v>132</v>
      </c>
    </row>
    <row r="16" spans="1:2" x14ac:dyDescent="0.2">
      <c r="A16" s="110" t="str">
        <f>IF('Deploy Parameters'!F7="n/a","managementNetwork.secondaryDns=","managementNetwork.secondaryDns="&amp;'Deploy Parameters'!F7)</f>
        <v>managementNetwork.secondaryDns=</v>
      </c>
      <c r="B16" s="109" t="s">
        <v>133</v>
      </c>
    </row>
    <row r="17" spans="1:2" x14ac:dyDescent="0.2">
      <c r="A17" s="111"/>
    </row>
    <row r="18" spans="1:2" x14ac:dyDescent="0.2">
      <c r="A18" s="109" t="s">
        <v>134</v>
      </c>
    </row>
    <row r="19" spans="1:2" s="109" customFormat="1" x14ac:dyDescent="0.2">
      <c r="A19" s="110" t="str">
        <f>"sddc-manager-root-credentials="&amp;Credentials!C17</f>
        <v>sddc-manager-root-credentials=Pata2Pata1Pata!</v>
      </c>
      <c r="B19" s="109" t="s">
        <v>135</v>
      </c>
    </row>
    <row r="20" spans="1:2" x14ac:dyDescent="0.2">
      <c r="A20" s="110" t="str">
        <f>"sddc-manager-superuser-credentials="&amp;Credentials!C18</f>
        <v>sddc-manager-superuser-credentials=Pata2Pata1Pata!</v>
      </c>
      <c r="B20" s="109" t="s">
        <v>136</v>
      </c>
    </row>
    <row r="21" spans="1:2" x14ac:dyDescent="0.2">
      <c r="A21" s="110" t="str">
        <f>"sddc-manager-localUser-credentials="&amp;Credentials!C19</f>
        <v>sddc-manager-localUser-credentials=Pata2Pata1Pata!</v>
      </c>
      <c r="B21" s="109" t="s">
        <v>137</v>
      </c>
    </row>
    <row r="22" spans="1:2" x14ac:dyDescent="0.2">
      <c r="A22" s="110" t="str">
        <f>IF('Deploy Parameters'!F46&lt;&gt;"n/a","sddcManagerIp.Address="&amp;'Deploy Parameters'!F46,"sddcManagerIp.Address=")</f>
        <v>sddcManagerIp.Address=192.168.10.203</v>
      </c>
      <c r="B22" s="109" t="s">
        <v>138</v>
      </c>
    </row>
    <row r="23" spans="1:2" x14ac:dyDescent="0.2">
      <c r="A23" s="110" t="str">
        <f>"sddcManager-deployment-vmname="&amp;'Deploy Parameters'!F45</f>
        <v>sddcManager-deployment-vmname=sfo-vcf01</v>
      </c>
      <c r="B23" s="109" t="s">
        <v>139</v>
      </c>
    </row>
    <row r="24" spans="1:2" x14ac:dyDescent="0.2">
      <c r="A24" s="110" t="str">
        <f>IF('Deploy Parameters'!F47&lt;&gt;"n/a","sddcManager-HostPoolName="&amp;'Deploy Parameters'!F47,"sddcManager-HostPoolName=")</f>
        <v>sddcManager-HostPoolName=networkpool-001</v>
      </c>
      <c r="B24" s="109" t="s">
        <v>140</v>
      </c>
    </row>
    <row r="25" spans="1:2" x14ac:dyDescent="0.2">
      <c r="A25" s="110" t="str">
        <f>IF('Deploy Parameters'!F49="n/a","sddcManager-mgmt-domainName=","sddcManager-mgmt-domainName="&amp;'Deploy Parameters'!F49)</f>
        <v>sddcManager-mgmt-domainName=sfo-m01</v>
      </c>
    </row>
    <row r="27" spans="1:2" x14ac:dyDescent="0.2">
      <c r="A27" s="109" t="s">
        <v>141</v>
      </c>
    </row>
    <row r="28" spans="1:2" x14ac:dyDescent="0.2">
      <c r="A28" s="110" t="str">
        <f>IF('Deploy Parameters'!F14="n/a","mgmt-vcenter-6-license@key=","mgmt-vcenter-6-license@key="&amp;'Deploy Parameters'!F14)</f>
        <v>mgmt-vcenter-6-license@key=V50P1-LD116-K8XN1-LH88M-C1929</v>
      </c>
      <c r="B28" s="109" t="s">
        <v>142</v>
      </c>
    </row>
    <row r="29" spans="1:2" x14ac:dyDescent="0.2">
      <c r="A29" s="110" t="str">
        <f>"vcenter-root-credentials@password="&amp;Credentials!C11</f>
        <v>vcenter-root-credentials@password=Pata2Pata1Pata!</v>
      </c>
      <c r="B29" s="109" t="s">
        <v>143</v>
      </c>
    </row>
    <row r="30" spans="1:2" x14ac:dyDescent="0.2">
      <c r="A30" s="110" t="str">
        <f>IF('Deploy Parameters'!G18="n/a","vcenterManagementIp.address=","vcenterManagementIp.address="&amp;'Deploy Parameters'!G18)</f>
        <v>vcenterManagementIp.address=192.168.10.202</v>
      </c>
      <c r="B30" s="109" t="s">
        <v>144</v>
      </c>
    </row>
    <row r="31" spans="1:2" x14ac:dyDescent="0.2">
      <c r="A31" s="110" t="str">
        <f>IF('Deploy Parameters'!F18&lt;&gt;"n/a","vcenter-mgmt-deployment-vmname="&amp;'Deploy Parameters'!F18,"vcenter-mgmt-deployment-vmname=")</f>
        <v>vcenter-mgmt-deployment-vmname=sfo-m01-vc01</v>
      </c>
      <c r="B31" s="109" t="s">
        <v>145</v>
      </c>
    </row>
    <row r="32" spans="1:2" x14ac:dyDescent="0.2">
      <c r="A32" s="112" t="str">
        <f>"vcenter-mgmt-deployment@deploymentModel="&amp;'Deploy Parameters'!F19</f>
        <v>vcenter-mgmt-deployment@deploymentModel=small</v>
      </c>
      <c r="B32" s="109" t="s">
        <v>146</v>
      </c>
    </row>
    <row r="33" spans="1:2" x14ac:dyDescent="0.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x14ac:dyDescent="0.2">
      <c r="A34" s="109" t="s">
        <v>147</v>
      </c>
    </row>
    <row r="35" spans="1:2" x14ac:dyDescent="0.2">
      <c r="A35" s="110" t="str">
        <f>"vcenter-admin-credentials@password="&amp;Credentials!C10</f>
        <v>vcenter-admin-credentials@password=Pata2Pata1Pata!</v>
      </c>
      <c r="B35" s="109" t="s">
        <v>148</v>
      </c>
    </row>
    <row r="36" spans="1:2" x14ac:dyDescent="0.2">
      <c r="A36" s="111"/>
    </row>
    <row r="37" spans="1:2" x14ac:dyDescent="0.2">
      <c r="A37" s="109" t="s">
        <v>149</v>
      </c>
    </row>
    <row r="38" spans="1:2" x14ac:dyDescent="0.2">
      <c r="A38" s="110" t="str">
        <f>IF('Deploy Parameters'!F13="n/a","vsan-license@key=","vsan-license@key="&amp;'Deploy Parameters'!F13)</f>
        <v>vsan-license@key=CM4YL-JD046-K8TN0-LC18K-0J327</v>
      </c>
      <c r="B38" s="109" t="s">
        <v>150</v>
      </c>
    </row>
    <row r="39" spans="1:2" x14ac:dyDescent="0.2">
      <c r="A39" s="112" t="str">
        <f>IF('Deploy Parameters'!J19="n/a","management-vsan-datastore-name@value=","management-vsan-datastore-name@value="&amp;'Deploy Parameters'!J19)</f>
        <v>management-vsan-datastore-name@value=sfo-m01-cluster-001-vsan</v>
      </c>
      <c r="B39" s="109" t="s">
        <v>151</v>
      </c>
    </row>
    <row r="40" spans="1:2" x14ac:dyDescent="0.2">
      <c r="A40" s="113" t="str">
        <f>IF(AND('Deploy Parameters'!J20="Yes",'Deploy Parameters'!J21="No"),"enableVsanDeduplication=true","enableVsanDeduplication=false")</f>
        <v>enableVsanDeduplication=false</v>
      </c>
      <c r="B40" s="109" t="s">
        <v>152</v>
      </c>
    </row>
    <row r="41" spans="1:2" x14ac:dyDescent="0.2">
      <c r="A41" s="113" t="str">
        <f>IF(AND('Deploy Parameters'!J21="Yes",'Deploy Parameters'!F25="Yes"),"enable-vsan-esa=true","enable-vsan-esa=false")</f>
        <v>enable-vsan-esa=true</v>
      </c>
      <c r="B41" s="109" t="s">
        <v>389</v>
      </c>
    </row>
    <row r="42" spans="1:2" x14ac:dyDescent="0.2">
      <c r="A42" s="113" t="str">
        <f>IF(AND('Deploy Parameters'!J21="Yes",'Deploy Parameters'!J22&lt;&gt;"n/a"),"hcl-file-path="&amp;'Deploy Parameters'!J22,"hcl-file-path=")</f>
        <v>hcl-file-path=/home/admin/nested-esxi-vsan-esa-hcl.json</v>
      </c>
      <c r="B42" s="109" t="s">
        <v>390</v>
      </c>
    </row>
    <row r="43" spans="1:2" x14ac:dyDescent="0.2">
      <c r="A43" s="113" t="str">
        <f>IF(AND('Deploy Parameters'!J26="Yes",'Deploy Parameters'!J27&lt;&gt;"n/a"),"proxy-host="&amp;'Deploy Parameters'!J27,"proxy-host=")</f>
        <v>proxy-host=</v>
      </c>
      <c r="B43" s="109" t="s">
        <v>391</v>
      </c>
    </row>
    <row r="44" spans="1:2" x14ac:dyDescent="0.2">
      <c r="A44" s="113" t="str">
        <f>IF(AND('Deploy Parameters'!J26="Yes",'Deploy Parameters'!J28&lt;&gt;"n/a"),"proxy-port="&amp;'Deploy Parameters'!J28,"proxy-port=")</f>
        <v>proxy-port=</v>
      </c>
      <c r="B44" s="109" t="s">
        <v>392</v>
      </c>
    </row>
    <row r="45" spans="1:2" x14ac:dyDescent="0.2">
      <c r="A45" s="113" t="str">
        <f>IF(AND('Deploy Parameters'!J26="Yes",'Deploy Parameters'!J29&lt;&gt;"n/a"),"proxy-username="&amp;'Deploy Parameters'!J29,"proxy-username=")</f>
        <v>proxy-username=</v>
      </c>
      <c r="B45" s="109" t="s">
        <v>403</v>
      </c>
    </row>
    <row r="46" spans="1:2" x14ac:dyDescent="0.2">
      <c r="A46" s="113" t="str">
        <f>IF(AND('Deploy Parameters'!J26="Yes",'Deploy Parameters'!J30&lt;&gt;"n/a"),"proxy-password="&amp;'Deploy Parameters'!J30,"proxy-password=")</f>
        <v>proxy-password=</v>
      </c>
      <c r="B46" s="109" t="s">
        <v>404</v>
      </c>
    </row>
    <row r="47" spans="1:2" x14ac:dyDescent="0.2">
      <c r="A47" s="113" t="str">
        <f>IF('Deploy Parameters'!J26="Yes","proxy-transfer-protocol="&amp;'Deploy Parameters'!J31,"proxy-transfer-protocol=")</f>
        <v>proxy-transfer-protocol=</v>
      </c>
      <c r="B47" s="109" t="s">
        <v>405</v>
      </c>
    </row>
    <row r="48" spans="1:2" x14ac:dyDescent="0.2">
      <c r="A48" s="113" t="str">
        <f>IF(AND('Deploy Parameters'!J26="Yes",'Deploy Parameters'!J31="HTTPS",'Deploy Parameters'!J32&lt;&gt;"n/a"),"proxy-certificate="&amp;'Deploy Parameters'!L34,"proxy-certificate=")</f>
        <v>proxy-certificate=</v>
      </c>
      <c r="B48" s="109" t="s">
        <v>418</v>
      </c>
    </row>
    <row r="50" spans="1:2" s="109" customFormat="1" x14ac:dyDescent="0.2">
      <c r="A50" s="109" t="s">
        <v>153</v>
      </c>
    </row>
    <row r="51" spans="1:2" s="109" customFormat="1" x14ac:dyDescent="0.2">
      <c r="A51" s="109" t="s">
        <v>154</v>
      </c>
    </row>
    <row r="52" spans="1:2" x14ac:dyDescent="0.2">
      <c r="A52" s="110" t="str">
        <f>"cloud-subscription-license@key="</f>
        <v>cloud-subscription-license@key=</v>
      </c>
    </row>
    <row r="53" spans="1:2" x14ac:dyDescent="0.2">
      <c r="A53" s="109" t="s">
        <v>155</v>
      </c>
    </row>
    <row r="54" spans="1:2" x14ac:dyDescent="0.2">
      <c r="A54" s="110" t="str">
        <f>IF('Deploy Parameters'!F12="n/a","vcloud-suite-license@key=","vcloud-suite-license@key="&amp;'Deploy Parameters'!F12)</f>
        <v>vcloud-suite-license@key=ZJ6LV-ZD2DM-P8RN0-LH1K4-2EV39</v>
      </c>
      <c r="B54" s="109" t="s">
        <v>156</v>
      </c>
    </row>
    <row r="55" spans="1:2" x14ac:dyDescent="0.2">
      <c r="A55" s="109" t="s">
        <v>157</v>
      </c>
    </row>
    <row r="56" spans="1:2" s="109" customFormat="1" x14ac:dyDescent="0.2">
      <c r="A56" s="110" t="str">
        <f>"esxi.username="&amp;Credentials!B8</f>
        <v>esxi.username=root</v>
      </c>
      <c r="B56" s="109" t="s">
        <v>158</v>
      </c>
    </row>
    <row r="57" spans="1:2" s="109" customFormat="1" x14ac:dyDescent="0.2">
      <c r="A57" s="110" t="str">
        <f>"esxi.password="&amp;Credentials!C8</f>
        <v>esxi.password=Pata2Pata1Pata!</v>
      </c>
      <c r="B57" s="109" t="s">
        <v>159</v>
      </c>
    </row>
    <row r="58" spans="1:2" s="109" customFormat="1" x14ac:dyDescent="0.2">
      <c r="A58" s="109" t="s">
        <v>160</v>
      </c>
    </row>
    <row r="59" spans="1:2" s="109" customFormat="1" x14ac:dyDescent="0.2">
      <c r="A59" s="110" t="str">
        <f>IF('Hosts and Networks'!I7="n/a","esxi.mgmt-1.address=","esxi.mgmt-1.address="&amp;'Hosts and Networks'!I7)</f>
        <v>esxi.mgmt-1.address=192.168.10.100</v>
      </c>
      <c r="B59" s="109" t="s">
        <v>161</v>
      </c>
    </row>
    <row r="60" spans="1:2" x14ac:dyDescent="0.2">
      <c r="A60" s="110" t="str">
        <f>IF('Hosts and Networks'!I6="n/a","esxi.mgmt-1.hostname=","esxi.mgmt-1.hostname="&amp;'Hosts and Networks'!I6)</f>
        <v>esxi.mgmt-1.hostname=vcf42-esx01</v>
      </c>
      <c r="B60" s="109" t="s">
        <v>162</v>
      </c>
    </row>
    <row r="61" spans="1:2" x14ac:dyDescent="0.2">
      <c r="A61" s="110" t="str">
        <f>IF('Hosts and Networks'!J7="n/a","esxi.mgmt-2.address=","esxi.mgmt-2.address="&amp;'Hosts and Networks'!J7)</f>
        <v>esxi.mgmt-2.address=192.168.10.101</v>
      </c>
      <c r="B61" s="109" t="s">
        <v>161</v>
      </c>
    </row>
    <row r="62" spans="1:2" x14ac:dyDescent="0.2">
      <c r="A62" s="110" t="str">
        <f>IF('Hosts and Networks'!J6="n/a","esxi.mgmt-2.hostname=","esxi.mgmt-2.hostname="&amp;'Hosts and Networks'!J6)</f>
        <v>esxi.mgmt-2.hostname=vcf42-esx02</v>
      </c>
      <c r="B62" s="109" t="s">
        <v>162</v>
      </c>
    </row>
    <row r="63" spans="1:2" x14ac:dyDescent="0.2">
      <c r="A63" s="110" t="str">
        <f>IF('Hosts and Networks'!K7="n/a","esxi.mgmt-3.address=","esxi.mgmt-3.address="&amp;'Hosts and Networks'!K7)</f>
        <v>esxi.mgmt-3.address=192.168.10.102</v>
      </c>
      <c r="B63" s="109" t="s">
        <v>161</v>
      </c>
    </row>
    <row r="64" spans="1:2" x14ac:dyDescent="0.2">
      <c r="A64" s="110" t="str">
        <f>IF('Hosts and Networks'!K6="n/a","esxi.mgmt-3.hostname=","esxi.mgmt-3.hostname="&amp;'Hosts and Networks'!K6)</f>
        <v>esxi.mgmt-3.hostname=vcf42-esx03</v>
      </c>
      <c r="B64" s="109" t="s">
        <v>162</v>
      </c>
    </row>
    <row r="65" spans="1:2" x14ac:dyDescent="0.2">
      <c r="A65" s="110" t="str">
        <f>IF('Hosts and Networks'!L7="n/a","esxi.mgmt-4.address=","esxi.mgmt-4.address="&amp;'Hosts and Networks'!L7)</f>
        <v>esxi.mgmt-4.address=192.168.10.103</v>
      </c>
      <c r="B65" s="109" t="s">
        <v>161</v>
      </c>
    </row>
    <row r="66" spans="1:2" x14ac:dyDescent="0.2">
      <c r="A66" s="110" t="str">
        <f>IF('Hosts and Networks'!L6="n/a","esxi.mgmt-4.hostname=","esxi.mgmt-4.hostname="&amp;'Hosts and Networks'!L6)</f>
        <v>esxi.mgmt-4.hostname=vcf42-esx04</v>
      </c>
      <c r="B66" s="109" t="s">
        <v>162</v>
      </c>
    </row>
    <row r="67" spans="1:2" x14ac:dyDescent="0.2">
      <c r="A67" s="109" t="s">
        <v>163</v>
      </c>
    </row>
    <row r="68" spans="1:2" x14ac:dyDescent="0.2">
      <c r="A68" s="110" t="str">
        <f>IF('Hosts and Networks'!K12="Yes","skipThumbprintValidation=false",IF('Hosts and Networks'!K12="No","skipThumbprintValidation=true"))</f>
        <v>skipThumbprintValidation=true</v>
      </c>
      <c r="B68" s="109" t="s">
        <v>164</v>
      </c>
    </row>
    <row r="69" spans="1:2" x14ac:dyDescent="0.2">
      <c r="A69" s="109" t="s">
        <v>165</v>
      </c>
    </row>
    <row r="70" spans="1:2" x14ac:dyDescent="0.2">
      <c r="A70" s="110" t="str">
        <f>IF('Hosts and Networks'!J15="n/a","esxi.mgmt-1.sshThumbprint=","esxi.mgmt-1.sshThumbprint="&amp;'Hosts and Networks'!J15)</f>
        <v>esxi.mgmt-1.sshThumbprint=</v>
      </c>
    </row>
    <row r="71" spans="1:2" x14ac:dyDescent="0.2">
      <c r="A71" s="110" t="str">
        <f>IF('Hosts and Networks'!J16="n/a","esxi.mgmt-2.sshThumbprint=","esxi.mgmt-2.sshThumbprint="&amp;'Hosts and Networks'!J16)</f>
        <v>esxi.mgmt-2.sshThumbprint=</v>
      </c>
    </row>
    <row r="72" spans="1:2" x14ac:dyDescent="0.2">
      <c r="A72" s="110" t="str">
        <f>IF('Hosts and Networks'!J17="n/a","esxi.mgmt-3.sshThumbprint=","esxi.mgmt-3.sshThumbprint="&amp;'Hosts and Networks'!J17)</f>
        <v>esxi.mgmt-3.sshThumbprint=</v>
      </c>
    </row>
    <row r="73" spans="1:2" x14ac:dyDescent="0.2">
      <c r="A73" s="110" t="str">
        <f>IF('Hosts and Networks'!J18="n/a","esxi.mgmt-4.sshThumbprint=","esxi.mgmt-4.sshThumbprint="&amp;'Hosts and Networks'!J18)</f>
        <v>esxi.mgmt-4.sshThumbprint=</v>
      </c>
    </row>
    <row r="74" spans="1:2" x14ac:dyDescent="0.2">
      <c r="A74" s="109" t="s">
        <v>166</v>
      </c>
    </row>
    <row r="75" spans="1:2" x14ac:dyDescent="0.2">
      <c r="A75" s="110" t="str">
        <f>IF('Hosts and Networks'!L15="n/a","esxi.mgmt-1.sslThumbprint=","esxi.mgmt-1.sslThumbprint="&amp;'Hosts and Networks'!L15)</f>
        <v>esxi.mgmt-1.sslThumbprint=</v>
      </c>
    </row>
    <row r="76" spans="1:2" x14ac:dyDescent="0.2">
      <c r="A76" s="110" t="str">
        <f>IF('Hosts and Networks'!L16="n/a","esxi.mgmt-2.sslThumbprint=","esxi.mgmt-2.sslThumbprint="&amp;'Hosts and Networks'!L16)</f>
        <v>esxi.mgmt-2.sslThumbprint=</v>
      </c>
    </row>
    <row r="77" spans="1:2" x14ac:dyDescent="0.2">
      <c r="A77" s="110" t="str">
        <f>IF('Hosts and Networks'!L17="n/a","esxi.mgmt-3.sslThumbprint=","esxi.mgmt-3.sslThumbprint="&amp;'Hosts and Networks'!L17)</f>
        <v>esxi.mgmt-3.sslThumbprint=</v>
      </c>
    </row>
    <row r="78" spans="1:2" x14ac:dyDescent="0.2">
      <c r="A78" s="110" t="str">
        <f>IF('Hosts and Networks'!L18="n/a","esxi.mgmt-4.sslThumbprint=","esxi.mgmt-4.sslThumbprint="&amp;'Hosts and Networks'!L18)</f>
        <v>esxi.mgmt-4.sslThumbprint=</v>
      </c>
    </row>
    <row r="80" spans="1:2" x14ac:dyDescent="0.2">
      <c r="A80" s="109" t="s">
        <v>167</v>
      </c>
    </row>
    <row r="81" spans="1:2" x14ac:dyDescent="0.2">
      <c r="A81" s="110" t="str">
        <f>IF('Deploy Parameters'!F23="n/a","mgmt-datacenter-name=","mgmt-datacenter-name="&amp;'Deploy Parameters'!F23)</f>
        <v>mgmt-datacenter-name=sfo-m01-datacenter</v>
      </c>
      <c r="B81" s="109" t="s">
        <v>168</v>
      </c>
    </row>
    <row r="82" spans="1:2" x14ac:dyDescent="0.2">
      <c r="A82" s="110" t="str">
        <f>IF('Deploy Parameters'!F24="n/a","management-cluster-name=","management-cluster-name="&amp;'Deploy Parameters'!F24)</f>
        <v>management-cluster-name=sfo-m01-cluster-001</v>
      </c>
      <c r="B82" s="109" t="s">
        <v>169</v>
      </c>
    </row>
    <row r="83" spans="1:2" x14ac:dyDescent="0.2">
      <c r="A83" s="110" t="str">
        <f>IF('Deploy Parameters'!F26="n/a","evc-mode-management-cluster@value=","evc-mode-management-cluster@value="&amp;'Deploy Parameters'!F26)</f>
        <v>evc-mode-management-cluster@value=amd-zen</v>
      </c>
      <c r="B83" s="109" t="s">
        <v>170</v>
      </c>
    </row>
    <row r="84" spans="1:2" x14ac:dyDescent="0.2">
      <c r="A84" s="110" t="str">
        <f>(IF('Deploy Parameters'!F25="Yes","cluster_image_enabled=true","cluster_image_enabled=false"))</f>
        <v>cluster_image_enabled=true</v>
      </c>
      <c r="B84" s="109" t="s">
        <v>376</v>
      </c>
    </row>
    <row r="85" spans="1:2" x14ac:dyDescent="0.2">
      <c r="A85" s="109" t="s">
        <v>171</v>
      </c>
    </row>
    <row r="86" spans="1:2" x14ac:dyDescent="0.2">
      <c r="A86" s="110" t="str">
        <f>IF('Deploy Parameters'!F28="Standard","skipResourcePoolCreation=true","skipResourcePoolCreation=false")</f>
        <v>skipResourcePoolCreation=true</v>
      </c>
    </row>
    <row r="87" spans="1:2" x14ac:dyDescent="0.2">
      <c r="A87" s="112" t="str">
        <f>IF(OR('Deploy Parameters'!F28="Standard",'Deploy Parameters'!F30="n/a"),"vsphere-resource-pools[1]=","vsphere-resource-pools[1]="&amp;'Deploy Parameters'!F30)</f>
        <v>vsphere-resource-pools[1]=</v>
      </c>
      <c r="B87" s="109" t="s">
        <v>172</v>
      </c>
    </row>
    <row r="88" spans="1:2" x14ac:dyDescent="0.2">
      <c r="A88" s="112" t="str">
        <f>IF(OR('Deploy Parameters'!F28="Standard",'Deploy Parameters'!F31="n/a"),"vsphere-resource-pools[2]=","vsphere-resource-pools[2]="&amp;'Deploy Parameters'!F31)</f>
        <v>vsphere-resource-pools[2]=</v>
      </c>
      <c r="B88" s="109" t="s">
        <v>172</v>
      </c>
    </row>
    <row r="89" spans="1:2" x14ac:dyDescent="0.2">
      <c r="A89" s="112" t="str">
        <f>IF(OR('Deploy Parameters'!F28="Standard",'Deploy Parameters'!F32="n/a"),"vsphere-resource-pools[3]=","vsphere-resource-pools[3]="&amp;'Deploy Parameters'!F32)</f>
        <v>vsphere-resource-pools[3]=</v>
      </c>
      <c r="B89" s="109" t="s">
        <v>172</v>
      </c>
    </row>
    <row r="90" spans="1:2" x14ac:dyDescent="0.2">
      <c r="A90"/>
    </row>
    <row r="91" spans="1:2" x14ac:dyDescent="0.2">
      <c r="A91" s="109" t="s">
        <v>173</v>
      </c>
    </row>
    <row r="92" spans="1:2" x14ac:dyDescent="0.2">
      <c r="A92" s="112" t="str">
        <f>IF('Hosts and Networks'!E13="n/a","vds-primary-switchName=","vds-primary-switchName="&amp;'Hosts and Networks'!E13)</f>
        <v>vds-primary-switchName=sfo-m01-cluster-001-vds-001</v>
      </c>
      <c r="B92" s="109" t="s">
        <v>174</v>
      </c>
    </row>
    <row r="93" spans="1:2" x14ac:dyDescent="0.2">
      <c r="A93" s="112" t="str">
        <f>IF('Hosts and Networks'!E14="n/a","vds-primary-vmnics=","vds-primary-vmnics="&amp;'Hosts and Networks'!E14)</f>
        <v>vds-primary-vmnics=vmnic0,vmnic1</v>
      </c>
      <c r="B93" s="109" t="s">
        <v>175</v>
      </c>
    </row>
    <row r="94" spans="1:2" x14ac:dyDescent="0.2">
      <c r="A94" s="112" t="str">
        <f>IF('Hosts and Networks'!E15="n/a","vds-primary-mtu=","vds-primary-mtu="&amp;'Hosts and Networks'!E15)</f>
        <v>vds-primary-mtu=9000</v>
      </c>
      <c r="B94" s="109" t="s">
        <v>176</v>
      </c>
    </row>
    <row r="95" spans="1:2" x14ac:dyDescent="0.2">
      <c r="A95" s="112" t="str">
        <f>IF(OR('Hosts and Networks'!E16="Overlay/VLAN",'Hosts and Networks'!E16="Overlay"),"vds-primary-tz-overlay=true","vds-primary-tz-overlay=false")</f>
        <v>vds-primary-tz-overlay=true</v>
      </c>
    </row>
    <row r="96" spans="1:2" x14ac:dyDescent="0.2">
      <c r="A96" s="112" t="str">
        <f>IF(OR('Hosts and Networks'!E16="Overlay/VLAN",'Hosts and Networks'!E16="VLAN"),"vds-primary-tz-vlan=true","vds-primary-tz-vlan=false")</f>
        <v>vds-primary-tz-vlan=true</v>
      </c>
    </row>
    <row r="97" spans="1:2" x14ac:dyDescent="0.2">
      <c r="A97" s="112" t="str">
        <f>IF('Hosts and Networks'!E18="n/a","vds-secondary-switchName=","vds-secondary-switchName="&amp;'Hosts and Networks'!E18)</f>
        <v>vds-secondary-switchName=</v>
      </c>
      <c r="B97" s="109" t="s">
        <v>174</v>
      </c>
    </row>
    <row r="98" spans="1:2" x14ac:dyDescent="0.2">
      <c r="A98" s="112" t="str">
        <f>IF('Hosts and Networks'!E18="n/a","vds-secondary-vmnics=","vds-secondary-vmnics="&amp;'Hosts and Networks'!E20)</f>
        <v>vds-secondary-vmnics=</v>
      </c>
      <c r="B98" s="109" t="s">
        <v>175</v>
      </c>
    </row>
    <row r="99" spans="1:2" x14ac:dyDescent="0.2">
      <c r="A99" s="112" t="str">
        <f>IF('Hosts and Networks'!E18="n/a","vds-secondary-mtu=","vds-secondary-mtu="&amp;'Hosts and Networks'!E21)</f>
        <v>vds-secondary-mtu=</v>
      </c>
      <c r="B99" s="109" t="s">
        <v>176</v>
      </c>
    </row>
    <row r="100" spans="1:2" x14ac:dyDescent="0.2">
      <c r="A100" s="112" t="str">
        <f>IF('Hosts and Networks'!E23&lt;&gt;"Profile-1",IF(OR('Hosts and Networks'!E19="Overlay/VLAN",'Hosts and Networks'!E19="Overlay"),"vds-secondary-tz-overlay=true","vds-secondary-tz-overlay=false"),"vds-secondary-tz-overlay=false")</f>
        <v>vds-secondary-tz-overlay=false</v>
      </c>
    </row>
    <row r="101" spans="1:2" x14ac:dyDescent="0.2">
      <c r="A101" s="112" t="str">
        <f>IF('Hosts and Networks'!E23&lt;&gt;"Profile-1",IF(OR('Hosts and Networks'!E19="Overlay/VLAN",'Hosts and Networks'!E19="VLAN"),"vds-secondary-tz-vlan=true","vds-secondary-tz-vlan=false"),"vds-secondary-tz-vlan=false")</f>
        <v>vds-secondary-tz-vlan=false</v>
      </c>
    </row>
    <row r="102" spans="1:2" x14ac:dyDescent="0.2">
      <c r="A102" s="110" t="str">
        <f>"vds-profile="&amp;'Hosts and Networks'!E23</f>
        <v>vds-profile=Profile-2</v>
      </c>
    </row>
    <row r="103" spans="1:2" x14ac:dyDescent="0.2">
      <c r="A103"/>
    </row>
    <row r="104" spans="1:2" x14ac:dyDescent="0.2">
      <c r="A104" s="109" t="s">
        <v>177</v>
      </c>
    </row>
    <row r="105" spans="1:2" x14ac:dyDescent="0.2">
      <c r="A105" s="110" t="str">
        <f>"managementNetwork.cidrNotation="&amp;'Hosts and Networks'!E8</f>
        <v>managementNetwork.cidrNotation=192.168.10.0/24</v>
      </c>
      <c r="B105" s="109" t="s">
        <v>178</v>
      </c>
    </row>
    <row r="106" spans="1:2" x14ac:dyDescent="0.2">
      <c r="A106" s="110" t="str">
        <f>IF('Hosts and Networks'!F8="n/a","managementNetwork.gateway=","managementNetwork.gateway="&amp;'Hosts and Networks'!F8)</f>
        <v>managementNetwork.gateway=192.168.10.254</v>
      </c>
      <c r="B106" s="109" t="s">
        <v>179</v>
      </c>
    </row>
    <row r="107" spans="1:2" x14ac:dyDescent="0.2">
      <c r="A107" s="110" t="str">
        <f>"vlan-mgmt-management.vlanId="&amp;'Hosts and Networks'!C8</f>
        <v>vlan-mgmt-management.vlanId=10</v>
      </c>
      <c r="B107" s="109" t="s">
        <v>180</v>
      </c>
    </row>
    <row r="108" spans="1:2" x14ac:dyDescent="0.2">
      <c r="A108" s="110" t="str">
        <f>"vlan-mgmt-management-mtu@mtu="&amp;'Hosts and Networks'!G8</f>
        <v>vlan-mgmt-management-mtu@mtu=9000</v>
      </c>
      <c r="B108" s="109" t="s">
        <v>181</v>
      </c>
    </row>
    <row r="109" spans="1:2" x14ac:dyDescent="0.2">
      <c r="A109" s="110" t="str">
        <f>IF('Hosts and Networks'!D8="n/a","vds-management-initial-configuration@dvPortGroups[1].name=","vds-management-initial-configuration@dvPortGroups[1].name="&amp;'Hosts and Networks'!D8)</f>
        <v>vds-management-initial-configuration@dvPortGroups[1].name=SDDC-DPortGroup-Mgmt</v>
      </c>
      <c r="B109" s="109" t="s">
        <v>182</v>
      </c>
    </row>
    <row r="111" spans="1:2" s="109" customFormat="1" x14ac:dyDescent="0.2">
      <c r="A111" s="109" t="s">
        <v>183</v>
      </c>
    </row>
    <row r="112" spans="1:2" x14ac:dyDescent="0.2">
      <c r="A112" s="110" t="str">
        <f>IF('Hosts and Networks'!E10="n/a","mgmtVsanNetwork.cidrNotation=","mgmtVsanNetwork.cidrNotation="&amp;'Hosts and Networks'!E10)</f>
        <v>mgmtVsanNetwork.cidrNotation=192.168.12.0/24</v>
      </c>
      <c r="B112" s="109" t="s">
        <v>178</v>
      </c>
    </row>
    <row r="113" spans="1:2" x14ac:dyDescent="0.2">
      <c r="A113" s="110" t="str">
        <f>IF('Hosts and Networks'!F10="n/a","mgmtVsanNetwork.gateway=","mgmtVsanNetwork.gateway="&amp;'Hosts and Networks'!F10)</f>
        <v>mgmtVsanNetwork.gateway=192.168.12.254</v>
      </c>
      <c r="B113" s="109" t="s">
        <v>179</v>
      </c>
    </row>
    <row r="114" spans="1:2" x14ac:dyDescent="0.2">
      <c r="A114" s="110" t="str">
        <f>IF('Hosts and Networks'!C10="n/a","vlan-management-vsan.vlanId=","vlan-management-vsan.vlanId="&amp;'Hosts and Networks'!C10)</f>
        <v>vlan-management-vsan.vlanId=12</v>
      </c>
      <c r="B114" s="109" t="s">
        <v>180</v>
      </c>
    </row>
    <row r="115" spans="1:2" x14ac:dyDescent="0.2">
      <c r="A115" s="110" t="str">
        <f>IF('Hosts and Networks'!G10="n/a","vlan-management-vsan-mtu@mtu=","vlan-management-vsan-mtu@mtu="&amp;'Hosts and Networks'!G10)</f>
        <v>vlan-management-vsan-mtu@mtu=9000</v>
      </c>
      <c r="B115" s="109" t="s">
        <v>181</v>
      </c>
    </row>
    <row r="116" spans="1:2" x14ac:dyDescent="0.2">
      <c r="A116" s="110" t="str">
        <f>IF('Hosts and Networks'!D10="n/a","vds-management-initial-configuration@dvPortGroups[2].name=","vds-management-initial-configuration@dvPortGroups[2].name="&amp;'Hosts and Networks'!D10)</f>
        <v>vds-management-initial-configuration@dvPortGroups[2].name=SDDC-DPortGroup-VSAN</v>
      </c>
      <c r="B116" s="109" t="s">
        <v>182</v>
      </c>
    </row>
    <row r="118" spans="1:2" s="109" customFormat="1" x14ac:dyDescent="0.2">
      <c r="A118" s="109" t="s">
        <v>184</v>
      </c>
    </row>
    <row r="119" spans="1:2" x14ac:dyDescent="0.2">
      <c r="A119" s="110" t="str">
        <f>"mgmtVmotionNetwork.cidrNotation="&amp;'Hosts and Networks'!E9</f>
        <v>mgmtVmotionNetwork.cidrNotation=192.168.11.0/24</v>
      </c>
      <c r="B119" s="109" t="s">
        <v>178</v>
      </c>
    </row>
    <row r="120" spans="1:2" x14ac:dyDescent="0.2">
      <c r="A120" s="110" t="str">
        <f>"mgmtVmotionNetwork.gateway="&amp;'Hosts and Networks'!F9</f>
        <v>mgmtVmotionNetwork.gateway=192.168.11.254</v>
      </c>
      <c r="B120" s="109" t="s">
        <v>179</v>
      </c>
    </row>
    <row r="121" spans="1:2" x14ac:dyDescent="0.2">
      <c r="A121" s="110" t="str">
        <f>IF('Hosts and Networks'!C9="n/a","vlan-management-vmotion.vlanId=","vlan-management-vmotion.vlanId="&amp;'Hosts and Networks'!C9)</f>
        <v>vlan-management-vmotion.vlanId=11</v>
      </c>
      <c r="B121" s="109" t="s">
        <v>180</v>
      </c>
    </row>
    <row r="122" spans="1:2" x14ac:dyDescent="0.2">
      <c r="A122" s="110" t="str">
        <f>"vlan-management-vmotion-mtu@mtu="&amp;'Hosts and Networks'!G9</f>
        <v>vlan-management-vmotion-mtu@mtu=9000</v>
      </c>
      <c r="B122" s="109" t="s">
        <v>181</v>
      </c>
    </row>
    <row r="123" spans="1:2" x14ac:dyDescent="0.2">
      <c r="A123" s="110" t="str">
        <f>IF('Hosts and Networks'!D9="n/a","vds-management-initial-configuration@dvPortGroups[3].name=","vds-management-initial-configuration@dvPortGroups[3].name="&amp;'Hosts and Networks'!D9)</f>
        <v>vds-management-initial-configuration@dvPortGroups[3].name=SDDC-DPortGroup-vMotion</v>
      </c>
      <c r="B123" s="109" t="s">
        <v>182</v>
      </c>
    </row>
    <row r="124" spans="1:2" x14ac:dyDescent="0.2">
      <c r="A124"/>
    </row>
    <row r="125" spans="1:2" x14ac:dyDescent="0.2">
      <c r="A125" s="122" t="s">
        <v>394</v>
      </c>
      <c r="B125" s="123"/>
    </row>
    <row r="126" spans="1:2" x14ac:dyDescent="0.2">
      <c r="A126" s="110" t="str">
        <f>"vmManagementNetwork.cidrNotation="&amp;'Hosts and Networks'!E7</f>
        <v>vmManagementNetwork.cidrNotation=192.168.10.0/24</v>
      </c>
      <c r="B126" s="123" t="s">
        <v>178</v>
      </c>
    </row>
    <row r="127" spans="1:2" x14ac:dyDescent="0.2">
      <c r="A127" s="110" t="str">
        <f>"vmManagementNetwork.gateway="&amp;'Hosts and Networks'!F7</f>
        <v>vmManagementNetwork.gateway=192.168.10.254</v>
      </c>
      <c r="B127" s="123" t="s">
        <v>179</v>
      </c>
    </row>
    <row r="128" spans="1:2" x14ac:dyDescent="0.2">
      <c r="A128" s="110" t="str">
        <f>IF('Hosts and Networks'!C7="n/a","vlan-mgmt-vm-management.vlanId=","vlan-mgmt-vm-management.vlanId="&amp;'Hosts and Networks'!C7)</f>
        <v>vlan-mgmt-vm-management.vlanId=10</v>
      </c>
      <c r="B128" s="123" t="s">
        <v>180</v>
      </c>
    </row>
    <row r="129" spans="1:2" x14ac:dyDescent="0.2">
      <c r="A129" s="110" t="str">
        <f>"vlan-mgmt-vm-management-mtu@mtu="&amp;'Hosts and Networks'!G7</f>
        <v>vlan-mgmt-vm-management-mtu@mtu=9000</v>
      </c>
      <c r="B129" s="123" t="s">
        <v>181</v>
      </c>
    </row>
    <row r="130" spans="1:2" x14ac:dyDescent="0.2">
      <c r="A130" s="110" t="str">
        <f>IF('Hosts and Networks'!D7="n/a","vds-management-initial-configuration@dvPortGroups[4].name=","vds-management-initial-configuration@dvPortGroups[4].name="&amp;'Hosts and Networks'!D7)</f>
        <v>vds-management-initial-configuration@dvPortGroups[4].name=SDDC-DPortGroup-VM-Mgmt</v>
      </c>
      <c r="B130" s="123" t="s">
        <v>182</v>
      </c>
    </row>
    <row r="132" spans="1:2" s="109" customFormat="1" x14ac:dyDescent="0.2">
      <c r="A132" s="109" t="s">
        <v>185</v>
      </c>
    </row>
    <row r="133" spans="1:2" x14ac:dyDescent="0.2">
      <c r="A133" s="110" t="str">
        <f>IF('Hosts and Networks'!J8="n/a","inclusion-range-start-vmotion01=","inclusion-range-start-vmotion01="&amp;'Hosts and Networks'!J8)</f>
        <v>inclusion-range-start-vmotion01=192.168.11.10</v>
      </c>
      <c r="B133" s="109" t="s">
        <v>186</v>
      </c>
    </row>
    <row r="134" spans="1:2" x14ac:dyDescent="0.2">
      <c r="A134" s="110" t="str">
        <f>IF('Hosts and Networks'!L8="n/a","inclusion-range-end-vmotion01=","inclusion-range-end-vmotion01="&amp;'Hosts and Networks'!L8)</f>
        <v>inclusion-range-end-vmotion01=192.168.11.100</v>
      </c>
      <c r="B134" s="109" t="s">
        <v>186</v>
      </c>
    </row>
    <row r="135" spans="1:2" x14ac:dyDescent="0.2">
      <c r="A135" s="110" t="str">
        <f>IF('Hosts and Networks'!J9="n/a","inclusion-range-start-vsan01=","inclusion-range-start-vsan01="&amp;'Hosts and Networks'!J9)</f>
        <v>inclusion-range-start-vsan01=192.168.12.10</v>
      </c>
      <c r="B135" s="109" t="s">
        <v>186</v>
      </c>
    </row>
    <row r="136" spans="1:2" x14ac:dyDescent="0.2">
      <c r="A136" s="110" t="str">
        <f>IF('Hosts and Networks'!L9="n/a","inclusion-range-end-vsan01=","inclusion-range-end-vsan01="&amp;'Hosts and Networks'!L9)</f>
        <v>inclusion-range-end-vsan01=192.168.12.100</v>
      </c>
      <c r="B136" s="109" t="s">
        <v>186</v>
      </c>
    </row>
    <row r="138" spans="1:2" x14ac:dyDescent="0.2">
      <c r="A138" s="109" t="s">
        <v>187</v>
      </c>
    </row>
    <row r="139" spans="1:2" x14ac:dyDescent="0.2">
      <c r="A139" s="112" t="str">
        <f>IF('Deploy Parameters'!F49="n/a","mgmt-vm-folder-name@value=","mgmt-vm-folder-name@value="&amp;'Deploy Parameters'!F49&amp;"-fd-mgmt")</f>
        <v>mgmt-vm-folder-name@value=sfo-m01-fd-mgmt</v>
      </c>
      <c r="B139" s="109" t="s">
        <v>188</v>
      </c>
    </row>
    <row r="140" spans="1:2" x14ac:dyDescent="0.2">
      <c r="A140" s="112" t="str">
        <f>IF('Deploy Parameters'!F49="n/a","nsx-vm-folder-name@value=","nsx-vm-folder-name@value="&amp;'Deploy Parameters'!F49&amp;"-fd-nsx")</f>
        <v>nsx-vm-folder-name@value=sfo-m01-fd-nsx</v>
      </c>
      <c r="B140" s="109" t="s">
        <v>189</v>
      </c>
    </row>
    <row r="141" spans="1:2" x14ac:dyDescent="0.2">
      <c r="A141" s="112" t="str">
        <f>IF('Deploy Parameters'!F49="n/a","edge-vm-folder-name@value=","edge-vm-folder-name@value="&amp;'Deploy Parameters'!F49&amp;"-fd-edge")</f>
        <v>edge-vm-folder-name@value=sfo-m01-fd-edge</v>
      </c>
      <c r="B141" s="109" t="s">
        <v>190</v>
      </c>
    </row>
    <row r="142" spans="1:2" x14ac:dyDescent="0.2">
      <c r="A142"/>
    </row>
    <row r="143" spans="1:2" x14ac:dyDescent="0.2">
      <c r="A143" s="109" t="s">
        <v>191</v>
      </c>
    </row>
    <row r="144" spans="1:2" x14ac:dyDescent="0.2">
      <c r="A144" s="109" t="s">
        <v>192</v>
      </c>
    </row>
    <row r="145" spans="1:2" x14ac:dyDescent="0.2">
      <c r="A145" s="110" t="str">
        <f>IF('Deploy Parameters'!F15="n/a","nsxt-license@key=","nsxt-license@key="&amp;'Deploy Parameters'!F15)</f>
        <v>nsxt-license@key=A02XX-JD30Q-28TN9-L3906-C17M2</v>
      </c>
      <c r="B145" s="109" t="s">
        <v>193</v>
      </c>
    </row>
    <row r="146" spans="1:2" x14ac:dyDescent="0.2">
      <c r="A146" s="109" t="s">
        <v>462</v>
      </c>
    </row>
    <row r="147" spans="1:2" x14ac:dyDescent="0.2">
      <c r="A147" s="110" t="str">
        <f>"nsxt-va-deployment-size="&amp;'Deploy Parameters'!F42</f>
        <v>nsxt-va-deployment-size=small</v>
      </c>
      <c r="B147" s="109" t="s">
        <v>194</v>
      </c>
    </row>
    <row r="148" spans="1:2" s="109" customFormat="1" x14ac:dyDescent="0.2">
      <c r="A148" s="109" t="s">
        <v>195</v>
      </c>
    </row>
    <row r="149" spans="1:2" x14ac:dyDescent="0.2">
      <c r="A149" s="110" t="str">
        <f>"nsxt-root-credentials@password="&amp;Credentials!C13</f>
        <v>nsxt-root-credentials@password=Pata2Pata1Pata!</v>
      </c>
      <c r="B149" s="109" t="s">
        <v>196</v>
      </c>
    </row>
    <row r="150" spans="1:2" x14ac:dyDescent="0.2">
      <c r="A150" s="110" t="str">
        <f>"nsxt-admin-credentials@password="&amp;Credentials!C14</f>
        <v>nsxt-admin-credentials@password=Pata2Pata1Pata!</v>
      </c>
      <c r="B150" s="109" t="s">
        <v>197</v>
      </c>
    </row>
    <row r="151" spans="1:2" x14ac:dyDescent="0.2">
      <c r="A151" s="110" t="str">
        <f>"nsxt-cli-privilege-credentials@password="&amp;Credentials!C15</f>
        <v>nsxt-cli-privilege-credentials@password=Pata2Pata1Pata!</v>
      </c>
      <c r="B151" s="109" t="s">
        <v>198</v>
      </c>
    </row>
    <row r="152" spans="1:2" x14ac:dyDescent="0.2">
      <c r="A152" s="109" t="s">
        <v>199</v>
      </c>
      <c r="B152" s="109" t="s">
        <v>200</v>
      </c>
    </row>
    <row r="153" spans="1:2" x14ac:dyDescent="0.2">
      <c r="A153" s="109" t="s">
        <v>201</v>
      </c>
      <c r="B153" s="109" t="s">
        <v>202</v>
      </c>
    </row>
    <row r="154" spans="1:2" x14ac:dyDescent="0.2">
      <c r="A154" s="109" t="s">
        <v>203</v>
      </c>
    </row>
    <row r="155" spans="1:2" x14ac:dyDescent="0.2">
      <c r="A155" s="110" t="str">
        <f>IF('Deploy Parameters'!F38="n/a","nsxt-vip-hostname=","nsxt-vip-hostname="&amp;'Deploy Parameters'!F38)</f>
        <v>nsxt-vip-hostname=sfo-m01-nsx01</v>
      </c>
      <c r="B155" s="109" t="s">
        <v>204</v>
      </c>
    </row>
    <row r="156" spans="1:2" x14ac:dyDescent="0.2">
      <c r="A156" s="110" t="str">
        <f>IF('Deploy Parameters'!G38="n/a","nsxt-vip-address=","nsxt-vip-address="&amp;'Deploy Parameters'!G38)</f>
        <v>nsxt-vip-address=192.168.10.211</v>
      </c>
      <c r="B156" s="109" t="s">
        <v>205</v>
      </c>
    </row>
    <row r="157" spans="1:2" x14ac:dyDescent="0.2">
      <c r="A157" s="110" t="str">
        <f>IF('Deploy Parameters'!F39="n/a","nsxt-node1-hostname=","nsxt-node1-hostname="&amp;'Deploy Parameters'!F39)</f>
        <v>nsxt-node1-hostname=sfo-m01-nsx01a</v>
      </c>
      <c r="B157" s="109" t="s">
        <v>206</v>
      </c>
    </row>
    <row r="158" spans="1:2" x14ac:dyDescent="0.2">
      <c r="A158" s="110" t="str">
        <f>IF('Deploy Parameters'!G39="n/a","nsxt-node1-address=","nsxt-node1-address="&amp;'Deploy Parameters'!G39)</f>
        <v>nsxt-node1-address=192.168.10.212</v>
      </c>
      <c r="B158" s="109" t="s">
        <v>206</v>
      </c>
    </row>
    <row r="159" spans="1:2" x14ac:dyDescent="0.2">
      <c r="A159" s="110" t="str">
        <f>IF('Deploy Parameters'!F40="n/a","nsxt-node2-hostname=","nsxt-node2-hostname="&amp;'Deploy Parameters'!F40)</f>
        <v>nsxt-node2-hostname=</v>
      </c>
      <c r="B159" s="109" t="s">
        <v>206</v>
      </c>
    </row>
    <row r="160" spans="1:2" x14ac:dyDescent="0.2">
      <c r="A160" s="110" t="str">
        <f>IF('Deploy Parameters'!G40="n/a","nsxt-node2-address=","nsxt-node2-address="&amp;'Deploy Parameters'!G40)</f>
        <v>nsxt-node2-address=</v>
      </c>
      <c r="B160" s="109" t="s">
        <v>206</v>
      </c>
    </row>
    <row r="161" spans="1:2" x14ac:dyDescent="0.2">
      <c r="A161" s="110" t="str">
        <f>IF('Deploy Parameters'!F41="n/a","nsxt-node3-hostname=","nsxt-node3-hostname="&amp;'Deploy Parameters'!F41)</f>
        <v>nsxt-node3-hostname=</v>
      </c>
      <c r="B161" s="109" t="s">
        <v>206</v>
      </c>
    </row>
    <row r="162" spans="1:2" x14ac:dyDescent="0.2">
      <c r="A162" s="110" t="str">
        <f>IF('Deploy Parameters'!G41="n/a","nsxt-node3-address=","nsxt-node3-address="&amp;'Deploy Parameters'!G41)</f>
        <v>nsxt-node3-address=</v>
      </c>
      <c r="B162" s="109" t="s">
        <v>206</v>
      </c>
    </row>
    <row r="163" spans="1:2" x14ac:dyDescent="0.2">
      <c r="A163" s="109" t="s">
        <v>207</v>
      </c>
    </row>
    <row r="164" spans="1:2" x14ac:dyDescent="0.2">
      <c r="A164" s="110" t="str">
        <f>IF('Deploy Parameters'!F49="n/a","nsxt-transport-vlan-zoneName-1=","nsxt-transport-vlan-zoneName-1="&amp;'Deploy Parameters'!F49&amp;"-tz-vlan01")</f>
        <v>nsxt-transport-vlan-zoneName-1=sfo-m01-tz-vlan01</v>
      </c>
      <c r="B164" s="109" t="s">
        <v>208</v>
      </c>
    </row>
    <row r="165" spans="1:2" x14ac:dyDescent="0.2">
      <c r="A165" s="110" t="str">
        <f>IF('Deploy Parameters'!F49="n/a","nsxt-transport-vlan-zoneName-2=","nsxt-transport-vlan-zoneName-2="&amp;'Deploy Parameters'!F49&amp;"-tz-vlan02")</f>
        <v>nsxt-transport-vlan-zoneName-2=sfo-m01-tz-vlan02</v>
      </c>
    </row>
    <row r="166" spans="1:2" x14ac:dyDescent="0.2">
      <c r="A166" s="110" t="s">
        <v>209</v>
      </c>
      <c r="B166" s="109" t="s">
        <v>210</v>
      </c>
    </row>
    <row r="167" spans="1:2" x14ac:dyDescent="0.2">
      <c r="A167" s="110" t="str">
        <f>"nsxt-transport-vlanid="&amp;'Hosts and Networks'!J22</f>
        <v>nsxt-transport-vlanid=13</v>
      </c>
      <c r="B167" s="109" t="s">
        <v>211</v>
      </c>
    </row>
    <row r="168" spans="1:2" x14ac:dyDescent="0.2">
      <c r="A168" s="110" t="str">
        <f>"nsxt-transport-overlay-zoneName="&amp;'Deploy Parameters'!F49&amp;"-tz-overlay01"</f>
        <v>nsxt-transport-overlay-zoneName=sfo-m01-tz-overlay01</v>
      </c>
      <c r="B168" s="109" t="s">
        <v>212</v>
      </c>
    </row>
    <row r="169" spans="1:2" x14ac:dyDescent="0.2">
      <c r="A169" s="109" t="s">
        <v>213</v>
      </c>
      <c r="B169" s="109" t="s">
        <v>214</v>
      </c>
    </row>
    <row r="171" spans="1:2" x14ac:dyDescent="0.2">
      <c r="A171" s="109" t="s">
        <v>215</v>
      </c>
    </row>
    <row r="172" spans="1:2" x14ac:dyDescent="0.2">
      <c r="A172" s="110" t="str">
        <f>IF('Hosts and Networks'!K24="Yes","nsxt-hostStaticIpPool=true","nsxt-hostStaticIpPool=false")</f>
        <v>nsxt-hostStaticIpPool=true</v>
      </c>
    </row>
    <row r="173" spans="1:2" x14ac:dyDescent="0.2">
      <c r="A173" s="110" t="str">
        <f>IF('Hosts and Networks'!K24="No","nsxt-hostStaticIpPool-name=","nsxt-hostStaticIpPool-name="&amp;'Hosts and Networks'!J26)</f>
        <v>nsxt-hostStaticIpPool-name=sfo01-m01-cl01-tep01</v>
      </c>
      <c r="B173" s="109" t="s">
        <v>216</v>
      </c>
    </row>
    <row r="174" spans="1:2" x14ac:dyDescent="0.2">
      <c r="A174" s="110" t="str">
        <f>IF('Hosts and Networks'!K24="No","nsxt-hostStaticIpPool-description=","nsxt-hostStaticIpPool-description="&amp;'Hosts and Networks'!J25)</f>
        <v>nsxt-hostStaticIpPool-description=ESXi Host Overlay TEP IP Pool</v>
      </c>
      <c r="B174" s="109" t="s">
        <v>217</v>
      </c>
    </row>
    <row r="175" spans="1:2" x14ac:dyDescent="0.2">
      <c r="A175" s="110" t="str">
        <f>IF('Hosts and Networks'!K24="No","nsxt-hostStaticIpPool-ipStart=","nsxt-hostStaticIpPool-ipStart="&amp;'Hosts and Networks'!J28)</f>
        <v>nsxt-hostStaticIpPool-ipStart=192.168.13.1</v>
      </c>
      <c r="B175" s="109" t="s">
        <v>218</v>
      </c>
    </row>
    <row r="176" spans="1:2" x14ac:dyDescent="0.2">
      <c r="A176" s="110" t="str">
        <f>IF('Hosts and Networks'!K24="No","nsxt-hostStaticIpPool-ipEnd=","nsxt-hostStaticIpPool-ipEnd="&amp;'Hosts and Networks'!L28)</f>
        <v>nsxt-hostStaticIpPool-ipEnd=192.168.13.8</v>
      </c>
      <c r="B176" s="109" t="s">
        <v>219</v>
      </c>
    </row>
    <row r="177" spans="1:2" x14ac:dyDescent="0.2">
      <c r="A177" s="110" t="str">
        <f>IF('Hosts and Networks'!K24="No","nsxt-hostStaticIpPool-ipCidr=","nsxt-hostStaticIpPool-ipCidr="&amp;'Hosts and Networks'!J27)</f>
        <v>nsxt-hostStaticIpPool-ipCidr=192.168.13.0/24</v>
      </c>
      <c r="B177" s="109" t="s">
        <v>220</v>
      </c>
    </row>
    <row r="178" spans="1:2" x14ac:dyDescent="0.2">
      <c r="A178" s="110" t="str">
        <f>IF('Hosts and Networks'!K24="No","nsxt-hostStaticIpPool-ipGateway=","nsxt-hostStaticIpPool-ipGateway="&amp;'Hosts and Networks'!L27)</f>
        <v>nsxt-hostStaticIpPool-ipGateway=192.168.13.254</v>
      </c>
      <c r="B178" s="109" t="s">
        <v>221</v>
      </c>
    </row>
    <row r="180" spans="1:2" x14ac:dyDescent="0.2">
      <c r="A180" s="109" t="s">
        <v>222</v>
      </c>
    </row>
    <row r="181" spans="1:2" x14ac:dyDescent="0.2">
      <c r="A181" s="114" t="s">
        <v>223</v>
      </c>
    </row>
    <row r="182" spans="1:2" x14ac:dyDescent="0.2">
      <c r="A182" s="114" t="s">
        <v>224</v>
      </c>
    </row>
    <row r="183" spans="1:2" x14ac:dyDescent="0.2">
      <c r="A183" s="114" t="s">
        <v>225</v>
      </c>
    </row>
    <row r="184" spans="1:2" x14ac:dyDescent="0.2">
      <c r="A184" s="114" t="s">
        <v>226</v>
      </c>
    </row>
    <row r="185" spans="1:2" x14ac:dyDescent="0.2">
      <c r="A185" s="114" t="s">
        <v>227</v>
      </c>
    </row>
    <row r="186" spans="1:2" x14ac:dyDescent="0.2">
      <c r="A186" s="114"/>
    </row>
    <row r="187" spans="1:2" x14ac:dyDescent="0.2">
      <c r="A187" s="109" t="s">
        <v>228</v>
      </c>
    </row>
  </sheetData>
  <sheetProtection sheet="1" objects="1" scenarios="1"/>
  <autoFilter ref="A80:B89" xr:uid="{00000000-0001-0000-0500-000000000000}"/>
  <conditionalFormatting sqref="A1:A78 A80:A103 A105:A110 A112:A117 A119:A123 A126:A180 A187:A1048576">
    <cfRule type="containsText" dxfId="4" priority="4" operator="containsText" text="#">
      <formula>NOT(ISERROR(SEARCH("#",A1)))</formula>
    </cfRule>
  </conditionalFormatting>
  <conditionalFormatting sqref="A104:A108 A170:A178">
    <cfRule type="beginsWith" dxfId="3" priority="5" operator="beginsWith" text="#">
      <formula>LEFT(A104,LEN("#"))="#"</formula>
    </cfRule>
  </conditionalFormatting>
  <conditionalFormatting sqref="A111:A115">
    <cfRule type="beginsWith" dxfId="2" priority="6" operator="beginsWith" text="#">
      <formula>LEFT(A111,LEN("#"))="#"</formula>
    </cfRule>
  </conditionalFormatting>
  <conditionalFormatting sqref="A118:A122">
    <cfRule type="beginsWith" dxfId="1" priority="7" operator="beginsWith" text="#">
      <formula>LEFT(A118,LEN("#"))="#"</formula>
    </cfRule>
  </conditionalFormatting>
  <conditionalFormatting sqref="A126:A129">
    <cfRule type="beginsWith" dxfId="0"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x14ac:dyDescent="0.2"/>
  <cols>
    <col min="1" max="1" width="11.33203125" style="115"/>
    <col min="2" max="2" width="139.1640625" style="108" customWidth="1"/>
    <col min="23" max="23" width="131.1640625" customWidth="1"/>
  </cols>
  <sheetData>
    <row r="1" spans="1:2" ht="16" x14ac:dyDescent="0.2">
      <c r="A1" s="115" t="s">
        <v>229</v>
      </c>
      <c r="B1" s="108" t="s">
        <v>7</v>
      </c>
    </row>
    <row r="2" spans="1:2" ht="335" x14ac:dyDescent="0.2">
      <c r="A2" s="115">
        <v>43236</v>
      </c>
      <c r="B2" s="108" t="s">
        <v>230</v>
      </c>
    </row>
    <row r="3" spans="1:2" ht="176" x14ac:dyDescent="0.2">
      <c r="A3" s="115">
        <v>43207</v>
      </c>
      <c r="B3" s="108" t="s">
        <v>231</v>
      </c>
    </row>
    <row r="4" spans="1:2" ht="32" x14ac:dyDescent="0.2">
      <c r="A4" s="115">
        <v>43252</v>
      </c>
      <c r="B4" s="108" t="s">
        <v>232</v>
      </c>
    </row>
    <row r="5" spans="1:2" ht="96" x14ac:dyDescent="0.2">
      <c r="A5" s="115">
        <v>43255</v>
      </c>
      <c r="B5" s="108" t="s">
        <v>233</v>
      </c>
    </row>
    <row r="6" spans="1:2" ht="32" x14ac:dyDescent="0.2">
      <c r="A6" s="115">
        <v>43258</v>
      </c>
      <c r="B6" s="108" t="s">
        <v>234</v>
      </c>
    </row>
    <row r="7" spans="1:2" ht="80" x14ac:dyDescent="0.2">
      <c r="A7" s="115">
        <v>43260</v>
      </c>
      <c r="B7" s="108" t="s">
        <v>235</v>
      </c>
    </row>
    <row r="8" spans="1:2" ht="80" x14ac:dyDescent="0.2">
      <c r="A8" s="115">
        <v>43271</v>
      </c>
      <c r="B8" s="108" t="s">
        <v>236</v>
      </c>
    </row>
    <row r="9" spans="1:2" ht="48" x14ac:dyDescent="0.2">
      <c r="A9" s="115">
        <v>43273</v>
      </c>
      <c r="B9" s="108" t="s">
        <v>237</v>
      </c>
    </row>
    <row r="10" spans="1:2" ht="16" x14ac:dyDescent="0.2">
      <c r="A10" s="115">
        <v>43273</v>
      </c>
      <c r="B10" s="108" t="s">
        <v>238</v>
      </c>
    </row>
    <row r="11" spans="1:2" ht="224" x14ac:dyDescent="0.2">
      <c r="A11" s="115">
        <v>43280</v>
      </c>
      <c r="B11" s="108" t="s">
        <v>239</v>
      </c>
    </row>
    <row r="12" spans="1:2" ht="48" x14ac:dyDescent="0.2">
      <c r="A12" s="115">
        <v>43284</v>
      </c>
      <c r="B12" s="108" t="s">
        <v>240</v>
      </c>
    </row>
    <row r="13" spans="1:2" ht="32" x14ac:dyDescent="0.2">
      <c r="A13" s="115">
        <v>43300</v>
      </c>
      <c r="B13" s="108" t="s">
        <v>241</v>
      </c>
    </row>
    <row r="14" spans="1:2" ht="16" x14ac:dyDescent="0.2">
      <c r="A14" s="115">
        <v>43301</v>
      </c>
      <c r="B14" s="108" t="s">
        <v>242</v>
      </c>
    </row>
    <row r="15" spans="1:2" ht="48" x14ac:dyDescent="0.2">
      <c r="A15" s="115">
        <v>43304</v>
      </c>
      <c r="B15" s="108" t="s">
        <v>243</v>
      </c>
    </row>
    <row r="16" spans="1:2" ht="64" x14ac:dyDescent="0.2">
      <c r="A16" s="115">
        <v>43305</v>
      </c>
      <c r="B16" s="108" t="s">
        <v>244</v>
      </c>
    </row>
    <row r="17" spans="1:2" ht="48" x14ac:dyDescent="0.2">
      <c r="A17" s="115">
        <v>43311</v>
      </c>
      <c r="B17" s="108" t="s">
        <v>245</v>
      </c>
    </row>
    <row r="18" spans="1:2" ht="48" x14ac:dyDescent="0.2">
      <c r="A18" s="115">
        <v>43320</v>
      </c>
      <c r="B18" s="108" t="s">
        <v>246</v>
      </c>
    </row>
    <row r="19" spans="1:2" ht="16" x14ac:dyDescent="0.2">
      <c r="A19" s="115">
        <v>43321</v>
      </c>
      <c r="B19" s="108" t="s">
        <v>247</v>
      </c>
    </row>
    <row r="20" spans="1:2" ht="32" x14ac:dyDescent="0.2">
      <c r="A20" s="115">
        <v>43322</v>
      </c>
      <c r="B20" s="108" t="s">
        <v>248</v>
      </c>
    </row>
    <row r="21" spans="1:2" ht="16" x14ac:dyDescent="0.2">
      <c r="A21" s="115">
        <v>43354</v>
      </c>
      <c r="B21" s="108" t="s">
        <v>249</v>
      </c>
    </row>
    <row r="22" spans="1:2" ht="32" x14ac:dyDescent="0.2">
      <c r="A22" s="115">
        <v>43363</v>
      </c>
      <c r="B22" s="108" t="s">
        <v>250</v>
      </c>
    </row>
    <row r="23" spans="1:2" ht="16" x14ac:dyDescent="0.2">
      <c r="A23" s="115">
        <v>43364</v>
      </c>
      <c r="B23" s="108" t="s">
        <v>251</v>
      </c>
    </row>
    <row r="24" spans="1:2" ht="48" x14ac:dyDescent="0.2">
      <c r="A24" s="115">
        <v>43370</v>
      </c>
      <c r="B24" s="108" t="s">
        <v>252</v>
      </c>
    </row>
    <row r="25" spans="1:2" ht="16" x14ac:dyDescent="0.2">
      <c r="A25" s="115">
        <v>43371</v>
      </c>
      <c r="B25" s="108" t="s">
        <v>253</v>
      </c>
    </row>
    <row r="26" spans="1:2" ht="48" x14ac:dyDescent="0.2">
      <c r="A26" s="115">
        <v>43377</v>
      </c>
      <c r="B26" s="108" t="s">
        <v>254</v>
      </c>
    </row>
    <row r="27" spans="1:2" ht="64" x14ac:dyDescent="0.2">
      <c r="A27" s="115">
        <v>43382</v>
      </c>
      <c r="B27" s="108" t="s">
        <v>255</v>
      </c>
    </row>
    <row r="28" spans="1:2" ht="16" x14ac:dyDescent="0.2">
      <c r="A28" s="115">
        <v>43383</v>
      </c>
      <c r="B28" s="108" t="s">
        <v>256</v>
      </c>
    </row>
    <row r="29" spans="1:2" ht="16" x14ac:dyDescent="0.2">
      <c r="A29" s="115">
        <v>43389</v>
      </c>
      <c r="B29" s="108" t="s">
        <v>257</v>
      </c>
    </row>
    <row r="30" spans="1:2" ht="16" x14ac:dyDescent="0.2">
      <c r="A30" s="115">
        <v>43397</v>
      </c>
      <c r="B30" s="108" t="s">
        <v>258</v>
      </c>
    </row>
    <row r="31" spans="1:2" ht="16" x14ac:dyDescent="0.2">
      <c r="A31" s="115">
        <v>43402</v>
      </c>
      <c r="B31" s="108" t="s">
        <v>259</v>
      </c>
    </row>
    <row r="32" spans="1:2" ht="32" x14ac:dyDescent="0.2">
      <c r="A32" s="115">
        <v>43404</v>
      </c>
      <c r="B32" s="108" t="s">
        <v>260</v>
      </c>
    </row>
    <row r="33" spans="1:2" ht="96" x14ac:dyDescent="0.2">
      <c r="A33" s="115">
        <v>43405</v>
      </c>
      <c r="B33" s="108" t="s">
        <v>261</v>
      </c>
    </row>
    <row r="34" spans="1:2" ht="16" x14ac:dyDescent="0.2">
      <c r="A34" s="115">
        <v>43406</v>
      </c>
      <c r="B34" s="108" t="s">
        <v>262</v>
      </c>
    </row>
    <row r="35" spans="1:2" ht="16" x14ac:dyDescent="0.2">
      <c r="A35" s="115">
        <v>43409</v>
      </c>
      <c r="B35" s="108" t="s">
        <v>263</v>
      </c>
    </row>
    <row r="36" spans="1:2" ht="16" x14ac:dyDescent="0.2">
      <c r="A36" s="115">
        <v>43413</v>
      </c>
      <c r="B36" s="108" t="s">
        <v>264</v>
      </c>
    </row>
    <row r="37" spans="1:2" ht="64" x14ac:dyDescent="0.2">
      <c r="A37" s="115">
        <v>43416</v>
      </c>
      <c r="B37" s="108" t="s">
        <v>265</v>
      </c>
    </row>
    <row r="38" spans="1:2" ht="16" x14ac:dyDescent="0.2">
      <c r="A38" s="115">
        <v>43417</v>
      </c>
      <c r="B38" s="108" t="s">
        <v>266</v>
      </c>
    </row>
    <row r="39" spans="1:2" ht="16" x14ac:dyDescent="0.2">
      <c r="A39" s="115">
        <v>43430</v>
      </c>
      <c r="B39" s="108" t="s">
        <v>267</v>
      </c>
    </row>
    <row r="40" spans="1:2" ht="16" x14ac:dyDescent="0.2">
      <c r="A40" s="115">
        <v>43385</v>
      </c>
      <c r="B40" s="108" t="s">
        <v>268</v>
      </c>
    </row>
    <row r="41" spans="1:2" ht="16" x14ac:dyDescent="0.2">
      <c r="A41" s="115">
        <v>43446</v>
      </c>
      <c r="B41" s="108" t="s">
        <v>269</v>
      </c>
    </row>
    <row r="42" spans="1:2" ht="16" x14ac:dyDescent="0.2">
      <c r="A42" s="115">
        <v>43447</v>
      </c>
      <c r="B42" s="108" t="s">
        <v>270</v>
      </c>
    </row>
    <row r="43" spans="1:2" ht="32" x14ac:dyDescent="0.2">
      <c r="A43" s="115">
        <v>43448</v>
      </c>
      <c r="B43" s="108" t="s">
        <v>271</v>
      </c>
    </row>
    <row r="44" spans="1:2" ht="16" x14ac:dyDescent="0.2">
      <c r="A44" s="115">
        <v>43467</v>
      </c>
      <c r="B44" s="108" t="s">
        <v>272</v>
      </c>
    </row>
    <row r="45" spans="1:2" ht="48" x14ac:dyDescent="0.2">
      <c r="A45" s="115">
        <v>43472</v>
      </c>
      <c r="B45" s="108" t="s">
        <v>273</v>
      </c>
    </row>
    <row r="46" spans="1:2" ht="16" x14ac:dyDescent="0.2">
      <c r="A46" s="115">
        <v>43480</v>
      </c>
      <c r="B46" s="108" t="s">
        <v>274</v>
      </c>
    </row>
    <row r="47" spans="1:2" ht="16" x14ac:dyDescent="0.2">
      <c r="A47" s="115">
        <v>43481</v>
      </c>
      <c r="B47" s="108" t="s">
        <v>275</v>
      </c>
    </row>
    <row r="48" spans="1:2" ht="16" x14ac:dyDescent="0.2">
      <c r="A48" s="115">
        <v>43483</v>
      </c>
      <c r="B48" s="108" t="s">
        <v>276</v>
      </c>
    </row>
    <row r="49" spans="1:2" ht="32" x14ac:dyDescent="0.2">
      <c r="A49" s="115">
        <v>43496</v>
      </c>
      <c r="B49" s="108" t="s">
        <v>277</v>
      </c>
    </row>
    <row r="50" spans="1:2" ht="16" x14ac:dyDescent="0.2">
      <c r="A50" s="115">
        <v>43502</v>
      </c>
      <c r="B50" s="108" t="s">
        <v>278</v>
      </c>
    </row>
    <row r="51" spans="1:2" ht="16" x14ac:dyDescent="0.2">
      <c r="A51" s="115">
        <v>43503</v>
      </c>
      <c r="B51" s="108" t="s">
        <v>279</v>
      </c>
    </row>
    <row r="52" spans="1:2" ht="16" x14ac:dyDescent="0.2">
      <c r="A52" s="115">
        <v>43517</v>
      </c>
      <c r="B52" s="108" t="s">
        <v>280</v>
      </c>
    </row>
    <row r="53" spans="1:2" ht="16" x14ac:dyDescent="0.2">
      <c r="A53" s="115">
        <v>43523</v>
      </c>
      <c r="B53" s="108" t="s">
        <v>281</v>
      </c>
    </row>
    <row r="54" spans="1:2" ht="16" x14ac:dyDescent="0.2">
      <c r="A54" s="115">
        <v>43532</v>
      </c>
      <c r="B54" s="108" t="s">
        <v>282</v>
      </c>
    </row>
    <row r="55" spans="1:2" ht="32" x14ac:dyDescent="0.2">
      <c r="A55" s="115">
        <v>43557</v>
      </c>
      <c r="B55" s="108" t="s">
        <v>283</v>
      </c>
    </row>
    <row r="56" spans="1:2" ht="16" x14ac:dyDescent="0.2">
      <c r="A56" s="115">
        <v>43564</v>
      </c>
      <c r="B56" s="108" t="s">
        <v>284</v>
      </c>
    </row>
    <row r="57" spans="1:2" ht="16" x14ac:dyDescent="0.2">
      <c r="A57" s="115">
        <v>43579</v>
      </c>
      <c r="B57" s="108" t="s">
        <v>269</v>
      </c>
    </row>
    <row r="58" spans="1:2" ht="16" x14ac:dyDescent="0.2">
      <c r="A58" s="115">
        <v>43613</v>
      </c>
      <c r="B58" s="108" t="s">
        <v>285</v>
      </c>
    </row>
    <row r="59" spans="1:2" ht="16" x14ac:dyDescent="0.2">
      <c r="A59" s="115">
        <v>43614</v>
      </c>
      <c r="B59" s="108" t="s">
        <v>286</v>
      </c>
    </row>
    <row r="60" spans="1:2" ht="16" x14ac:dyDescent="0.2">
      <c r="A60" s="115">
        <v>43621</v>
      </c>
      <c r="B60" s="108" t="s">
        <v>287</v>
      </c>
    </row>
    <row r="61" spans="1:2" ht="32" x14ac:dyDescent="0.2">
      <c r="A61" s="115">
        <v>43622</v>
      </c>
      <c r="B61" s="108" t="s">
        <v>288</v>
      </c>
    </row>
    <row r="62" spans="1:2" ht="16" x14ac:dyDescent="0.2">
      <c r="A62" s="115">
        <v>43634</v>
      </c>
      <c r="B62" s="108" t="s">
        <v>289</v>
      </c>
    </row>
    <row r="63" spans="1:2" ht="32" x14ac:dyDescent="0.2">
      <c r="A63" s="115">
        <v>43640</v>
      </c>
      <c r="B63" s="108" t="s">
        <v>290</v>
      </c>
    </row>
    <row r="64" spans="1:2" ht="16" x14ac:dyDescent="0.2">
      <c r="A64" s="115">
        <v>43664</v>
      </c>
      <c r="B64" s="108" t="s">
        <v>291</v>
      </c>
    </row>
    <row r="65" spans="1:2" ht="16" x14ac:dyDescent="0.2">
      <c r="A65" s="115">
        <v>43684</v>
      </c>
      <c r="B65" s="108" t="s">
        <v>292</v>
      </c>
    </row>
    <row r="66" spans="1:2" ht="16" x14ac:dyDescent="0.2">
      <c r="A66" s="115">
        <v>43719</v>
      </c>
      <c r="B66" s="108" t="s">
        <v>293</v>
      </c>
    </row>
    <row r="67" spans="1:2" ht="16" x14ac:dyDescent="0.2">
      <c r="A67" s="115">
        <v>43738</v>
      </c>
      <c r="B67" s="108" t="s">
        <v>294</v>
      </c>
    </row>
    <row r="68" spans="1:2" ht="16" x14ac:dyDescent="0.2">
      <c r="A68" s="115">
        <v>43747</v>
      </c>
      <c r="B68" s="108" t="s">
        <v>295</v>
      </c>
    </row>
    <row r="69" spans="1:2" ht="15" customHeight="1" x14ac:dyDescent="0.2">
      <c r="A69" s="115">
        <v>43756</v>
      </c>
      <c r="B69" s="108" t="s">
        <v>296</v>
      </c>
    </row>
    <row r="70" spans="1:2" ht="15" customHeight="1" x14ac:dyDescent="0.2">
      <c r="A70" s="115">
        <v>43762</v>
      </c>
      <c r="B70" s="108" t="s">
        <v>297</v>
      </c>
    </row>
    <row r="71" spans="1:2" ht="15" customHeight="1" x14ac:dyDescent="0.2">
      <c r="A71" s="115">
        <v>43762</v>
      </c>
      <c r="B71" s="108" t="s">
        <v>298</v>
      </c>
    </row>
    <row r="72" spans="1:2" ht="15" customHeight="1" x14ac:dyDescent="0.2">
      <c r="A72" s="115">
        <v>43777</v>
      </c>
      <c r="B72" s="108" t="s">
        <v>299</v>
      </c>
    </row>
    <row r="73" spans="1:2" ht="15" customHeight="1" x14ac:dyDescent="0.2">
      <c r="A73" s="115">
        <v>43781</v>
      </c>
      <c r="B73" s="108" t="s">
        <v>300</v>
      </c>
    </row>
    <row r="74" spans="1:2" ht="15" customHeight="1" x14ac:dyDescent="0.2">
      <c r="A74" s="115">
        <v>43783</v>
      </c>
      <c r="B74" s="108" t="s">
        <v>301</v>
      </c>
    </row>
    <row r="75" spans="1:2" ht="80" x14ac:dyDescent="0.2">
      <c r="A75" s="115">
        <v>43811</v>
      </c>
      <c r="B75" s="108" t="s">
        <v>302</v>
      </c>
    </row>
    <row r="76" spans="1:2" ht="224" x14ac:dyDescent="0.2">
      <c r="A76" s="115">
        <v>43832</v>
      </c>
      <c r="B76" s="108" t="s">
        <v>303</v>
      </c>
    </row>
    <row r="77" spans="1:2" ht="64" x14ac:dyDescent="0.2">
      <c r="A77" s="115">
        <v>43864</v>
      </c>
      <c r="B77" s="108" t="s">
        <v>304</v>
      </c>
    </row>
    <row r="78" spans="1:2" ht="32" x14ac:dyDescent="0.2">
      <c r="A78" s="115">
        <v>43838</v>
      </c>
      <c r="B78" s="108" t="s">
        <v>305</v>
      </c>
    </row>
    <row r="79" spans="1:2" ht="32" x14ac:dyDescent="0.2">
      <c r="A79" s="115">
        <v>43843</v>
      </c>
      <c r="B79" s="108" t="s">
        <v>306</v>
      </c>
    </row>
    <row r="80" spans="1:2" ht="16" x14ac:dyDescent="0.2">
      <c r="A80" s="115">
        <v>43845</v>
      </c>
      <c r="B80" s="108" t="s">
        <v>307</v>
      </c>
    </row>
    <row r="81" spans="1:2" ht="16" x14ac:dyDescent="0.2">
      <c r="A81" s="115">
        <v>43857</v>
      </c>
      <c r="B81" s="108" t="s">
        <v>308</v>
      </c>
    </row>
    <row r="82" spans="1:2" ht="16" x14ac:dyDescent="0.2">
      <c r="A82" s="115">
        <v>43878</v>
      </c>
      <c r="B82" s="108" t="s">
        <v>309</v>
      </c>
    </row>
    <row r="83" spans="1:2" ht="48" x14ac:dyDescent="0.2">
      <c r="A83" s="115">
        <v>43882</v>
      </c>
      <c r="B83" s="108" t="s">
        <v>310</v>
      </c>
    </row>
    <row r="84" spans="1:2" ht="32" x14ac:dyDescent="0.2">
      <c r="A84" s="115">
        <v>43887</v>
      </c>
      <c r="B84" s="108" t="s">
        <v>311</v>
      </c>
    </row>
    <row r="85" spans="1:2" ht="16" x14ac:dyDescent="0.2">
      <c r="A85" s="115">
        <v>43893</v>
      </c>
      <c r="B85" s="108" t="s">
        <v>312</v>
      </c>
    </row>
    <row r="86" spans="1:2" ht="16" x14ac:dyDescent="0.2">
      <c r="A86" s="115">
        <v>43894</v>
      </c>
      <c r="B86" s="108" t="s">
        <v>313</v>
      </c>
    </row>
    <row r="87" spans="1:2" ht="16" x14ac:dyDescent="0.2">
      <c r="A87" s="115">
        <v>43895</v>
      </c>
      <c r="B87" s="108" t="s">
        <v>314</v>
      </c>
    </row>
    <row r="88" spans="1:2" ht="16" x14ac:dyDescent="0.2">
      <c r="A88" s="115">
        <v>43896</v>
      </c>
      <c r="B88" s="108" t="s">
        <v>315</v>
      </c>
    </row>
    <row r="89" spans="1:2" ht="32" x14ac:dyDescent="0.2">
      <c r="A89" s="115">
        <v>43900</v>
      </c>
      <c r="B89" s="108" t="s">
        <v>316</v>
      </c>
    </row>
    <row r="90" spans="1:2" ht="16" x14ac:dyDescent="0.2">
      <c r="A90" s="115">
        <v>43903</v>
      </c>
      <c r="B90" s="108" t="s">
        <v>317</v>
      </c>
    </row>
    <row r="91" spans="1:2" ht="16" x14ac:dyDescent="0.2">
      <c r="A91" s="115">
        <v>43907</v>
      </c>
      <c r="B91" s="108" t="s">
        <v>318</v>
      </c>
    </row>
    <row r="92" spans="1:2" ht="16" x14ac:dyDescent="0.2">
      <c r="A92" s="115">
        <v>43915</v>
      </c>
      <c r="B92" s="108" t="s">
        <v>319</v>
      </c>
    </row>
    <row r="93" spans="1:2" ht="32" x14ac:dyDescent="0.2">
      <c r="A93" s="115">
        <v>43916</v>
      </c>
      <c r="B93" s="108" t="s">
        <v>320</v>
      </c>
    </row>
    <row r="94" spans="1:2" ht="48" x14ac:dyDescent="0.2">
      <c r="A94" s="115">
        <v>43929</v>
      </c>
      <c r="B94" s="108" t="s">
        <v>321</v>
      </c>
    </row>
    <row r="95" spans="1:2" ht="16" x14ac:dyDescent="0.2">
      <c r="A95" s="115">
        <v>43935</v>
      </c>
      <c r="B95" s="108" t="s">
        <v>322</v>
      </c>
    </row>
    <row r="96" spans="1:2" ht="64" x14ac:dyDescent="0.2">
      <c r="A96" s="115">
        <v>43942</v>
      </c>
      <c r="B96" s="108" t="s">
        <v>323</v>
      </c>
    </row>
    <row r="97" spans="1:2" ht="32" x14ac:dyDescent="0.2">
      <c r="A97" s="115">
        <v>43955</v>
      </c>
      <c r="B97" s="108" t="s">
        <v>324</v>
      </c>
    </row>
    <row r="98" spans="1:2" ht="16" x14ac:dyDescent="0.2">
      <c r="A98" s="115">
        <v>43956</v>
      </c>
      <c r="B98" s="108" t="s">
        <v>325</v>
      </c>
    </row>
    <row r="99" spans="1:2" ht="16" x14ac:dyDescent="0.2">
      <c r="A99" s="115">
        <v>43957</v>
      </c>
      <c r="B99" s="108" t="s">
        <v>326</v>
      </c>
    </row>
    <row r="100" spans="1:2" ht="16" x14ac:dyDescent="0.2">
      <c r="A100" s="115">
        <v>43958</v>
      </c>
      <c r="B100" s="108" t="s">
        <v>327</v>
      </c>
    </row>
    <row r="101" spans="1:2" ht="16" x14ac:dyDescent="0.2">
      <c r="A101" s="115">
        <v>43965</v>
      </c>
      <c r="B101" s="108" t="s">
        <v>328</v>
      </c>
    </row>
    <row r="102" spans="1:2" ht="16" x14ac:dyDescent="0.2">
      <c r="A102" s="115">
        <v>43984</v>
      </c>
      <c r="B102" s="108" t="s">
        <v>329</v>
      </c>
    </row>
    <row r="103" spans="1:2" ht="16" x14ac:dyDescent="0.2">
      <c r="A103" s="115">
        <v>43986</v>
      </c>
      <c r="B103" s="108" t="s">
        <v>330</v>
      </c>
    </row>
    <row r="104" spans="1:2" ht="16" x14ac:dyDescent="0.2">
      <c r="A104" s="115">
        <v>43987</v>
      </c>
      <c r="B104" s="108" t="s">
        <v>331</v>
      </c>
    </row>
    <row r="105" spans="1:2" ht="16" x14ac:dyDescent="0.2">
      <c r="A105" s="115">
        <v>44001</v>
      </c>
      <c r="B105" s="108" t="s">
        <v>332</v>
      </c>
    </row>
    <row r="106" spans="1:2" ht="32" x14ac:dyDescent="0.2">
      <c r="A106" s="115">
        <v>44021</v>
      </c>
      <c r="B106" s="108" t="s">
        <v>333</v>
      </c>
    </row>
    <row r="107" spans="1:2" ht="16" x14ac:dyDescent="0.2">
      <c r="A107" s="115">
        <v>44039</v>
      </c>
      <c r="B107" s="108" t="s">
        <v>334</v>
      </c>
    </row>
    <row r="108" spans="1:2" ht="32" x14ac:dyDescent="0.2">
      <c r="A108" s="115">
        <v>44054</v>
      </c>
      <c r="B108" s="108" t="s">
        <v>335</v>
      </c>
    </row>
    <row r="109" spans="1:2" ht="16" x14ac:dyDescent="0.2">
      <c r="A109" s="115">
        <v>44055</v>
      </c>
      <c r="B109" s="108" t="s">
        <v>336</v>
      </c>
    </row>
    <row r="110" spans="1:2" ht="16" x14ac:dyDescent="0.2">
      <c r="A110" s="115">
        <v>44061</v>
      </c>
      <c r="B110" s="108" t="s">
        <v>337</v>
      </c>
    </row>
    <row r="111" spans="1:2" ht="64" x14ac:dyDescent="0.2">
      <c r="A111" s="115">
        <v>44092</v>
      </c>
      <c r="B111" s="108" t="s">
        <v>338</v>
      </c>
    </row>
    <row r="112" spans="1:2" ht="16" x14ac:dyDescent="0.2">
      <c r="A112" s="115">
        <v>44096</v>
      </c>
      <c r="B112" s="108" t="s">
        <v>339</v>
      </c>
    </row>
    <row r="113" spans="1:2" ht="32" x14ac:dyDescent="0.2">
      <c r="A113" s="115">
        <v>44102</v>
      </c>
      <c r="B113" s="108" t="s">
        <v>340</v>
      </c>
    </row>
    <row r="114" spans="1:2" ht="16" x14ac:dyDescent="0.2">
      <c r="A114" s="115">
        <v>44104</v>
      </c>
      <c r="B114" s="108" t="s">
        <v>341</v>
      </c>
    </row>
    <row r="115" spans="1:2" ht="16" x14ac:dyDescent="0.2">
      <c r="A115" s="115">
        <v>44105</v>
      </c>
      <c r="B115" s="108" t="s">
        <v>342</v>
      </c>
    </row>
    <row r="116" spans="1:2" ht="32" x14ac:dyDescent="0.2">
      <c r="A116" s="115">
        <v>44116</v>
      </c>
      <c r="B116" s="108" t="s">
        <v>343</v>
      </c>
    </row>
    <row r="117" spans="1:2" ht="112" x14ac:dyDescent="0.2">
      <c r="A117" s="115">
        <v>44130</v>
      </c>
      <c r="B117" s="108" t="s">
        <v>344</v>
      </c>
    </row>
    <row r="118" spans="1:2" ht="16" x14ac:dyDescent="0.2">
      <c r="A118" s="115">
        <v>44140</v>
      </c>
      <c r="B118" s="108" t="s">
        <v>345</v>
      </c>
    </row>
    <row r="119" spans="1:2" ht="32" x14ac:dyDescent="0.2">
      <c r="A119" s="115">
        <v>44147</v>
      </c>
      <c r="B119" s="108" t="s">
        <v>346</v>
      </c>
    </row>
    <row r="120" spans="1:2" ht="16" x14ac:dyDescent="0.2">
      <c r="A120" s="115">
        <v>44155</v>
      </c>
      <c r="B120" s="108" t="s">
        <v>347</v>
      </c>
    </row>
    <row r="121" spans="1:2" ht="48" x14ac:dyDescent="0.2">
      <c r="A121" s="115">
        <v>44166</v>
      </c>
      <c r="B121" s="108" t="s">
        <v>348</v>
      </c>
    </row>
    <row r="122" spans="1:2" ht="32" x14ac:dyDescent="0.2">
      <c r="A122" s="115">
        <v>44215</v>
      </c>
      <c r="B122" s="108" t="s">
        <v>349</v>
      </c>
    </row>
    <row r="123" spans="1:2" ht="16" x14ac:dyDescent="0.2">
      <c r="A123" s="115">
        <v>44246</v>
      </c>
      <c r="B123" s="108" t="s">
        <v>350</v>
      </c>
    </row>
    <row r="124" spans="1:2" ht="48" x14ac:dyDescent="0.2">
      <c r="A124" s="115">
        <v>44271</v>
      </c>
      <c r="B124" s="108" t="s">
        <v>351</v>
      </c>
    </row>
    <row r="125" spans="1:2" ht="16" x14ac:dyDescent="0.2">
      <c r="A125" s="115">
        <v>44342</v>
      </c>
      <c r="B125" s="108" t="s">
        <v>352</v>
      </c>
    </row>
    <row r="126" spans="1:2" ht="16" x14ac:dyDescent="0.2">
      <c r="A126" s="115">
        <v>44473</v>
      </c>
      <c r="B126" s="108" t="s">
        <v>353</v>
      </c>
    </row>
    <row r="127" spans="1:2" ht="16" customHeight="1" x14ac:dyDescent="0.2">
      <c r="A127" s="115">
        <v>44615</v>
      </c>
      <c r="B127" s="108" t="s">
        <v>354</v>
      </c>
    </row>
    <row r="128" spans="1:2" ht="16" customHeight="1" x14ac:dyDescent="0.2">
      <c r="A128" s="115">
        <v>44740</v>
      </c>
      <c r="B128" s="108" t="s">
        <v>355</v>
      </c>
    </row>
    <row r="129" spans="1:2" ht="16" customHeight="1" x14ac:dyDescent="0.2">
      <c r="A129" s="115">
        <v>44753</v>
      </c>
      <c r="B129" s="108" t="s">
        <v>356</v>
      </c>
    </row>
    <row r="130" spans="1:2" ht="16" customHeight="1" x14ac:dyDescent="0.2">
      <c r="A130" s="115">
        <v>44846</v>
      </c>
      <c r="B130" s="108" t="s">
        <v>357</v>
      </c>
    </row>
    <row r="131" spans="1:2" ht="16" customHeight="1" x14ac:dyDescent="0.2">
      <c r="A131" s="115">
        <v>44873</v>
      </c>
      <c r="B131" s="108" t="s">
        <v>358</v>
      </c>
    </row>
    <row r="132" spans="1:2" ht="16" customHeight="1" x14ac:dyDescent="0.2">
      <c r="A132" s="115">
        <v>44887</v>
      </c>
      <c r="B132" s="108" t="s">
        <v>359</v>
      </c>
    </row>
    <row r="133" spans="1:2" ht="16" customHeight="1" x14ac:dyDescent="0.2">
      <c r="A133" s="115">
        <v>44896</v>
      </c>
      <c r="B133" s="108" t="s">
        <v>372</v>
      </c>
    </row>
    <row r="134" spans="1:2" ht="16" customHeight="1" x14ac:dyDescent="0.2">
      <c r="A134" s="115">
        <v>44951</v>
      </c>
      <c r="B134" s="108" t="s">
        <v>374</v>
      </c>
    </row>
    <row r="135" spans="1:2" ht="16" x14ac:dyDescent="0.2">
      <c r="A135" s="115">
        <v>44960</v>
      </c>
      <c r="B135" s="108" t="s">
        <v>377</v>
      </c>
    </row>
    <row r="136" spans="1:2" ht="16" x14ac:dyDescent="0.2">
      <c r="A136" s="115">
        <v>44965</v>
      </c>
      <c r="B136" s="108" t="s">
        <v>378</v>
      </c>
    </row>
    <row r="137" spans="1:2" ht="16" x14ac:dyDescent="0.2">
      <c r="A137" s="115">
        <v>44977</v>
      </c>
      <c r="B137" s="108" t="s">
        <v>379</v>
      </c>
    </row>
    <row r="138" spans="1:2" ht="16" x14ac:dyDescent="0.2">
      <c r="A138" s="115">
        <v>44978</v>
      </c>
      <c r="B138" s="108" t="s">
        <v>380</v>
      </c>
    </row>
    <row r="139" spans="1:2" ht="16" x14ac:dyDescent="0.2">
      <c r="A139" s="115">
        <v>45013</v>
      </c>
      <c r="B139" s="108" t="s">
        <v>388</v>
      </c>
    </row>
    <row r="140" spans="1:2" ht="16" x14ac:dyDescent="0.2">
      <c r="A140" s="115">
        <v>45023</v>
      </c>
      <c r="B140" s="108" t="s">
        <v>395</v>
      </c>
    </row>
    <row r="141" spans="1:2" ht="16" x14ac:dyDescent="0.2">
      <c r="A141" s="115">
        <v>45041</v>
      </c>
      <c r="B141" s="108" t="s">
        <v>400</v>
      </c>
    </row>
    <row r="142" spans="1:2" ht="16" x14ac:dyDescent="0.2">
      <c r="A142" s="115">
        <v>45042</v>
      </c>
      <c r="B142" s="108" t="s">
        <v>406</v>
      </c>
    </row>
    <row r="143" spans="1:2" ht="16" x14ac:dyDescent="0.2">
      <c r="A143" s="115">
        <v>45093</v>
      </c>
      <c r="B143" s="108" t="s">
        <v>411</v>
      </c>
    </row>
    <row r="144" spans="1:2" ht="16" x14ac:dyDescent="0.2">
      <c r="A144" s="115">
        <v>45097</v>
      </c>
      <c r="B144" s="108" t="s">
        <v>410</v>
      </c>
    </row>
    <row r="145" spans="1:2" ht="16" x14ac:dyDescent="0.2">
      <c r="A145" s="115">
        <v>45162</v>
      </c>
      <c r="B145" s="108" t="s">
        <v>413</v>
      </c>
    </row>
    <row r="146" spans="1:2" ht="16" x14ac:dyDescent="0.2">
      <c r="A146" s="115">
        <v>45183</v>
      </c>
      <c r="B146" s="108" t="s">
        <v>414</v>
      </c>
    </row>
    <row r="147" spans="1:2" ht="16" x14ac:dyDescent="0.2">
      <c r="A147" s="115">
        <v>45194</v>
      </c>
      <c r="B147" s="108" t="s">
        <v>415</v>
      </c>
    </row>
    <row r="148" spans="1:2" ht="16" x14ac:dyDescent="0.2">
      <c r="A148" s="115">
        <v>45246</v>
      </c>
      <c r="B148" s="108" t="s">
        <v>416</v>
      </c>
    </row>
    <row r="149" spans="1:2" ht="16" x14ac:dyDescent="0.2">
      <c r="A149" s="115">
        <v>45302</v>
      </c>
      <c r="B149" s="108" t="s">
        <v>417</v>
      </c>
    </row>
    <row r="150" spans="1:2" ht="16" x14ac:dyDescent="0.2">
      <c r="A150" s="115">
        <v>45314</v>
      </c>
      <c r="B150" s="108" t="s">
        <v>421</v>
      </c>
    </row>
    <row r="151" spans="1:2" ht="16" x14ac:dyDescent="0.2">
      <c r="A151" s="115">
        <v>45330</v>
      </c>
      <c r="B151" s="108" t="s">
        <v>461</v>
      </c>
    </row>
    <row r="152" spans="1:2" ht="16" x14ac:dyDescent="0.2">
      <c r="A152" s="115">
        <v>45341</v>
      </c>
      <c r="B152" s="108" t="s">
        <v>463</v>
      </c>
    </row>
    <row r="153" spans="1:2" ht="16" x14ac:dyDescent="0.2">
      <c r="A153" s="115">
        <v>45356</v>
      </c>
      <c r="B153" s="108" t="s">
        <v>465</v>
      </c>
    </row>
    <row r="154" spans="1:2" ht="16" x14ac:dyDescent="0.2">
      <c r="A154" s="115">
        <v>45373</v>
      </c>
      <c r="B154" s="108" t="s">
        <v>468</v>
      </c>
    </row>
    <row r="155" spans="1:2" ht="16" x14ac:dyDescent="0.2">
      <c r="A155" s="115">
        <v>45407</v>
      </c>
      <c r="B155" s="108" t="s">
        <v>469</v>
      </c>
    </row>
    <row r="156" spans="1:2" ht="16" x14ac:dyDescent="0.2">
      <c r="A156" s="115">
        <v>45429</v>
      </c>
      <c r="B156" s="108" t="s">
        <v>470</v>
      </c>
    </row>
    <row r="157" spans="1:2" x14ac:dyDescent="0.2">
      <c r="A157" s="116" t="s">
        <v>414</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2024-10-11T20:01:56Z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