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mdaneri/Documents/"/>
    </mc:Choice>
  </mc:AlternateContent>
  <xr:revisionPtr revIDLastSave="0" documentId="8_{4D20F373-A749-B042-A65A-DA3DFC689796}" xr6:coauthVersionLast="47" xr6:coauthVersionMax="47" xr10:uidLastSave="{00000000-0000-0000-0000-000000000000}"/>
  <bookViews>
    <workbookView xWindow="106720" yWindow="2820" windowWidth="50300" windowHeight="20120" tabRatio="500" activeTab="4" xr2:uid="{00000000-000D-0000-FFFF-FFFF00000000}"/>
  </bookViews>
  <sheets>
    <sheet name="Introduction" sheetId="1" r:id="rId1"/>
    <sheet name="Credentials" sheetId="2" r:id="rId2"/>
    <sheet name="Hosts and Networks" sheetId="3" r:id="rId3"/>
    <sheet name="Deploy Parameters" sheetId="4" r:id="rId4"/>
    <sheet name="Virtual Deployment" sheetId="8" r:id="rId5"/>
    <sheet name="Lookup_Lists" sheetId="5" state="hidden" r:id="rId6"/>
    <sheet name="Config_File_Build" sheetId="6" state="hidden" r:id="rId7"/>
    <sheet name="Change Log" sheetId="7" state="hidden" r:id="rId8"/>
  </sheets>
  <externalReferences>
    <externalReference r:id="rId9"/>
    <externalReference r:id="rId10"/>
  </externalReferences>
  <definedNames>
    <definedName name="_xlnm._FilterDatabase" localSheetId="6" hidden="1">Config_File_Build!$A$80:$B$89</definedName>
    <definedName name="_xlnm._FilterDatabase" localSheetId="3" hidden="1">'Deploy Parameters'!$E$11:$G$16</definedName>
    <definedName name="Authentication" localSheetId="0">#REF!</definedName>
    <definedName name="cluster_image_path" localSheetId="4">'[2]Deploy Parameters'!#REF!</definedName>
    <definedName name="cluster_image_path">'Deploy Parameters'!#REF!</definedName>
    <definedName name="cluster_image_version" localSheetId="4">'[2]Deploy Parameters'!#REF!</definedName>
    <definedName name="cluster_image_version">'Deploy Parameters'!#REF!</definedName>
    <definedName name="Configuration_Mode" localSheetId="0">#REF!</definedName>
    <definedName name="Database_Type" localSheetId="0">#REF!</definedName>
    <definedName name="enable_vlcm_mgmt_domain">'Deploy Parameters'!$F$25</definedName>
    <definedName name="esx_host1_ip">'Hosts and Networks'!$I$7</definedName>
    <definedName name="esx_host1_name">'Hosts and Networks'!$I$6</definedName>
    <definedName name="esx_host1_ssh">'Hosts and Networks'!$J$15</definedName>
    <definedName name="esx_host1_ssl">'Hosts and Networks'!$L$15</definedName>
    <definedName name="esx_host2_ip">'Hosts and Networks'!$J$7</definedName>
    <definedName name="esx_host2_name">'Hosts and Networks'!$J$6</definedName>
    <definedName name="esx_host2_ssh">'Hosts and Networks'!$J$16</definedName>
    <definedName name="esx_host2_ssl">'Hosts and Networks'!$L$16</definedName>
    <definedName name="esx_host3_ip">'Hosts and Networks'!$K$7</definedName>
    <definedName name="esx_host3_name">'Hosts and Networks'!$K$6</definedName>
    <definedName name="esx_host3_ssh">'Hosts and Networks'!$J$17</definedName>
    <definedName name="esx_host3_ssl">'Hosts and Networks'!$L$17</definedName>
    <definedName name="esx_host4_ip">'Hosts and Networks'!$L$7</definedName>
    <definedName name="esx_host4_name">'Hosts and Networks'!$L$6</definedName>
    <definedName name="esx_host4_ssh">'Hosts and Networks'!$J$18</definedName>
    <definedName name="esx_license_std" localSheetId="4">'[2]Deploy Parameters'!$F$12</definedName>
    <definedName name="esx_license_std">'Deploy Parameters'!$F$12</definedName>
    <definedName name="esx_root_password">Credentials!$C$8</definedName>
    <definedName name="esxi_host4_ssl">'Hosts and Networks'!$L$18</definedName>
    <definedName name="EVC_Settings" localSheetId="0">[1]Lookup_Lists!$A$2:$A$20</definedName>
    <definedName name="EVC_Settings">Lookup_Lists!$A$2:$A$22</definedName>
    <definedName name="host_overlay_cidr">'Hosts and Networks'!$J$27</definedName>
    <definedName name="host_overlay_description">'Hosts and Networks'!$J$25</definedName>
    <definedName name="host_overlay_gw">'Hosts and Networks'!$L$27</definedName>
    <definedName name="host_overlay_ip_end">'Hosts and Networks'!$L$28</definedName>
    <definedName name="host_overlay_ip_start">'Hosts and Networks'!$J$28</definedName>
    <definedName name="host_overlay_poolname">'Hosts and Networks'!$J$26</definedName>
    <definedName name="host_overlay_vlan">'Hosts and Networks'!$J$22</definedName>
    <definedName name="mgmt_cidr" localSheetId="4">'[2]Hosts and Networks'!#REF!</definedName>
    <definedName name="mgmt_cidr">'Hosts and Networks'!#REF!</definedName>
    <definedName name="mgmt_gw" localSheetId="4">'[2]Hosts and Networks'!#REF!</definedName>
    <definedName name="mgmt_gw">'Hosts and Networks'!#REF!</definedName>
    <definedName name="mgmt_mtu" localSheetId="4">'[2]Hosts and Networks'!#REF!</definedName>
    <definedName name="mgmt_mtu">'Hosts and Networks'!#REF!</definedName>
    <definedName name="mgmt_portgroup" localSheetId="4">'[2]Hosts and Networks'!#REF!</definedName>
    <definedName name="mgmt_portgroup">'Hosts and Networks'!#REF!</definedName>
    <definedName name="mgmt_vlan" localSheetId="4">'[2]Hosts and Networks'!#REF!</definedName>
    <definedName name="mgmt_vlan">'Hosts and Networks'!#REF!</definedName>
    <definedName name="nsx_root_password">Credentials!$C$13</definedName>
    <definedName name="nsxt_admin_password">Credentials!$C$14</definedName>
    <definedName name="nsxt_audit_password">Credentials!$C$15</definedName>
    <definedName name="nsxt_license">'Deploy Parameters'!$F$15</definedName>
    <definedName name="_xlnm.Print_Area" localSheetId="1">Credentials!$B$1</definedName>
    <definedName name="_xlnm.Print_Area" localSheetId="3">'Deploy Parameters'!$B$1:$D$44</definedName>
    <definedName name="Print_Area_0" localSheetId="1">Credentials!$B$1:$B$1</definedName>
    <definedName name="SRM_Certificates" localSheetId="0">#REF!</definedName>
    <definedName name="SSL_Policy" localSheetId="0">#REF!</definedName>
    <definedName name="sso_admin_password">Credentials!$C$10</definedName>
    <definedName name="System_Type" localSheetId="0">#REF!</definedName>
    <definedName name="vc_license">'Deploy Parameters'!$F$14</definedName>
    <definedName name="vcenter_root_password">Credentials!$C$11</definedName>
    <definedName name="vcf_admin_password">Credentials!$C$19</definedName>
    <definedName name="vcf_license" localSheetId="4">'[2]Deploy Parameters'!#REF!</definedName>
    <definedName name="vcf_license">'Deploy Parameters'!#REF!</definedName>
    <definedName name="vcf_root_password">Credentials!$C$17</definedName>
    <definedName name="vcf_user_password">Credentials!$C$18</definedName>
    <definedName name="vds_primary_mtu">'Hosts and Networks'!$E$15</definedName>
    <definedName name="vds_primary_name" localSheetId="4">'[2]Hosts and Networks'!$E$13</definedName>
    <definedName name="vds_primary_name">'Hosts and Networks'!$E$13</definedName>
    <definedName name="vds_primary_vmnics" localSheetId="4">'[2]Hosts and Networks'!$E$14</definedName>
    <definedName name="vds_primary_vmnics">'Hosts and Networks'!$E$14</definedName>
    <definedName name="vds_secondary_mtu">'Hosts and Networks'!$E$21</definedName>
    <definedName name="vds_secondary_name" localSheetId="4">'[2]Hosts and Networks'!$E$18</definedName>
    <definedName name="vds_secondary_name">'Hosts and Networks'!$E$18</definedName>
    <definedName name="vds_secondary_vmnics" localSheetId="4">'[2]Hosts and Networks'!$E$20</definedName>
    <definedName name="vds_secondary_vmnics">'Hosts and Networks'!$E$20</definedName>
    <definedName name="vmotion_cidr">'Hosts and Networks'!$E$8</definedName>
    <definedName name="vmotion_gw">'Hosts and Networks'!$F$8</definedName>
    <definedName name="vmotion_ip_end">'Hosts and Networks'!$L$8</definedName>
    <definedName name="vmotion_ip_start">'Hosts and Networks'!$J$8</definedName>
    <definedName name="vmotion_mtu">'Hosts and Networks'!$G$8</definedName>
    <definedName name="vmotion_portgroup">'Hosts and Networks'!$D$8</definedName>
    <definedName name="vmotion_vlan">'Hosts and Networks'!$C$8</definedName>
    <definedName name="VR_Database_Type" localSheetId="0">#REF!</definedName>
    <definedName name="vsan_cidr">'Hosts and Networks'!$E$9</definedName>
    <definedName name="vsan_gw">'Hosts and Networks'!$F$9</definedName>
    <definedName name="vsan_ip_end">'Hosts and Networks'!$L$9</definedName>
    <definedName name="vsan_ip_start">'Hosts and Networks'!$J$9</definedName>
    <definedName name="vsan_license">'Deploy Parameters'!$F$13</definedName>
    <definedName name="vsan_mtu">'Hosts and Networks'!$G$8</definedName>
    <definedName name="vsan_portgroup">'Hosts and Networks'!$D$9</definedName>
    <definedName name="vsan_vlan">'Hosts and Networks'!$C$9</definedName>
    <definedName name="vvs_name" localSheetId="4">'[2]Hosts and Networks'!#REF!</definedName>
    <definedName name="vvs_name">'Hosts and Networks'!#REF!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2" i="8" l="1"/>
  <c r="E21" i="8"/>
  <c r="B38" i="4"/>
  <c r="A6" i="6"/>
  <c r="I11" i="4" l="1"/>
  <c r="A155" i="6" l="1"/>
  <c r="A31" i="6"/>
  <c r="A30" i="6"/>
  <c r="L34" i="4"/>
  <c r="H37" i="4"/>
  <c r="A48" i="6"/>
  <c r="A165" i="6" l="1"/>
  <c r="A164" i="6"/>
  <c r="A162" i="6"/>
  <c r="A161" i="6"/>
  <c r="A160" i="6"/>
  <c r="A159" i="6"/>
  <c r="A158" i="6"/>
  <c r="A157" i="6"/>
  <c r="A156" i="6"/>
  <c r="B22" i="4"/>
  <c r="A22" i="6"/>
  <c r="A89" i="6"/>
  <c r="A88" i="6"/>
  <c r="A87" i="6"/>
  <c r="A2" i="6"/>
  <c r="A24" i="6" l="1"/>
  <c r="I31" i="3" l="1"/>
  <c r="I18" i="3"/>
  <c r="I17" i="3"/>
  <c r="I15" i="3"/>
  <c r="I16" i="3"/>
  <c r="B23" i="4"/>
  <c r="E33" i="4"/>
  <c r="A41" i="6"/>
  <c r="I23" i="4"/>
  <c r="A123" i="6" l="1"/>
  <c r="A122" i="6"/>
  <c r="A121" i="6"/>
  <c r="A120" i="6"/>
  <c r="A119" i="6"/>
  <c r="A116" i="6"/>
  <c r="A115" i="6"/>
  <c r="A114" i="6"/>
  <c r="A113" i="6"/>
  <c r="A112" i="6"/>
  <c r="A109" i="6"/>
  <c r="A108" i="6"/>
  <c r="A107" i="6"/>
  <c r="A106" i="6"/>
  <c r="A105" i="6"/>
  <c r="A130" i="6"/>
  <c r="A129" i="6"/>
  <c r="A128" i="6"/>
  <c r="A127" i="6"/>
  <c r="A126" i="6"/>
  <c r="A101" i="6"/>
  <c r="A100" i="6"/>
  <c r="A40" i="6"/>
  <c r="I34" i="3"/>
  <c r="I33" i="3"/>
  <c r="A96" i="6" l="1"/>
  <c r="A95" i="6"/>
  <c r="A43" i="6" l="1"/>
  <c r="A46" i="6"/>
  <c r="A45" i="6"/>
  <c r="A44" i="6"/>
  <c r="A47" i="6"/>
  <c r="I35" i="4"/>
  <c r="A42" i="6" l="1"/>
  <c r="A59" i="6"/>
  <c r="A84" i="6"/>
  <c r="A83" i="6"/>
  <c r="I20" i="3"/>
  <c r="A3" i="6" l="1"/>
  <c r="A178" i="6"/>
  <c r="A177" i="6"/>
  <c r="A176" i="6"/>
  <c r="A175" i="6"/>
  <c r="A174" i="6"/>
  <c r="A173" i="6"/>
  <c r="A172" i="6"/>
  <c r="A168" i="6"/>
  <c r="A167" i="6"/>
  <c r="A151" i="6"/>
  <c r="A150" i="6"/>
  <c r="A149" i="6"/>
  <c r="A147" i="6"/>
  <c r="A145" i="6"/>
  <c r="A141" i="6"/>
  <c r="A140" i="6"/>
  <c r="A139" i="6"/>
  <c r="A136" i="6"/>
  <c r="A135" i="6"/>
  <c r="A134" i="6"/>
  <c r="A133" i="6"/>
  <c r="A102" i="6"/>
  <c r="A99" i="6"/>
  <c r="A98" i="6"/>
  <c r="A97" i="6"/>
  <c r="A94" i="6"/>
  <c r="A93" i="6"/>
  <c r="A92" i="6"/>
  <c r="A86" i="6"/>
  <c r="A82" i="6"/>
  <c r="A81" i="6"/>
  <c r="A78" i="6"/>
  <c r="A77" i="6"/>
  <c r="A76" i="6"/>
  <c r="A75" i="6"/>
  <c r="A73" i="6"/>
  <c r="A72" i="6"/>
  <c r="A71" i="6"/>
  <c r="A70" i="6"/>
  <c r="A68" i="6"/>
  <c r="A66" i="6"/>
  <c r="A65" i="6"/>
  <c r="A64" i="6"/>
  <c r="A63" i="6"/>
  <c r="A62" i="6"/>
  <c r="A61" i="6"/>
  <c r="A60" i="6"/>
  <c r="A57" i="6"/>
  <c r="A56" i="6"/>
  <c r="A54" i="6"/>
  <c r="A52" i="6"/>
  <c r="A39" i="6"/>
  <c r="A38" i="6"/>
  <c r="A35" i="6"/>
  <c r="A33" i="6"/>
  <c r="A32" i="6"/>
  <c r="A29" i="6"/>
  <c r="A28" i="6"/>
  <c r="A25" i="6"/>
  <c r="A23" i="6"/>
  <c r="A21" i="6"/>
  <c r="A20" i="6"/>
  <c r="A19" i="6"/>
  <c r="A16" i="6"/>
  <c r="A15" i="6"/>
  <c r="A14" i="6"/>
  <c r="A13" i="6"/>
  <c r="A11" i="6"/>
  <c r="A10" i="6"/>
  <c r="A5" i="6"/>
  <c r="A4" i="6"/>
  <c r="C5" i="5"/>
  <c r="C3" i="5"/>
  <c r="C2" i="5"/>
  <c r="B46" i="4"/>
  <c r="B24" i="4"/>
  <c r="B21" i="4"/>
  <c r="B20" i="4"/>
  <c r="B19" i="4"/>
  <c r="B12" i="4"/>
  <c r="B7" i="4"/>
  <c r="B6" i="4"/>
  <c r="B24" i="3" l="1"/>
</calcChain>
</file>

<file path=xl/sharedStrings.xml><?xml version="1.0" encoding="utf-8"?>
<sst xmlns="http://schemas.openxmlformats.org/spreadsheetml/2006/main" count="649" uniqueCount="545">
  <si>
    <t>About</t>
  </si>
  <si>
    <t>Worksheet Descriptions</t>
  </si>
  <si>
    <t>Infrastructure Information</t>
  </si>
  <si>
    <t>Instructions:  Use the Users tab to input the default passwords used for built-in accounts for each component, these will be used to implement the Management Domain. - Grey cells are for information purposes and cannot be modified. - Red cells mean the input data is either missing and required or some type of validation of the input data has failed. Password Policy: Each password has its own password policy typically a minimum number of characters in length and at least one uppercase, lowercase, number and special character (must be of the following @!#$%?^).</t>
  </si>
  <si>
    <t>Users</t>
  </si>
  <si>
    <t>Username</t>
  </si>
  <si>
    <t>Default Password</t>
  </si>
  <si>
    <t>Description</t>
  </si>
  <si>
    <t>ESXi</t>
  </si>
  <si>
    <t>root</t>
  </si>
  <si>
    <t>ESXi Host Root Account (Same for all ESXi hosts)</t>
  </si>
  <si>
    <t>vCenter Server</t>
  </si>
  <si>
    <t>administrator@vsphere.local</t>
  </si>
  <si>
    <t>admin</t>
  </si>
  <si>
    <t>audit</t>
  </si>
  <si>
    <t>SDDC Manager</t>
  </si>
  <si>
    <t>vcf</t>
  </si>
  <si>
    <t>admin@local</t>
  </si>
  <si>
    <t>SDDC Manager Local Account</t>
  </si>
  <si>
    <r>
      <rPr>
        <b/>
        <sz val="10.5"/>
        <rFont val="Metropolis"/>
        <charset val="1"/>
      </rPr>
      <t>Instructions:</t>
    </r>
    <r>
      <rPr>
        <sz val="10.5"/>
        <rFont val="Metropolis"/>
        <charset val="1"/>
      </rPr>
      <t xml:space="preserve"> Use the </t>
    </r>
    <r>
      <rPr>
        <i/>
        <sz val="10.5"/>
        <rFont val="Metropolis"/>
        <charset val="1"/>
      </rPr>
      <t>Hosts and Networks</t>
    </r>
    <r>
      <rPr>
        <sz val="10.5"/>
        <rFont val="Metropolis"/>
        <charset val="1"/>
      </rPr>
      <t xml:space="preserve"> tab to input network details, hostname and IPs for the ESXi hosts to be used to implement the Management Domain.
- Grey cells are for information purposes and cannot be modified.
- </t>
    </r>
    <r>
      <rPr>
        <b/>
        <sz val="10.5"/>
        <color rgb="FFFF0000"/>
        <rFont val="Metropolis"/>
        <charset val="1"/>
      </rPr>
      <t xml:space="preserve">Red cells mean the input data is either missing and mandatory or some type of validation of the input data has failed.
</t>
    </r>
    <r>
      <rPr>
        <sz val="10.5"/>
        <rFont val="Metropolis"/>
        <charset val="1"/>
      </rPr>
      <t>- Yellow cells indicate input data, default values are included to help illustrate the formatting to be used and align to the VMware documentation</t>
    </r>
    <r>
      <rPr>
        <b/>
        <sz val="10.5"/>
        <rFont val="Metropolis"/>
        <charset val="1"/>
      </rPr>
      <t>.</t>
    </r>
    <r>
      <rPr>
        <sz val="10.5"/>
        <rFont val="Metropolis"/>
        <charset val="1"/>
      </rPr>
      <t xml:space="preserve"> </t>
    </r>
    <r>
      <rPr>
        <b/>
        <sz val="10.5"/>
        <color rgb="FFFF0000"/>
        <rFont val="Metropolis"/>
        <charset val="1"/>
      </rPr>
      <t>If a value is not required enter 'n/a', if it turns red then its mandatory.</t>
    </r>
  </si>
  <si>
    <t>Management Domain Networks</t>
  </si>
  <si>
    <t>Management Domain ESXi Hosts</t>
  </si>
  <si>
    <t>Network Type</t>
  </si>
  <si>
    <t>VLAN #</t>
  </si>
  <si>
    <t>CIDR Notation</t>
  </si>
  <si>
    <t>Gateway</t>
  </si>
  <si>
    <t>MTU</t>
  </si>
  <si>
    <t>Management Network</t>
  </si>
  <si>
    <t>vMotion Network</t>
  </si>
  <si>
    <t>vMotion Start IP</t>
  </si>
  <si>
    <t>vMotion End IP</t>
  </si>
  <si>
    <t>vSAN Network</t>
  </si>
  <si>
    <t>vSAN Start IP</t>
  </si>
  <si>
    <t>vSAN End IP</t>
  </si>
  <si>
    <t>Value</t>
  </si>
  <si>
    <t>Security Thumbprints</t>
  </si>
  <si>
    <t xml:space="preserve"> Validate Thumbprints</t>
  </si>
  <si>
    <t>Yes</t>
  </si>
  <si>
    <t>ESXi Hosts</t>
  </si>
  <si>
    <t>SSH RSA Key Fingerprints (SHA256)</t>
  </si>
  <si>
    <t>SSL Thumbprints (SHA256)</t>
  </si>
  <si>
    <t>Primary vSphere Distributed Switch</t>
  </si>
  <si>
    <t>Example Input</t>
  </si>
  <si>
    <t>SHA256:RBA2O5XImupEfJSaoBcYYzc0aR9gWjlkY8VqptIub9w</t>
  </si>
  <si>
    <t>Primary vSphere Distributed Switch - pNICs</t>
  </si>
  <si>
    <t>vmnic0,vmnic1</t>
  </si>
  <si>
    <t>Primary vSphere Distributed Switch - MTU Size</t>
  </si>
  <si>
    <t>Secondary vSphere Distributed Switch (Optional)</t>
  </si>
  <si>
    <t>n/a</t>
  </si>
  <si>
    <t>Secondary vSphere Distributed Switch - pNICs</t>
  </si>
  <si>
    <t>vmnic2,vmnic3</t>
  </si>
  <si>
    <t>VLAN ID</t>
  </si>
  <si>
    <t>Secondary vSphere Distributed Switch - MTU Size</t>
  </si>
  <si>
    <t>No</t>
  </si>
  <si>
    <t>vSphere Distributed Switch Profile</t>
  </si>
  <si>
    <t>Profile-1</t>
  </si>
  <si>
    <t>Pool Description</t>
  </si>
  <si>
    <t>ESXi Host Overlay TEP IP Pool</t>
  </si>
  <si>
    <t>Pool Name</t>
  </si>
  <si>
    <t>sfo01-m01-cl01-tep01</t>
  </si>
  <si>
    <t>Existing Infrastructure Details</t>
  </si>
  <si>
    <t>Infrastructure</t>
  </si>
  <si>
    <t>DNS Zone</t>
  </si>
  <si>
    <t>DNS Server and DNS Zone Defined</t>
  </si>
  <si>
    <t xml:space="preserve">DNS Server #1 </t>
  </si>
  <si>
    <t>DNS Zone Name</t>
  </si>
  <si>
    <t>NTP Servers</t>
  </si>
  <si>
    <t>DNS Server #2</t>
  </si>
  <si>
    <t>NTP Server #1</t>
  </si>
  <si>
    <t>Enable Customer Experience Improvement Program (“CEIP”)</t>
  </si>
  <si>
    <t>NTP Server #2</t>
  </si>
  <si>
    <t>Enable FIPS Security Mode on SDDC Manager</t>
  </si>
  <si>
    <t>License Keys</t>
  </si>
  <si>
    <t>ESXi License Key Defined</t>
  </si>
  <si>
    <t>vSAN</t>
  </si>
  <si>
    <t>vSphere Infrastructure</t>
  </si>
  <si>
    <t>Hostname</t>
  </si>
  <si>
    <t>IP Address</t>
  </si>
  <si>
    <t>vSphere Datastore</t>
  </si>
  <si>
    <t>Default Password for ESXi Hosts Defined</t>
  </si>
  <si>
    <t>vCenter Server Hostname and IP Address</t>
  </si>
  <si>
    <t>vCenter Server Appliance Size (Default Small)</t>
  </si>
  <si>
    <t>small</t>
  </si>
  <si>
    <t>Enable vSAN Deduplication and Compression</t>
  </si>
  <si>
    <t>vCenter Server - Hostname and Static IP Defined</t>
  </si>
  <si>
    <t>vCenter Server Appliance Storage Size</t>
  </si>
  <si>
    <t>default</t>
  </si>
  <si>
    <t>vCenter Datacenter and Cluster Defined</t>
  </si>
  <si>
    <t>vSphere Resource Pools Defined</t>
  </si>
  <si>
    <t>vCenter Datacenter and Cluster</t>
  </si>
  <si>
    <t>Virtual Networking Defined</t>
  </si>
  <si>
    <t>vSphere Datastores Defined</t>
  </si>
  <si>
    <t>Cluster EVC Setting</t>
  </si>
  <si>
    <t>Select the VCF Architecture to be deployed:</t>
  </si>
  <si>
    <t>vSphere Resource Pools</t>
  </si>
  <si>
    <t>sfo-m01-nsx01a</t>
  </si>
  <si>
    <t>SDDC Manager - Hostnames and Static IP Defined</t>
  </si>
  <si>
    <t>SDDC Manager Hostname</t>
  </si>
  <si>
    <t>SDDC Manager IP Address</t>
  </si>
  <si>
    <t>Network Pool Name</t>
  </si>
  <si>
    <t>EVC_Settings</t>
  </si>
  <si>
    <t>vds_Profiles</t>
  </si>
  <si>
    <t>intel-merom</t>
  </si>
  <si>
    <t>intel-penryn</t>
  </si>
  <si>
    <t>vSphere Distributed Switch = Two (2)          /          Physical NICs = Four (4)
Primary vDS - sfo-m01-cl01-vds01
     - Traffic for Management,  vMotion - e.g. vmnic0,vmnic1
Secondary vDS - n/a
     - Traffic for vSAN, Host Overlay - e.g. vmnic2,vmnic3</t>
  </si>
  <si>
    <t>intel-nehalem</t>
  </si>
  <si>
    <t>intel-westmere</t>
  </si>
  <si>
    <t>intel-sandybridge</t>
  </si>
  <si>
    <t>intel-ivybridge</t>
  </si>
  <si>
    <t>intel-haswell</t>
  </si>
  <si>
    <t>intel-broadwell</t>
  </si>
  <si>
    <t>intel-skylake</t>
  </si>
  <si>
    <t>intel-cascadelake</t>
  </si>
  <si>
    <t>intel-icelake</t>
  </si>
  <si>
    <t>amd-rev-e</t>
  </si>
  <si>
    <t>amd-rev-f</t>
  </si>
  <si>
    <t>amd-greyhound-no3dnow</t>
  </si>
  <si>
    <t>amd-greyhound</t>
  </si>
  <si>
    <t>amd-bulldozer</t>
  </si>
  <si>
    <t>amd-piledriver</t>
  </si>
  <si>
    <t>amd-steamroller</t>
  </si>
  <si>
    <t>amd-zen</t>
  </si>
  <si>
    <t>amd-zen2</t>
  </si>
  <si>
    <t># *******************      V C F - E M S  -  M a n a g e m e n t   W o r k l o a d   D o m a i n       *******************</t>
  </si>
  <si>
    <t>"ceipEnabled"</t>
  </si>
  <si>
    <t>"fipsEnabled"</t>
  </si>
  <si>
    <t>"workflowVersion"</t>
  </si>
  <si>
    <t># ******************* E X T E R N A L    I N F R A S T R U C T U R E    C O M P O N E N T S *******************</t>
  </si>
  <si>
    <t># NTP Servers (IP or FQDN supported)</t>
  </si>
  <si>
    <t>"ntpSpec" &gt; "ntpServers"</t>
  </si>
  <si>
    <t># DNS Services and Zone Name</t>
  </si>
  <si>
    <t>"dnsSpec" &gt; "domain"</t>
  </si>
  <si>
    <t>"dnsSpec" &gt; "nameserver"</t>
  </si>
  <si>
    <t>"dnsSpec" &gt; "subdomain"</t>
  </si>
  <si>
    <t>"dnsSpec" &gt; "secondaryNameserver"</t>
  </si>
  <si>
    <t># ******************* S D D C    M A N A G E R  *******************</t>
  </si>
  <si>
    <t>"sddcManagerSpec" &gt; "rootUserCredentials" &gt; "password"</t>
  </si>
  <si>
    <t>"sddcManagerSpec" &gt; "secondUserCredentials" &gt; "password"</t>
  </si>
  <si>
    <t xml:space="preserve">"sddcManagerSpec" &gt; "localUserPassword </t>
  </si>
  <si>
    <t>"sddcManagerSpec" &gt; "ipAddress"</t>
  </si>
  <si>
    <t>"sddcManagerSpec" &gt; "hostname"</t>
  </si>
  <si>
    <t>"managementPoolName"</t>
  </si>
  <si>
    <t># ******************* V C E N T E R  S E R V E R  *******************</t>
  </si>
  <si>
    <t>"vCenterSpecs" &gt; "licenseFile"</t>
  </si>
  <si>
    <t>"vCenterSpecs" &gt; "rootVcenterPassword"</t>
  </si>
  <si>
    <t>"vCenterSpecs" &gt; "vcenterIP"</t>
  </si>
  <si>
    <t>"vCenterSpecs" &gt; "vcenterHostname"</t>
  </si>
  <si>
    <t>"vCenterSpecs" &gt; "vmSize"</t>
  </si>
  <si>
    <t xml:space="preserve"># vSphere Single Sign-On </t>
  </si>
  <si>
    <t>"pscSpecs" &gt; "adminUserSsoPassword"</t>
  </si>
  <si>
    <t># ******************* V S A N *******************</t>
  </si>
  <si>
    <t>"vsanSpecs" &gt; "licenseFile"</t>
  </si>
  <si>
    <t>"vsanSpecs" &gt; "datastoreName"</t>
  </si>
  <si>
    <t>"vsanSpecs" &gt; "vsanDedup"</t>
  </si>
  <si>
    <t># ******************* E S X I  H O S T S *******************</t>
  </si>
  <si>
    <t># This subscription license is used for ESX, VC, VSAN, NSX, SDDC Manager when supplied</t>
  </si>
  <si>
    <t># ESXi Host License Key</t>
  </si>
  <si>
    <t>"esxLicense"</t>
  </si>
  <si>
    <t># Default credentials for all ESXi servers, all installations must have the same user name and password.</t>
  </si>
  <si>
    <t>"esxiHostSpecs" &gt; "esxiCredentials" &gt; "userName"</t>
  </si>
  <si>
    <t>"esxiHostSpecs" &gt; "esxiCredentials" &gt; "password"</t>
  </si>
  <si>
    <t># Hosts needed for the management cluster, this is where we deploy all the solutions. Up to 8 hosts, 2 is the minimum.</t>
  </si>
  <si>
    <t>"esxiHostSpecs" &gt; "ipAddressPrivate" &gt; "ipAddress"</t>
  </si>
  <si>
    <t>"esxiHostSpecs" &gt; "esxiHostname"</t>
  </si>
  <si>
    <t># ESXi Security Thumbprints</t>
  </si>
  <si>
    <t>"skipEsxThumbprintValidation"</t>
  </si>
  <si>
    <t># SSH Thumbprints</t>
  </si>
  <si>
    <t># SSL Thumbprints</t>
  </si>
  <si>
    <t># ******************* D A T A C E N T E R   /   C L U S T E R  *******************</t>
  </si>
  <si>
    <t xml:space="preserve">"esxiHostSpecs" &gt; "association"  |  "networkSpecs" &gt; "association" </t>
  </si>
  <si>
    <t>"clusterSpecs" &gt; "clusterId</t>
  </si>
  <si>
    <t>"clusterSpecs" &gt; "clusterEvcMode"</t>
  </si>
  <si>
    <t># vSphere Resource Pools</t>
  </si>
  <si>
    <t>"clusterSpecs" &gt; "resourcePoolSpecs" &gt; "name"</t>
  </si>
  <si>
    <t># ******************* D I S T R I B U T E D  S W I T C H E S  *******************</t>
  </si>
  <si>
    <t>"dvsSpecs" &gt; "dvsId"</t>
  </si>
  <si>
    <t>"dvsSpecs" &gt; "vmnics"</t>
  </si>
  <si>
    <t>"dvsSpecs" &gt; "mtu"</t>
  </si>
  <si>
    <t># Management Network - Management Domain - "networkType": "MANAGEMENT"</t>
  </si>
  <si>
    <t>"networkSpecs" &gt; "subnet" | "esxiHostSpecs" &gt; "ipAddressPrivate" &gt; "cidr"</t>
  </si>
  <si>
    <t>"networkSpecs" &gt; "gateway" | "esxiHostSpecs" &gt; "ipAddressPrivate" &gt; "gateway"</t>
  </si>
  <si>
    <t>"networkSpecs" &gt; "VLANId"</t>
  </si>
  <si>
    <t>"networkSpecs" &gt; "mtu"</t>
  </si>
  <si>
    <t>"networkSpecs" &gt; "portGroupKey"</t>
  </si>
  <si>
    <t># Management Network - Management Domain - "networkType": "VSAN"</t>
  </si>
  <si>
    <t># Management Network - Management Domain - "networkType": "VMOTION"</t>
  </si>
  <si>
    <t># Network IP Inclusion Ranges</t>
  </si>
  <si>
    <t>"networkSpecs" &gt; "includeIpAddressRanges"</t>
  </si>
  <si>
    <t># Folder Names Mgmt Cluster - Automatically formulated in XLS using sso-site-name@value= + static values</t>
  </si>
  <si>
    <t>"clusterSpecs" &gt; "vmFolders" &gt; "MANAGEMENT"</t>
  </si>
  <si>
    <t>"clusterSpecs" &gt; "vmFolders" &gt; "NETWORKING"</t>
  </si>
  <si>
    <t>"clusterSpecs" &gt; "vmFolders" &gt; "EDGENODES"</t>
  </si>
  <si>
    <t># *******************  N S X - T   *******************</t>
  </si>
  <si>
    <t># NSX-T License Key</t>
  </si>
  <si>
    <t>"nsxtSpec" &gt; "nsxtLicense"</t>
  </si>
  <si>
    <t>"nsxtSpec" &gt; "nsxtManagerSize"</t>
  </si>
  <si>
    <t># NSX-T Credentials</t>
  </si>
  <si>
    <t>"nsxtSpec" &gt; "rootNsxtManagerPassword"</t>
  </si>
  <si>
    <t>"nsxtSpec" &gt; "nsxtAdminPassword"</t>
  </si>
  <si>
    <t>"nsxtSpec" &gt; "nsxtAuditPassword"</t>
  </si>
  <si>
    <t>nsxt-enable-rootLogin=true</t>
  </si>
  <si>
    <t>"nsxtSpec" &gt; "rootLoginEnabledForNsxtManager"</t>
  </si>
  <si>
    <t>nsxt-enable-ssh=true</t>
  </si>
  <si>
    <t>"nsxtSpec" &gt; "sshEnabledForNsxtManager"</t>
  </si>
  <si>
    <t># NSX-T Hostnames and IP Addresses</t>
  </si>
  <si>
    <t>"nsxtSpec" &gt; "vipFqdn"</t>
  </si>
  <si>
    <t>"nsxtSpec" &gt; "vip"</t>
  </si>
  <si>
    <t>"nsxtSpec" &gt; "nsxtManagers"</t>
  </si>
  <si>
    <t># NSX-T Transport Zone</t>
  </si>
  <si>
    <t>"nsxtSpec" &gt; "vlanTransportZones" &gt; "zoneName"</t>
  </si>
  <si>
    <t>nsxt-transport-vlan-networkName=netName-vlan</t>
  </si>
  <si>
    <t>"nsxtSpec" &gt; "vlanTransportZones" &gt; "networkName"</t>
  </si>
  <si>
    <t>"nsxtSpec" &gt; "transportVlanId"</t>
  </si>
  <si>
    <t>"nsxtSpec" &gt; "overLayTransportZones" &gt; "zoneName"</t>
  </si>
  <si>
    <t>nsxt-transport-overlay-networkName=netName-overlay</t>
  </si>
  <si>
    <t>"nsxtSpec" &gt; "overLayTransportZones" &gt; "networkName"</t>
  </si>
  <si>
    <t># NSX-T ESXi Host TEP Static IP Pool</t>
  </si>
  <si>
    <t>"nsxtSpec" &gt; "ipAddressPoolSpec" &gt; "name"</t>
  </si>
  <si>
    <t>"nsxtSpec" &gt; "ipAddressPoolSpec" &gt; "description"</t>
  </si>
  <si>
    <t>"nsxtSpec" &gt; "ipAddressPoolSpec" &gt; "subnets" &gt; "ipAddressPoolRanges" &gt; "start"</t>
  </si>
  <si>
    <t>"nsxtSpec" &gt; "ipAddressPoolSpec" &gt; "subnets" &gt; "ipAddressPoolRanges" &gt; "end"</t>
  </si>
  <si>
    <t>"nsxtSpec" &gt; "ipAddressPoolSpec" &gt; "subnets" &gt; "cidr"</t>
  </si>
  <si>
    <t>"nsxtSpec" &gt; "ipAddressPoolSpec" &gt; "subnets" &gt; "gateway"</t>
  </si>
  <si>
    <t># Out of Band Management</t>
  </si>
  <si>
    <t>mgmtOobNetwork.cidrNotation=</t>
  </si>
  <si>
    <t>mgmtOobNetwork.gateway=</t>
  </si>
  <si>
    <t>mgmtOobNetwork.mtu=</t>
  </si>
  <si>
    <t>mgmtOobNetwork.vlanId=</t>
  </si>
  <si>
    <t>mgmtOobNetwork.pgName=</t>
  </si>
  <si>
    <t># *******************  E N D   O F   F I L E  *******************</t>
  </si>
  <si>
    <t>Date</t>
  </si>
  <si>
    <t>Removed the following tabs and equivelant key / value pairs
  - vRA Configuration
  - Post-Deployment Checklist
  - CertConfig
Prerequisite Checklist Tab removed:
 - Removed Signed Certificates items
 - Removed Cloud Management Layer items
 - Removed Business Continiuty Layer tems
Management Workloads Tab removed:
 - Removed Compute vCenter and NSX VMs
 - All NSX Edge related VMs
 - All vRealize Suite related VMs and equivelant key / value pairs for licenses
 - All Business Continuity related VM and equivelant key / value pairs for licenses
 - Virtual Infrastructure Workload Domain related VMs
Hosts and Networks Tab removed:
 - Shared Edge &amp; Compute Hosts and equivelant key / value pairs
 - Removed Networking Diagram
Deployment Paramaters Tab:
 - Removed all vRealize Suite Sections and equivelant key / value pairs
 - Removed SRM and vSphere Replication Section and equivelant key / value pairs
 - Removed Signed Certs Section and equivelant key / value pairs</t>
  </si>
  <si>
    <t>Updated the 'workflowName' in config to workflowconfig/workflowspec-ems.json for "workflowName.mgmt=
Prerequisite Checklist Tab
 - Removed DNS items for vRealize Suite &amp; SRM/vR
 - Removed Active Directory items
Users and Groups Tab
 - Removed all AD Groups and equivelant key / value pairs
 - Removes svc-nsx and svc-domain-join AD Service accounts and equivelant key / value pairs
Deployment Paramters Tab:
 - Removed all Compute Cluster data and equivelant key / value pairs
 - Removed all NSX Config post NSX Manager and Controller including equivelant key / vlaue pairs
 - Removed all Compute vCenter Objects and equivelant key / value pairs</t>
  </si>
  <si>
    <t>Added VLAN and MTU for VTEP Network
Added property for automationUserSsoPassword</t>
  </si>
  <si>
    <t>Renamed  'workflowName.mgmt' to 'workflowName.vcf-ems'
Added Inclusion Ranges for vSAN and vMotion:
  - exclusion-range-start-vmotion=
  - exclusion-range-end-vmotion=
  - exclusion-range-start-vsan=
  - exclusion-range-end-vsan=</t>
  </si>
  <si>
    <t>Added basic vRLI Config for 3 node cluster
Switch IP Ranges to Inclusion from Exclusion</t>
  </si>
  <si>
    <t>Added vRLI elements:
 - License Key
 - Admin and Root Users
 - Archive Location
 - Admin Email</t>
  </si>
  <si>
    <t>Removed:
   - SMTP Server Settings
   - Active Directory Details
   - Platform Services Controller Load Balancer
   - VVD Special Settings</t>
  </si>
  <si>
    <t>Added back:
   - ldapADIdentitySource.domainName=vsphere.local
   - ldapADIdentitySource.subDomainPrefix=vrack.vsphere.local</t>
  </si>
  <si>
    <t>Fixed forumla for root password of vRLI</t>
  </si>
  <si>
    <t>Added Additonal IP Ranges and IP Inclusions:
   - inclusion-range-start-vmotion01=
   - inclusion-range-end-vmotion01=
   - inclusion-range-start-vmotion02=
   - inclusion-range-end-vmotion02=
   - inclusion-ips-vmotion=
   - inclusion-range-start-vsan01=
   - inclusion-range-end-vsan01=
   - inclusion-range-start-vsan02=
   - inclusion-range-end-vsan02=
   - inclusion-ips-vsan=
Updated values for SSOAutomation user:
   - sddc-manager-automation-sso.username=
   - sddc-manager-automation-sso.password=</t>
  </si>
  <si>
    <t>Added NSX Segment IDs
    - mgmt-nsx-segment-id-range@rangeStart=
    - mgmt-nsx-segment-id-range@rangeEnd=</t>
  </si>
  <si>
    <t>Removed NSX Privelage User from Inputs
    - "nsx-admin-privilege-password@value="</t>
  </si>
  <si>
    <t>Removed the vTEP Pool Settings for entry but left the key/value pairs to ensure blank values in the JSON file</t>
  </si>
  <si>
    <t>Removed License Keys
Removed External Storage Values
Removed External Storage from Prereqs Tab</t>
  </si>
  <si>
    <t>Updated all names and IP Addresses to match VVD Region A values as per PR: https://bugzilla.eng.vmware.com/show_bug.cgi?id=2164082
Remove NSX FTP properties
Locked tabs so only inputs can be altered
Set portgroups so they can not be altered</t>
  </si>
  <si>
    <t>Addressed PR 2167479 - Adjusted formula for to make management portgroup update based on Deployment Paramters Cel J18
Addressed PR 2169188 - Set vmk to only having vmk0 available 
Addressed PR 2169396 - Removed vRLI Admin Email</t>
  </si>
  <si>
    <t>Addressed PR 2175805 - Updated Primary DNS Server to be mandatory - Turns read if Blank or n/a
Addressed PR 2175809 - Updated Primary and Secondary Domains to be mandatory - Turns red if blank or n/a
Added mandatory entry for VSAN Datastore - Turns red if blank or n/a</t>
  </si>
  <si>
    <t>Addressed PR 2177007 - Removed conditional format off cell where license keys are not mandatory (vSAN, vCenter, NSX and vRLI)</t>
  </si>
  <si>
    <t>Added SDDC Manager License Key:
    - sddc-manager-license@key=</t>
  </si>
  <si>
    <t>Addressed PR 2165982 Added Resource Pool Values</t>
  </si>
  <si>
    <t>Added 4th resource Pool as per PR 2075390
Added NSX Controller Root Password</t>
  </si>
  <si>
    <t>Renamed `vSphere/vcloud suite` to `ESXi` as per PR 2202723</t>
  </si>
  <si>
    <t xml:space="preserve">Addressed PR 2205327 Add comments to each password in Users and Groups tab defininig the requirements
Addressed PR 2205311 Added the ability to select the size of vCenter and vRLI nodes - Auto calculate the CPU/Memory/Disk sizes in Management Workloads
Addressed PR 2206267 Added ESXi thumbprint details to Hosts and Networks tab </t>
  </si>
  <si>
    <t>Adjusted the layout of the SSL/SSH Thumbprint inputs cells</t>
  </si>
  <si>
    <t>Addressed PR 2209673 Updated vmnic validation list to support a total of 10 vmnics (vmnic0 - vmnic9)
Addressed PR 2209906 Moved the ESXi Root credentials to the Users and Groups Tab
Addressed PR 2209857 Adjusted XLS Input for ESXi Password to between 8 and 40 characters and updated the validation inputs</t>
  </si>
  <si>
    <t>Addressed PR 2212623 Adjusted Child zone to not turn red when n/a is entered
Addressed PR 2212530 Removed the complexity requirement prompt and validation
Addressed PR 2212535 Adjusted the conditioning formula for DNS/NTP Duplicates
Addressed PR 2212557 Added a conditional format to vRLI Nodes for Management vLAN</t>
  </si>
  <si>
    <t>Remove IP input validation for NTP servers as both IP and FQDN are options for input</t>
  </si>
  <si>
    <t>Addressed PR 2214908 Updated versions of software in Management Workloads tab</t>
  </si>
  <si>
    <t>Addressed PR 2217703 Added Copyright information to first worksheet</t>
  </si>
  <si>
    <t>Addressed PR 2224169 Renamed NSX Controller user in XLS to Admin and not Root</t>
  </si>
  <si>
    <t>Addressed PR 2225560 Remove xsmall option for vRLI size from XLS
Addressed Part of PR 2223367 by adding Tool Tips to Cells</t>
  </si>
  <si>
    <t>Taken general feedback from Field Teams and PM and made the following adjustments to the XLS:
User and Groups
   - Set automation cell grey and locked it as this should be configurable
Hosts and Networks
   - Made grey cellls for vSAN and vMotion networks white so they don't look like inputs
   - Added duplicate conditional formatting for ESXi hostname and IP Address</t>
  </si>
  <si>
    <t>Address PR 2227198 Removed Child DNS Zone value</t>
  </si>
  <si>
    <t>Addressed PR 2228197 - Add configurable setting for vDS MTU Size</t>
  </si>
  <si>
    <t>Addressed PR 2213320 - Added NSX Manager CLI Privileged User Account</t>
  </si>
  <si>
    <t>Added additional cell formatting:
    - Added duplicate check for SDDC Manager and vRLI Ips
    - Added subnet check for SDDC Manager
    - Added duplicate hostname check in Deployment Prameters XLS</t>
  </si>
  <si>
    <t>Addressed PR 2232938 - Add validation to NSX Manager CLI Privileged Password and Re-arrange NSX Manager entries</t>
  </si>
  <si>
    <t>Addressed PR 2239044 - Fix for CLI Privileged Password</t>
  </si>
  <si>
    <t>Simplified the IP Inclusion Range input details, most use cases only require the single range and this is confusing customers</t>
  </si>
  <si>
    <t>Added Remote Spec details to allow a deployment to join an existing SSO Domain if it’s a second site</t>
  </si>
  <si>
    <t>Addressed PR 2251009 - Gateway key/value pair was missing</t>
  </si>
  <si>
    <t>Removed Checkbox for EVC Mode as this option is not exposed for VCF currently
Added New Tab - Stretched Cluster Host Routes based on request from PM</t>
  </si>
  <si>
    <t>Addressed PR 2251713 - Added EVC setting to deployment parameters tab</t>
  </si>
  <si>
    <t>Addrssed PR 2262205 - Added CEIP setting
Addressed PR 2259315 - Added Formula check for IP address entry and set cells to text
Addressed PR 2212542 - Added conditional format to check for three octets</t>
  </si>
  <si>
    <t>Addressed PR 2269561 - Cell was locked and not editable for SSO Domain Join</t>
  </si>
  <si>
    <t>Addressed PR 2270560 -  Add a field for subscription license in XLS</t>
  </si>
  <si>
    <t>Addressed PR 2091769 - Enable vSwitch value to be configurable</t>
  </si>
  <si>
    <t>Removed Remote Site Details for PSC pending Password Rotaton issue resolution
Addressed PR 2279664 - Updated NSX Version from 6.4.3 to 6.4.4</t>
  </si>
  <si>
    <t>Removed Subscription License for VCF 3.7 Release)</t>
  </si>
  <si>
    <t>Added input validation for segment IDs, valid input between 5000 and 16777215</t>
  </si>
  <si>
    <t>Addressed spelling error on Prerequisite Checklist Tab under Physical Hardware</t>
  </si>
  <si>
    <t>Addressed PR 2298259, removed Yes/No Toggle for vCenter Server CEIP which does not toggle CEIP but advanced settings</t>
  </si>
  <si>
    <t>Addressed PR 2302896, Added multicast range addresses</t>
  </si>
  <si>
    <t>Addressed PR 2317410 - Added VMware Cloud Foundation version number first worksheet and created new key/value pair
Addressed PR 2318346 - Check MTU input is greater than 1500</t>
  </si>
  <si>
    <t>Addressed PR 2323795 - Removed employee name from stretched cluster worksheet</t>
  </si>
  <si>
    <t>Addressed PR 2354042 - Updated vCenter/PSC, NSX and vRealize Log Insight versions</t>
  </si>
  <si>
    <t>Addeded toggle feature forenabling CEIP across vCenter, VSAN, NSX and vRealize Log Insight</t>
  </si>
  <si>
    <t>Addressed PR 2359629 - Fixed formula error for input validation of root password</t>
  </si>
  <si>
    <t>Addressed PR 2360622 - Unlock Status and Comments columns in Prerequisite Checklist tab
Addressed PR 2360199 - Allow both IP and FQDN as inputs for NTP Servers</t>
  </si>
  <si>
    <t>Updated the VCF Version details to 3.8.0</t>
  </si>
  <si>
    <t>Added Advanced NSX Networking Settings to support Application Virtual Networks
Added NSX Advanced versus Enterprise Deployment Toggle</t>
  </si>
  <si>
    <t>Updated the VCF Version details to 3.9.0</t>
  </si>
  <si>
    <t>Addressed PR 2399375 - Updated the input message for NSX Password Policies</t>
  </si>
  <si>
    <t>Updated XLS for Iowa1 Release</t>
  </si>
  <si>
    <t>Addressed PR 2193648 - Updated 'vRealize Log Insight Node Load Balancer' to 'vRealize Log Insight Load Balancer'</t>
  </si>
  <si>
    <t>Added toggle feature for Embedded PSC</t>
  </si>
  <si>
    <t>Adjusted the layout of EVC Mode selection to make it more obvious to the customer</t>
  </si>
  <si>
    <t xml:space="preserve">Created Jefferson1 Release </t>
  </si>
  <si>
    <t>Added feature toggle for Embedded PSC</t>
  </si>
  <si>
    <t>Updated default values for vRealize Log Insight IP Addresses so they are on the correct Application Virtual Network</t>
  </si>
  <si>
    <t>Updated default values for Resource Pools</t>
  </si>
  <si>
    <t>Added Application Virtual Network ESG VMs to Management Workloads</t>
  </si>
  <si>
    <t>Updated the VCF Version details to 4.0.0
    - Remove Platform Services Controller Hostname and IPs from Deployment Parameters Tab
    - Adjusted the layout to close up the gaps
    - Move the Single-Sign On input into vSphere Infrastructure Section
    - Unlocked Portgroup Name Cells so they can be customized</t>
  </si>
  <si>
    <t>Addressed PR 2482793 - Renamed 'Host Pool Name' to 'Network Pool Name'
Updated for the following changes:
    - Management Workloads Tab:
        - Removed vRealize Log Insight
        - Set VSAN Defaults to All-Flash and adjusted the layout a little
    - Users and Groups
        - Removed vRealize Log Insight accounts
        - Updated layout to remove hidden not required cells
    - Deploy Parameters Tab
        - Removed vRealize Log Insight Inputs
        - Renamed lables for Join SSO Domain from Platform Services Controller to vCenter Server
        - Removed Subnet Mask input from SDDC Manager (auto generated based on Management VLAN CIDR)
        - Relocated vSphere Datastore inputs under vSphere Infrastructure Section
        - Moved CEIP inputs</t>
  </si>
  <si>
    <t xml:space="preserve">    - Replace NSX-V inputs with NSX-T inputs
    - Add vSphere Lifecycle Manager Toggle and Image input
    - Config_File_Build Tab
        - Cleaned up not required inputs</t>
  </si>
  <si>
    <t xml:space="preserve">Foramtting to mark ESXi SSH/SSL section as black when No
Updated wording of instructions to remove Grey Cell comment in Deploy Parameters </t>
  </si>
  <si>
    <t>Fixed Locked Cells in Deploy Parameters Tab
Updated Input Error Message for NSX-T Passwords</t>
  </si>
  <si>
    <t>Fixed data validation warning on SDDC Manager Pool input</t>
  </si>
  <si>
    <t>Added Conditional Formatting to Check Character Limit for ESXi and vCenter Server Hostnames</t>
  </si>
  <si>
    <t>Added Application Virtual Network Configuration for NSX-T</t>
  </si>
  <si>
    <t>Added Application Virtual Network Toggle
Added Key/Value pair for Folder of Edge Devices
Renamed SSO Site Name to Cloud Foundation Management Domain Name to drive custom domain name (SSO Site Name depreicated in vSphere 7)</t>
  </si>
  <si>
    <t>Fixed Issue with Auto Calculated Name of tier Gateway Names which key off of Doman Name
Added Key/Value Pairs for NXS-T Host Overlay CIDR and Gateway</t>
  </si>
  <si>
    <t>Udated default size of NSX-T Edge Cluster to Medium</t>
  </si>
  <si>
    <t>Updated Resource Numbers in Management Workloads</t>
  </si>
  <si>
    <t>Added Missing key/pairs for Application Virtual Networks to populate networkSpecs</t>
  </si>
  <si>
    <t>Updated calculated names for transport zones under NSX-T</t>
  </si>
  <si>
    <t>Added support for intel-cascadelake in the lookup list
Updated hostnames to match VVD Naming Standards by default</t>
  </si>
  <si>
    <t>Updated Heading of Logical Switch to Logical Segment for Application Virtual Networks</t>
  </si>
  <si>
    <t>Remove Ability to Join Existing SSO Domain</t>
  </si>
  <si>
    <t>Remove Extra Small as a Deployment option for NSX-T Data Center Managers</t>
  </si>
  <si>
    <t>Fixed some spelling errors
Updated Version for Jefferson2</t>
  </si>
  <si>
    <t>Added conditional Format to black out portgroups not required when AVNs are skipped
Updated versions based on i1u1 Bill of Materials
Updated the instructions for each tab to be more explicit around grey, red and yellow cells</t>
  </si>
  <si>
    <t>Removed validation for 15 char limit of ESXi Hosts and vCenter Server</t>
  </si>
  <si>
    <t>Added multi-pNIC and multi-vds support
Set Host Overlay portgroup to n/a
Set Edge Overlay portgroup to n/a
Added vSphere Distributed Switch Profiles and moved from Deploy Paramters to Hosts and Networks Tab</t>
  </si>
  <si>
    <t>Updated Edge/Host Overlay and Uplinks to Check for Unique VLAN IDs, if duplicate they turn red
Added Back Join Existing SSO Domain for Second Instance of VCF</t>
  </si>
  <si>
    <t>Added 3rd Profile for Multi-vds Support</t>
  </si>
  <si>
    <t>Added ability to skip resource pool deployments</t>
  </si>
  <si>
    <t>Updated the NSX-T Edge Node sizes to small, medium, large and xlarge</t>
  </si>
  <si>
    <t>Added Support for setting storage size (large or xlarge) for vCenter Server Appliance</t>
  </si>
  <si>
    <t>Added tooltips (In order to re-use Edge Cluster for WCP, provide Edge Size as LARGE) for Edge Node Appliance Size</t>
  </si>
  <si>
    <t>Addressed an Issue with Multi-DVS and pNIC Configuration</t>
  </si>
  <si>
    <t>Addresed and issue where nsxt-transport-overlay-networkName= is blank due to portgroup changing to n/a</t>
  </si>
  <si>
    <t>Revert ability to skip resource pool deployments</t>
  </si>
  <si>
    <t>Updated the VCF Version details to 4.1.0
Added new Local User Password for Emergency Service Account</t>
  </si>
  <si>
    <t>Addressed 2610748 - Added back ability to skip creation of resource pools</t>
  </si>
  <si>
    <t>Addressed PR 2618290 Adjust minimum password length for admin@local
Addressed PR 2620854 Fixed input message refering to NSX-V and not NSX-T</t>
  </si>
  <si>
    <t>Addressed PR 2621665 Updated description of SDDC Manager Local Account and set max char to 127</t>
  </si>
  <si>
    <t>Addressed PR 2625415 Added conditional format to handle Excel not honouring input validation when copy/paste is used</t>
  </si>
  <si>
    <t>Updated the VCF Version details to 4.1.1
Added Support for Static IP Pool for NSX-T Data Center Host TEPs
Converted ESXi Host SSH/SSL Thumbprint Default to Yes
Removed the admin user (Rest API User)</t>
  </si>
  <si>
    <t>Added back the admin user (Rest API User) Due to a Change by Release Team</t>
  </si>
  <si>
    <t>Updated NSX-T Version in Management Workloads Worksheet to 3.1
Removed Old Key/Value Pairs for NSX-V Portgroup</t>
  </si>
  <si>
    <t>Added FIPS Compliance Option for SDDC Manager</t>
  </si>
  <si>
    <t>Removed Auto Calc of CPU for vCenter on Maagement Workloads Worksheet</t>
  </si>
  <si>
    <t>Updated Password Policy Rule for Local Admin Account of VCF with 'A character cannot be repeated more than 3 times consecutively'
Updated Password Policy Rule for NSX-T Manager with 'NO three same consecutive chars', 'NOT a dictionary word' and 'NOT more than four monotonic char sequence'</t>
  </si>
  <si>
    <t>Updated Version to 4.2.0
Removed no longer needed key/value pairs:
     - host-overlay-network.cidrNotation
     - host-overlay-network.gateway
     - host-overlay-network.vlanId
     - host-overlay-network.mtu
Fixed issue with setting regionSpecific values when AVN is set to No</t>
  </si>
  <si>
    <t>Removed Enable FIPS Toggle</t>
  </si>
  <si>
    <t>Replace First Instance Single Sign-On with FQDN instead of IP Address
Updated vCenter Root Account Password Requirements</t>
  </si>
  <si>
    <t>Added vCenter Server SSL Thumbprint Input when Joining and Existing Single Sign-On Instance</t>
  </si>
  <si>
    <t>Updated Version to 4.3.0
Remove the REST API User for VMware Cloud Foundation
Renamed User and Groups Worksheet to Credentials</t>
  </si>
  <si>
    <t>Added Enable FIPS Toggle Back
Added 'intel-icelake' and 'amd_zen2' to EVC CPU Look Up List</t>
  </si>
  <si>
    <t>Addressed 2721835 Fixed formula issue for checklist items</t>
  </si>
  <si>
    <t>Replaced Prerequisite Checklist Worksheet with NEW Introduction Worksheet (All prerequisites should be tracked in one place the Planning and Preparation Workbook)
Removed the Management Workloads Worksheet, moved License Keys to Deployment Parameters Worksheet (Sizing should be handled via VCF Capacity Planner)
Removed Application Virtual Network Inputs (AVN or Virtual Segments has been moved to a Day N workflow</t>
  </si>
  <si>
    <t>Updated Deployment Parameters Tab with official name for NSX-T Data Center</t>
  </si>
  <si>
    <t>Added Profile 3 to vSphere Distributed Switch Settings</t>
  </si>
  <si>
    <t>Introduce support for CVDS: add additional fields for VDS Transport Zone Type</t>
  </si>
  <si>
    <t>Remove section "Existing Single Sign-On Domain Configuration Details"</t>
  </si>
  <si>
    <t>Revert CVDS support</t>
  </si>
  <si>
    <t>Correct gateways and ESXi Ips cell validations</t>
  </si>
  <si>
    <t>Added support for VCF+</t>
  </si>
  <si>
    <t>Edit cells validation</t>
  </si>
  <si>
    <t>NSX</t>
  </si>
  <si>
    <t>Configure NSX Host Overlay Using a Static IP Pool</t>
  </si>
  <si>
    <t>NSX Host Overlay Start IP</t>
  </si>
  <si>
    <t>NSX Host Overlay End IP</t>
  </si>
  <si>
    <t>NSX Nodes - Hostnames and Static IPs Defined</t>
  </si>
  <si>
    <t>NSX Management Cluster</t>
  </si>
  <si>
    <t>NSX Management Cluster VIP</t>
  </si>
  <si>
    <t>NSX Virtual Appliance Node #1</t>
  </si>
  <si>
    <t>NSX Virtual Appliance Node #2</t>
  </si>
  <si>
    <t>NSX Virtual Appliance Node #3</t>
  </si>
  <si>
    <t>NSX Virtual Appliance Size (Default Medium)</t>
  </si>
  <si>
    <r>
      <t>Credentials</t>
    </r>
    <r>
      <rPr>
        <sz val="11"/>
        <color rgb="FF000000"/>
        <rFont val="Metropolis Regular"/>
        <charset val="1"/>
      </rPr>
      <t xml:space="preserve"> - Used to input default passwords that will be used for built-in accounts for each component.
</t>
    </r>
    <r>
      <rPr>
        <b/>
        <sz val="11"/>
        <color rgb="FF000000"/>
        <rFont val="Metropolis Regular"/>
        <charset val="1"/>
      </rPr>
      <t>Hosts and Networks</t>
    </r>
    <r>
      <rPr>
        <sz val="11"/>
        <color rgb="FF000000"/>
        <rFont val="Metropolis Regular"/>
        <charset val="1"/>
      </rPr>
      <t xml:space="preserve"> - Used to input network details such as VLAN IDs, CIDR, Gateway, Portgroup Names and MTU, ESXi hostnames, IP Addresses, vMotion and vSAN IP Pool details.
</t>
    </r>
    <r>
      <rPr>
        <b/>
        <sz val="11"/>
        <color rgb="FF000000"/>
        <rFont val="Metropolis Regular"/>
        <charset val="1"/>
      </rPr>
      <t>Deploy Parameters</t>
    </r>
    <r>
      <rPr>
        <sz val="11"/>
        <color rgb="FF000000"/>
        <rFont val="Metropolis Regular"/>
        <charset val="1"/>
      </rPr>
      <t xml:space="preserve"> - Used to input configuration details for infrastructure components and vCenter Server, vSAN, NSX and SDDC Manager.</t>
    </r>
  </si>
  <si>
    <t>Renamed "NSX-T" and "NSX-T Datacenter" to "NSX"</t>
  </si>
  <si>
    <t>31:BC:7F:B3:CF:8C:AC:F4:69:8F:8B:20:EA:CB:60:A8:45:70:23:84:E7:5A:11:DC:4C:AC:94:AD:23:EF:10:2A</t>
  </si>
  <si>
    <t>Updated sample value for SHA256 thumbprint</t>
  </si>
  <si>
    <t xml:space="preserve">Enable vLCM Cluster Image </t>
  </si>
  <si>
    <t>"clusterSpecs" &gt; "clusterImageEnabled"</t>
  </si>
  <si>
    <t>Added vLCM Input Fileds</t>
  </si>
  <si>
    <t>Fixed DVS formula</t>
  </si>
  <si>
    <t>Remove vLCM Custom Image Fields</t>
  </si>
  <si>
    <t>Remove obsolete EVC Cluster Mode values</t>
  </si>
  <si>
    <t>intel-sapphirerapids</t>
  </si>
  <si>
    <t>amd-zen3</t>
  </si>
  <si>
    <t>amd-zen4</t>
  </si>
  <si>
    <t>Enable vSAN-ESA</t>
  </si>
  <si>
    <t>Proxy Server</t>
  </si>
  <si>
    <t>Proxy Port</t>
  </si>
  <si>
    <t>Path to HCL JSON File</t>
  </si>
  <si>
    <t>Added vSAN-ESA fields</t>
  </si>
  <si>
    <t>"vsanSpecs" &gt; "esaConfig" &gt; "enabled"</t>
  </si>
  <si>
    <t>"vsanSpecs" &gt; "hclFile"</t>
  </si>
  <si>
    <t>"proxySpec" &gt; "host"</t>
  </si>
  <si>
    <t>"proxySpec" &gt; "port"</t>
  </si>
  <si>
    <t>VM Management Network</t>
  </si>
  <si>
    <t># Management Network - Management Domain - "networkType": "VM_MANAGEMENT"</t>
  </si>
  <si>
    <t>Added support for DVPG</t>
  </si>
  <si>
    <t>Proxy Server Configuration</t>
  </si>
  <si>
    <t>Proxy Username</t>
  </si>
  <si>
    <t>Proxy Password</t>
  </si>
  <si>
    <t>Proxy Transfer Protocol</t>
  </si>
  <si>
    <t>Added proxy server fields</t>
  </si>
  <si>
    <t>If there’s no internet connection, please provide HCL File Path.</t>
  </si>
  <si>
    <t xml:space="preserve">You have enabled vSAN-ESA, but you haven’t specified path to HCL File on Cloud Builder VM. The latest HCL JSON will be downloaded from VSAN Health Service. </t>
  </si>
  <si>
    <t>"proxySpec" &gt; "username"</t>
  </si>
  <si>
    <t>"proxySpec" &gt; "password"</t>
  </si>
  <si>
    <t>"proxySpec" &gt; "transferProtocol"</t>
  </si>
  <si>
    <t>Enable vLCM Mgmt Domain</t>
  </si>
  <si>
    <t>Primary vSphere Distributed Switch - Transport Zone Type</t>
  </si>
  <si>
    <t>Overlay/VLAN</t>
  </si>
  <si>
    <t>Secondary vSphere Distributed Switch - Transport Zone Type</t>
  </si>
  <si>
    <t>Added support for Multi-CVDS</t>
  </si>
  <si>
    <t>"Enable vSAN Deduplication and Compression" greyed out when we Enabled vSAN ESA</t>
  </si>
  <si>
    <t>v5.2.0</t>
  </si>
  <si>
    <t>Rearrange VM_MANAGEMENT details in 'Hosts and Networks' so that they appear at the top of the 'Management Domain Networks' table</t>
  </si>
  <si>
    <t>Change the Labels for VCF+</t>
  </si>
  <si>
    <t xml:space="preserve"> Add validation message for vSAN-ESA disabled when vLCM is disabled</t>
  </si>
  <si>
    <t>Remove vSphere Standard Switch Name</t>
  </si>
  <si>
    <t>Add HTPPS Certificate to Proxy Server</t>
  </si>
  <si>
    <t>"securitySpec" &gt; "rootCaCerts" &gt; "certChain"</t>
  </si>
  <si>
    <r>
      <t>HTTPS Proxy Certificate (PEM Encoded)</t>
    </r>
    <r>
      <rPr>
        <sz val="9"/>
        <color rgb="FFFFFFFF"/>
        <rFont val="Metropolis"/>
        <charset val="1"/>
      </rPr>
      <t xml:space="preserve">
prefix with '</t>
    </r>
  </si>
  <si>
    <t>HTTP</t>
  </si>
  <si>
    <t>Simplify spec (make passwords, names, vds and cluster spec optional)</t>
  </si>
  <si>
    <t>NSX Virtual Appliance Root Account - NSX Manager and Edge Nodes *</t>
  </si>
  <si>
    <t>vCenter Server Virtual Appliances Root Account *</t>
  </si>
  <si>
    <t>Default Single-Sign On Domain Administrator User *</t>
  </si>
  <si>
    <t>NSX User Interface and Default CLI Admin Account - NSX Manager and Edge Nodes *</t>
  </si>
  <si>
    <t>NSX Audit CLI Account - NSX Manager and Edge Nodes *</t>
  </si>
  <si>
    <t>SDDC Manager Appliance Root Account *</t>
  </si>
  <si>
    <t>SDDC Manager Super User *</t>
  </si>
  <si>
    <t>Secondary vSphere Distributed Switch - Name *</t>
  </si>
  <si>
    <t>* If a name is not specified, a default value will be used</t>
  </si>
  <si>
    <r>
      <t xml:space="preserve">Instructions: </t>
    </r>
    <r>
      <rPr>
        <sz val="10"/>
        <rFont val="Metropolis"/>
        <charset val="1"/>
      </rPr>
      <t xml:space="preserve">Use the </t>
    </r>
    <r>
      <rPr>
        <i/>
        <sz val="10"/>
        <rFont val="Metropolis"/>
        <charset val="1"/>
      </rPr>
      <t>Deployment Parameters</t>
    </r>
    <r>
      <rPr>
        <sz val="10"/>
        <rFont val="Metropolis"/>
        <charset val="1"/>
      </rPr>
      <t xml:space="preserve"> tab to input configuration details for physical infrastructure and the components used to implement the Management Domain.
- Grey cells are for information purposes and cannot be modified.
- </t>
    </r>
    <r>
      <rPr>
        <b/>
        <sz val="10"/>
        <color rgb="FFFF0000"/>
        <rFont val="Metropolis"/>
        <charset val="1"/>
      </rPr>
      <t xml:space="preserve">Red cells mean the input data is either missing and mandatory or some type of validation of the input data has failed.
</t>
    </r>
    <r>
      <rPr>
        <sz val="10"/>
        <rFont val="Metropolis"/>
        <charset val="1"/>
      </rPr>
      <t xml:space="preserve">- </t>
    </r>
    <r>
      <rPr>
        <b/>
        <sz val="10"/>
        <rFont val="Metropolis"/>
        <charset val="1"/>
      </rPr>
      <t xml:space="preserve">Yellow cells indicate input data, default values are included to help illustrate the formatting to be used and align to the VMware documentation.                 </t>
    </r>
    <r>
      <rPr>
        <sz val="10"/>
        <color rgb="FFFF0000"/>
        <rFont val="Metropolis"/>
        <charset val="1"/>
      </rPr>
      <t>If a value is not required enter 'n/a', if it turns red then its mandatory.</t>
    </r>
  </si>
  <si>
    <t>"workflowType"</t>
  </si>
  <si>
    <t>Cloud Foundation Management Domain Name</t>
  </si>
  <si>
    <t>sfo-m01</t>
  </si>
  <si>
    <r>
      <t xml:space="preserve">This </t>
    </r>
    <r>
      <rPr>
        <b/>
        <sz val="11"/>
        <color rgb="FF000000"/>
        <rFont val="Metropolis Regular"/>
        <charset val="1"/>
      </rPr>
      <t>Deployment Parameter Workbook</t>
    </r>
    <r>
      <rPr>
        <sz val="11"/>
        <color rgb="FF000000"/>
        <rFont val="Metropolis Regular"/>
        <charset val="1"/>
      </rPr>
      <t xml:space="preserve"> contains worksheets categorizing the information required for deploying </t>
    </r>
    <r>
      <rPr>
        <b/>
        <sz val="11"/>
        <color rgb="FF000000"/>
        <rFont val="Metropolis Regular"/>
        <charset val="1"/>
      </rPr>
      <t>VMware Cloud Foundation</t>
    </r>
    <r>
      <rPr>
        <sz val="11"/>
        <color rgb="FF000000"/>
        <rFont val="Metropolis Regular"/>
        <charset val="1"/>
      </rPr>
      <t xml:space="preserve">. The information provided is used to create the management domain using the </t>
    </r>
    <r>
      <rPr>
        <b/>
        <sz val="11"/>
        <color rgb="FF000000"/>
        <rFont val="Metropolis Regular"/>
        <charset val="1"/>
      </rPr>
      <t xml:space="preserve">VMware Cloud Builder </t>
    </r>
    <r>
      <rPr>
        <sz val="11"/>
        <color rgb="FF000000"/>
        <rFont val="Metropolis Regular"/>
        <charset val="1"/>
      </rPr>
      <t xml:space="preserve">appliance.
The fields in </t>
    </r>
    <r>
      <rPr>
        <b/>
        <sz val="11"/>
        <color rgb="FF000000"/>
        <rFont val="Metropolis Regular"/>
        <charset val="1"/>
      </rPr>
      <t>YELLOW</t>
    </r>
    <r>
      <rPr>
        <sz val="11"/>
        <color rgb="FF000000"/>
        <rFont val="Metropolis Regular"/>
        <charset val="1"/>
      </rPr>
      <t xml:space="preserve"> contain sample values that you should replace with the information as it relates to your environment. If a cell turns </t>
    </r>
    <r>
      <rPr>
        <b/>
        <sz val="11"/>
        <color rgb="FF000000"/>
        <rFont val="Metropolis Regular"/>
        <charset val="1"/>
      </rPr>
      <t>RED</t>
    </r>
    <r>
      <rPr>
        <sz val="11"/>
        <color rgb="FF000000"/>
        <rFont val="Metropolis Regular"/>
        <charset val="1"/>
      </rPr>
      <t xml:space="preserve">, the required information is either missing where its required, or some kind of validation input has failed.
The </t>
    </r>
    <r>
      <rPr>
        <b/>
        <sz val="11"/>
        <color rgb="FF000000"/>
        <rFont val="Metropolis Regular"/>
        <charset val="1"/>
      </rPr>
      <t>Deployment Parameters Workbook</t>
    </r>
    <r>
      <rPr>
        <sz val="11"/>
        <color rgb="FF000000"/>
        <rFont val="Metropolis Regular"/>
        <charset val="1"/>
      </rPr>
      <t xml:space="preserve"> is not able to fully validate all inputs due to formula limitations of Excel and so some validation issues may only be picked up once you upload the workbook to the </t>
    </r>
    <r>
      <rPr>
        <b/>
        <sz val="11"/>
        <color rgb="FF000000"/>
        <rFont val="Metropolis Regular"/>
        <charset val="1"/>
      </rPr>
      <t>VMware Cloud Builder</t>
    </r>
    <r>
      <rPr>
        <sz val="11"/>
        <color rgb="FF000000"/>
        <rFont val="Metropolis Regular"/>
        <charset val="1"/>
      </rPr>
      <t xml:space="preserve"> appliance.
</t>
    </r>
    <r>
      <rPr>
        <sz val="11"/>
        <color rgb="FF000000"/>
        <rFont val="Metropolis Regular"/>
      </rPr>
      <t>The fields that require entering of Fully Qualified Domain Name or IP Address don't require providing both of the values. It is enough to provide only Fully Qualified Domain Name/only IP Address.</t>
    </r>
    <r>
      <rPr>
        <sz val="12"/>
        <color rgb="FF000000"/>
        <rFont val="Metropolis Regular"/>
      </rPr>
      <t xml:space="preserve">
</t>
    </r>
    <r>
      <rPr>
        <sz val="11"/>
        <color rgb="FF000000"/>
        <rFont val="Metropolis Regular"/>
        <charset val="1"/>
      </rPr>
      <t xml:space="preserve">
</t>
    </r>
    <r>
      <rPr>
        <b/>
        <sz val="11"/>
        <color rgb="FF000000"/>
        <rFont val="Metropolis Regular"/>
        <charset val="1"/>
      </rPr>
      <t>NOTE</t>
    </r>
    <r>
      <rPr>
        <sz val="11"/>
        <color rgb="FF000000"/>
        <rFont val="Metropolis Regular"/>
        <charset val="1"/>
      </rPr>
      <t xml:space="preserve">: Using copy and paste between cells can also create problems so try to avoid, if you do use this capability ensure you select Paste Special &gt; Values only
For further information see the following </t>
    </r>
    <r>
      <rPr>
        <b/>
        <sz val="11"/>
        <color rgb="FF000000"/>
        <rFont val="Metropolis Regular"/>
        <charset val="1"/>
      </rPr>
      <t>VMware Cloud Foundation</t>
    </r>
    <r>
      <rPr>
        <sz val="11"/>
        <color rgb="FF000000"/>
        <rFont val="Metropolis Regular"/>
        <charset val="1"/>
      </rPr>
      <t xml:space="preserve"> documentation ( https://docs.vmware.com/en/VMware-Cloud-Foundation/index.html ) :
     - For prerequisites of the management domain, see the Prerequisite Checklist worksheet of the </t>
    </r>
    <r>
      <rPr>
        <b/>
        <sz val="11"/>
        <color rgb="FF000000"/>
        <rFont val="Metropolis Regular"/>
        <charset val="1"/>
      </rPr>
      <t xml:space="preserve">Planning and Preparation Workbook.
</t>
    </r>
    <r>
      <rPr>
        <sz val="11"/>
        <color rgb="FF000000"/>
        <rFont val="Metropolis Regular"/>
        <charset val="1"/>
      </rPr>
      <t xml:space="preserve">     - For information on deploying the management domain, see </t>
    </r>
    <r>
      <rPr>
        <b/>
        <sz val="11"/>
        <color rgb="FF000000"/>
        <rFont val="Metropolis Regular"/>
        <charset val="1"/>
      </rPr>
      <t>VMware Cloud Foundation Deployment Guide</t>
    </r>
    <r>
      <rPr>
        <sz val="11"/>
        <color rgb="FF000000"/>
        <rFont val="Metropolis Regular"/>
        <charset val="1"/>
      </rPr>
      <t>.</t>
    </r>
  </si>
  <si>
    <t>sfo-m01-vc01</t>
  </si>
  <si>
    <t>sfo-m01-nsx01</t>
  </si>
  <si>
    <t>sfo-vcf01</t>
  </si>
  <si>
    <t xml:space="preserve"> *If a password is not specified, the password of SDDC Manager Local Account will be used</t>
  </si>
  <si>
    <t>vSAN Datastore Name</t>
  </si>
  <si>
    <t>Cluster Name</t>
  </si>
  <si>
    <t>sfo-m01-datacenter</t>
  </si>
  <si>
    <t>Datacenter Name</t>
  </si>
  <si>
    <t>SDDC-DPortGroup-Mgmt</t>
  </si>
  <si>
    <t>SDDC-DPortGroup-VM-Mgmt</t>
  </si>
  <si>
    <t>SDDC-DPortGroup-VSAN</t>
  </si>
  <si>
    <t>SDDC-DPortGroup-vMotion</t>
  </si>
  <si>
    <t>Portgroup Name</t>
  </si>
  <si>
    <t>sfo-m01-cluster-001</t>
  </si>
  <si>
    <t>sfo-m01-cluster-001-management-001</t>
  </si>
  <si>
    <t>sfo-m01-cluster-001-compute-002</t>
  </si>
  <si>
    <t>sfo-m01-cluster-001-compute-003</t>
  </si>
  <si>
    <t>Resource Pool SDDC Management</t>
  </si>
  <si>
    <t>Resource Pool User Edge</t>
  </si>
  <si>
    <t>Resource Pool User VM</t>
  </si>
  <si>
    <t>sfo-m01-cluster-001-vsan</t>
  </si>
  <si>
    <t>sfo-m01-cluster-001-vds-001</t>
  </si>
  <si>
    <t>Primary vSphere Distributed Switch - Name</t>
  </si>
  <si>
    <t>networkpool-001</t>
  </si>
  <si>
    <t>Standard</t>
  </si>
  <si>
    <t>Add xlarge NSX form factor value and optional NSX</t>
  </si>
  <si>
    <t># NSX-T Manager Virtual Appliance Size - Valid values are "small", "medium", "large", "xlarge"</t>
  </si>
  <si>
    <t>Fix formatting in Deploy Parameters</t>
  </si>
  <si>
    <t>License Now</t>
  </si>
  <si>
    <t>Update the excel sheet to provide license now/license later option</t>
  </si>
  <si>
    <t>"deployWithoutLicenseKeys"</t>
  </si>
  <si>
    <t xml:space="preserve">Copyright © 2024 Broadcom Inc. All rights reserved. This product is protected by copyright and intellectual property laws in the United States and other countries as well as by international treaties. VMware products are covered by one or more patents listed at http://www.vmware.com/go/patents. VMware is a registered trademark or trademark of VMware, Inc. in the United States and other jurisdictions. All other marks and names mentioned herein may be trademarks of their respective companies. </t>
  </si>
  <si>
    <t>Updated Copyright</t>
  </si>
  <si>
    <t>Change tooltips of SDDC manager passwords</t>
  </si>
  <si>
    <t>Remove Optional NSX field</t>
  </si>
  <si>
    <t>192.168.10.0/24</t>
  </si>
  <si>
    <t>192.168.11.0/24</t>
  </si>
  <si>
    <t>192.168.12.0/24</t>
  </si>
  <si>
    <t>192.168.11.10</t>
  </si>
  <si>
    <t>192.168.11.100</t>
  </si>
  <si>
    <t>192.168.12.100</t>
  </si>
  <si>
    <t>192.168.12.10</t>
  </si>
  <si>
    <t>vcf42-esx02</t>
  </si>
  <si>
    <t>vcf42-esx03</t>
  </si>
  <si>
    <t>vcf42-esx04</t>
  </si>
  <si>
    <t>192.168.10.202</t>
  </si>
  <si>
    <t>Pata2Pata1Pata!</t>
  </si>
  <si>
    <t>192.168.10.100</t>
  </si>
  <si>
    <t>192.168.10.101</t>
  </si>
  <si>
    <t>192.168.10.102</t>
  </si>
  <si>
    <t>192.168.10.103</t>
  </si>
  <si>
    <t>vcf.lab.local</t>
  </si>
  <si>
    <t>192.168.10.211</t>
  </si>
  <si>
    <t>192.168.10.212</t>
  </si>
  <si>
    <t>192.168.0.1</t>
  </si>
  <si>
    <t>192.168.10.254</t>
  </si>
  <si>
    <t>192.168.11.254</t>
  </si>
  <si>
    <t>192.168.12.254</t>
  </si>
  <si>
    <t>10</t>
  </si>
  <si>
    <t>11</t>
  </si>
  <si>
    <t>12</t>
  </si>
  <si>
    <t>/home/admin/nested-esxi-vsan-esa-hcl.json</t>
  </si>
  <si>
    <t>192.168.0.250</t>
  </si>
  <si>
    <t>192.168.10.203</t>
  </si>
  <si>
    <t>192.168.13.0/24</t>
  </si>
  <si>
    <t>192.168.13.1</t>
  </si>
  <si>
    <t>192.168.13.8</t>
  </si>
  <si>
    <t>192.168.13.254</t>
  </si>
  <si>
    <t>CM4YL-JD046-K8TN0-LC18K-0J327</t>
  </si>
  <si>
    <t>A02XX-JD30Q-28TN9-L3906-C17M2</t>
  </si>
  <si>
    <t>V50P1-LD116-K8XN1-LH88M-C1929</t>
  </si>
  <si>
    <t>ZJ6LV-ZD2DM-P8RN0-LH1K4-2EV39</t>
  </si>
  <si>
    <t>vcf42-esx01</t>
  </si>
  <si>
    <t>General Deployment</t>
  </si>
  <si>
    <t xml:space="preserve"> </t>
  </si>
  <si>
    <t>Datacenter</t>
  </si>
  <si>
    <t>Cluster</t>
  </si>
  <si>
    <t>Cluster01</t>
  </si>
  <si>
    <t>Datastore</t>
  </si>
  <si>
    <t>vSanDatastore</t>
  </si>
  <si>
    <t>Folder</t>
  </si>
  <si>
    <t>VCF</t>
  </si>
  <si>
    <t>Cloud Builder</t>
  </si>
  <si>
    <t>VM Properties</t>
  </si>
  <si>
    <t>Name</t>
  </si>
  <si>
    <t>IP</t>
  </si>
  <si>
    <t>Network Pool</t>
  </si>
  <si>
    <t>Admin Password</t>
  </si>
  <si>
    <t>Root Password</t>
  </si>
  <si>
    <t>Virtual ESX</t>
  </si>
  <si>
    <t>VM Spec</t>
  </si>
  <si>
    <t>vCPU</t>
  </si>
  <si>
    <t>vMem</t>
  </si>
  <si>
    <t>Boot Disk</t>
  </si>
  <si>
    <t>Network Pool 1</t>
  </si>
  <si>
    <t>Trunk</t>
  </si>
  <si>
    <t>VLAN 10</t>
  </si>
  <si>
    <t>cloudbuilder</t>
  </si>
  <si>
    <t>cloudbuilder.vcf.lab.local</t>
  </si>
  <si>
    <t>192.168.1.195</t>
  </si>
  <si>
    <t>Network Pool 2</t>
  </si>
  <si>
    <t>Path to Cloud Builder ISO</t>
  </si>
  <si>
    <t>Path to ESX OVF/OVA</t>
  </si>
  <si>
    <t>Images</t>
  </si>
  <si>
    <t>./ova/Nested_ESXi8.0u3_Appliance_Template_v1.ova</t>
  </si>
  <si>
    <t>./ova/VMware-Cloud-Builder-5.2.0.0-24108943_OVF10.ova</t>
  </si>
  <si>
    <t>Syslog</t>
  </si>
  <si>
    <t>192.168.1.1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</si>
</sst>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_);_(@_)"/>
    <numFmt numFmtId="165" formatCode="0&quot; GB&quot;"/>
  </numFmts>
  <fonts count="58">
    <font>
      <sz val="11"/>
      <color rgb="FF000000"/>
      <name val="Calibri"/>
      <family val="2"/>
      <charset val="1"/>
    </font>
    <font>
      <sz val="11"/>
      <color rgb="FFFFFFFF"/>
      <name val="Calibri"/>
      <family val="1"/>
      <charset val="1"/>
    </font>
    <font>
      <u/>
      <sz val="12"/>
      <color rgb="FF0000FF"/>
      <name val="Calibri"/>
      <family val="2"/>
      <charset val="1"/>
    </font>
    <font>
      <u/>
      <sz val="11"/>
      <color rgb="FF0000FF"/>
      <name val="Calibri"/>
      <family val="1"/>
      <charset val="1"/>
    </font>
    <font>
      <sz val="10"/>
      <name val="Arial"/>
      <family val="2"/>
      <charset val="1"/>
    </font>
    <font>
      <sz val="12"/>
      <color rgb="FF000000"/>
      <name val="Calibri"/>
      <family val="2"/>
      <charset val="1"/>
    </font>
    <font>
      <sz val="10.5"/>
      <color rgb="FF000000"/>
      <name val="Metropolis"/>
      <charset val="1"/>
    </font>
    <font>
      <sz val="10.5"/>
      <color rgb="FFFFFFFF"/>
      <name val="Metropolis"/>
      <charset val="1"/>
    </font>
    <font>
      <sz val="10"/>
      <color rgb="FF000000"/>
      <name val="Metropolis"/>
      <charset val="1"/>
    </font>
    <font>
      <sz val="10"/>
      <color rgb="FF000000"/>
      <name val="Calibri"/>
      <family val="2"/>
      <charset val="1"/>
    </font>
    <font>
      <b/>
      <sz val="12"/>
      <color rgb="FF000000"/>
      <name val="Calibri"/>
      <family val="2"/>
      <charset val="1"/>
    </font>
    <font>
      <sz val="11"/>
      <color rgb="FF000000"/>
      <name val="Metropolis"/>
      <charset val="1"/>
    </font>
    <font>
      <b/>
      <sz val="11"/>
      <color rgb="FFFFFFFF"/>
      <name val="Metropolis"/>
      <charset val="1"/>
    </font>
    <font>
      <sz val="11"/>
      <color rgb="FF000000"/>
      <name val="Metropolis Regular"/>
      <charset val="1"/>
    </font>
    <font>
      <b/>
      <sz val="11"/>
      <color rgb="FF000000"/>
      <name val="Metropolis Regular"/>
      <charset val="1"/>
    </font>
    <font>
      <sz val="10.5"/>
      <name val="Metropolis"/>
      <charset val="1"/>
    </font>
    <font>
      <b/>
      <sz val="10"/>
      <name val="Metropolis"/>
      <charset val="1"/>
    </font>
    <font>
      <u/>
      <sz val="10"/>
      <color rgb="FF0000FF"/>
      <name val="Verdana"/>
      <family val="2"/>
      <charset val="1"/>
    </font>
    <font>
      <sz val="10"/>
      <name val="Metropolis"/>
      <charset val="1"/>
    </font>
    <font>
      <b/>
      <sz val="14"/>
      <color rgb="FFFFFFFF"/>
      <name val="Metropolis"/>
      <charset val="1"/>
    </font>
    <font>
      <b/>
      <sz val="10"/>
      <color rgb="FFFFFFFF"/>
      <name val="Metropolis"/>
      <charset val="1"/>
    </font>
    <font>
      <sz val="10"/>
      <color rgb="FFFFFFFF"/>
      <name val="Metropolis"/>
      <charset val="1"/>
    </font>
    <font>
      <b/>
      <sz val="12"/>
      <name val="Metropolis"/>
      <family val="3"/>
      <charset val="1"/>
    </font>
    <font>
      <sz val="10"/>
      <name val="Metropolis"/>
      <family val="3"/>
      <charset val="1"/>
    </font>
    <font>
      <b/>
      <sz val="12"/>
      <name val="Metropolis"/>
      <charset val="1"/>
    </font>
    <font>
      <sz val="10"/>
      <color rgb="FF4F81BD"/>
      <name val="Metropolis"/>
      <charset val="1"/>
    </font>
    <font>
      <b/>
      <sz val="10.5"/>
      <name val="Metropolis"/>
      <charset val="1"/>
    </font>
    <font>
      <i/>
      <sz val="10.5"/>
      <name val="Metropolis"/>
      <charset val="1"/>
    </font>
    <font>
      <b/>
      <sz val="10.5"/>
      <color rgb="FFFF0000"/>
      <name val="Metropolis"/>
      <charset val="1"/>
    </font>
    <font>
      <b/>
      <sz val="12"/>
      <color rgb="FFFFFFFF"/>
      <name val="Metropolis"/>
      <charset val="1"/>
    </font>
    <font>
      <b/>
      <sz val="10"/>
      <color rgb="FF000000"/>
      <name val="Metropolis"/>
      <charset val="1"/>
    </font>
    <font>
      <b/>
      <sz val="10"/>
      <color rgb="FF9BBB59"/>
      <name val="Metropolis"/>
      <charset val="1"/>
    </font>
    <font>
      <sz val="10"/>
      <color rgb="FF9BBB59"/>
      <name val="Metropolis"/>
      <charset val="1"/>
    </font>
    <font>
      <sz val="9"/>
      <color rgb="FF000000"/>
      <name val="Metropolis"/>
      <charset val="1"/>
    </font>
    <font>
      <sz val="10"/>
      <color rgb="FFFFFFFF"/>
      <name val="Metropolis"/>
      <family val="3"/>
      <charset val="1"/>
    </font>
    <font>
      <sz val="10"/>
      <color rgb="FF000000"/>
      <name val="Metropolis"/>
      <family val="3"/>
      <charset val="1"/>
    </font>
    <font>
      <sz val="8.5"/>
      <color rgb="FF000000"/>
      <name val="Metropolis"/>
      <family val="3"/>
      <charset val="1"/>
    </font>
    <font>
      <b/>
      <sz val="10"/>
      <color rgb="FFFF0000"/>
      <name val="Metropolis"/>
      <charset val="1"/>
    </font>
    <font>
      <i/>
      <sz val="10"/>
      <name val="Metropolis"/>
      <charset val="1"/>
    </font>
    <font>
      <sz val="10"/>
      <color rgb="FFFF0000"/>
      <name val="Metropolis"/>
      <charset val="1"/>
    </font>
    <font>
      <b/>
      <sz val="16"/>
      <color rgb="FFFFFFFF"/>
      <name val="Metropolis"/>
      <charset val="1"/>
    </font>
    <font>
      <b/>
      <u/>
      <sz val="10"/>
      <name val="Metropolis"/>
      <charset val="1"/>
    </font>
    <font>
      <b/>
      <u/>
      <sz val="10"/>
      <color rgb="FFFFFFFF"/>
      <name val="Metropolis"/>
      <charset val="1"/>
    </font>
    <font>
      <b/>
      <sz val="11"/>
      <color rgb="FF000000"/>
      <name val="Calibri"/>
      <family val="2"/>
      <charset val="1"/>
    </font>
    <font>
      <sz val="11"/>
      <name val="Calibri"/>
      <family val="2"/>
      <charset val="1"/>
    </font>
    <font>
      <sz val="11"/>
      <color rgb="FF1D1C1D"/>
      <name val="Calibri"/>
      <family val="2"/>
      <charset val="1"/>
    </font>
    <font>
      <sz val="11"/>
      <color rgb="FF000000"/>
      <name val="Calibri"/>
      <family val="2"/>
      <charset val="1"/>
    </font>
    <font>
      <sz val="10"/>
      <color theme="0"/>
      <name val="Metropolis"/>
      <charset val="1"/>
    </font>
    <font>
      <sz val="10"/>
      <color rgb="FFFF0000"/>
      <name val="Metropolis"/>
      <charset val="1"/>
    </font>
    <font>
      <sz val="9"/>
      <color rgb="FF000000"/>
      <name val="Metropolis"/>
      <charset val="1"/>
    </font>
    <font>
      <b/>
      <sz val="11"/>
      <color rgb="FFFF0000"/>
      <name val="Calibri"/>
      <family val="2"/>
    </font>
    <font>
      <sz val="11"/>
      <color rgb="FF000000"/>
      <name val="Calibri"/>
      <family val="2"/>
    </font>
    <font>
      <sz val="10"/>
      <color rgb="FFFF0000"/>
      <name val="Metropolis Regular"/>
    </font>
    <font>
      <sz val="8"/>
      <name val="Metropolis"/>
      <charset val="1"/>
    </font>
    <font>
      <sz val="9"/>
      <color rgb="FFFFFFFF"/>
      <name val="Metropolis"/>
      <charset val="1"/>
    </font>
    <font>
      <i/>
      <sz val="10"/>
      <color rgb="FF000000"/>
      <name val="Metropolis"/>
      <charset val="1"/>
    </font>
    <font>
      <sz val="12"/>
      <color rgb="FF000000"/>
      <name val="Metropolis Regular"/>
    </font>
    <font>
      <sz val="11"/>
      <color rgb="FF000000"/>
      <name val="Metropolis Regular"/>
    </font>
  </fonts>
  <fills count="16">
    <fill>
      <patternFill patternType="none"/>
    </fill>
    <fill>
      <patternFill patternType="gray125"/>
    </fill>
    <fill>
      <patternFill patternType="solid">
        <fgColor rgb="FF95B3D7"/>
        <bgColor rgb="FFB9CDE5"/>
      </patternFill>
    </fill>
    <fill>
      <patternFill patternType="solid">
        <fgColor rgb="FF4F81BD"/>
        <bgColor rgb="FF558ED5"/>
      </patternFill>
    </fill>
    <fill>
      <patternFill patternType="solid">
        <fgColor rgb="FFDCE6F2"/>
        <bgColor rgb="FFD9D9D9"/>
      </patternFill>
    </fill>
    <fill>
      <patternFill patternType="solid">
        <fgColor rgb="FFFFFFFF"/>
        <bgColor rgb="FFFFFFE5"/>
      </patternFill>
    </fill>
    <fill>
      <patternFill patternType="solid">
        <fgColor rgb="FFD9D9D9"/>
        <bgColor rgb="FFDCE6F2"/>
      </patternFill>
    </fill>
    <fill>
      <patternFill patternType="solid">
        <fgColor rgb="FF376092"/>
        <bgColor rgb="FF595959"/>
      </patternFill>
    </fill>
    <fill>
      <patternFill patternType="solid">
        <fgColor rgb="FFB9CDE5"/>
        <bgColor rgb="FFD9D9D9"/>
      </patternFill>
    </fill>
    <fill>
      <patternFill patternType="solid">
        <fgColor rgb="FFFFFFE5"/>
        <bgColor rgb="FFFFFFFF"/>
      </patternFill>
    </fill>
    <fill>
      <patternFill patternType="solid">
        <fgColor rgb="FF000000"/>
        <bgColor rgb="FF1D1C1D"/>
      </patternFill>
    </fill>
    <fill>
      <patternFill patternType="solid">
        <fgColor theme="1"/>
        <bgColor indexed="64"/>
      </patternFill>
    </fill>
    <fill>
      <patternFill patternType="solid">
        <fgColor rgb="FFFFFFDB"/>
        <bgColor indexed="64"/>
      </patternFill>
    </fill>
    <fill>
      <patternFill patternType="solid">
        <fgColor theme="0"/>
        <bgColor indexed="64"/>
      </patternFill>
    </fill>
    <fill>
      <patternFill patternType="solid">
        <fgColor rgb="FFFFFFE5"/>
        <bgColor indexed="64"/>
      </patternFill>
    </fill>
    <fill>
      <patternFill patternType="solid">
        <fgColor rgb="FFFFFFE5"/>
        <bgColor rgb="FF000000"/>
      </patternFill>
    </fill>
  </fills>
  <borders count="4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medium">
        <color auto="1"/>
      </right>
      <top style="medium">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style="medium">
        <color auto="1"/>
      </left>
      <right/>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rgb="FF808080"/>
      </left>
      <right style="thin">
        <color rgb="FF808080"/>
      </right>
      <top style="thin">
        <color rgb="FF808080"/>
      </top>
      <bottom style="thin">
        <color rgb="FF80808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auto="1"/>
      </right>
      <top style="thin">
        <color auto="1"/>
      </top>
      <bottom style="thin">
        <color auto="1"/>
      </bottom>
      <diagonal/>
    </border>
    <border>
      <left/>
      <right style="thin">
        <color auto="1"/>
      </right>
      <top/>
      <bottom/>
      <diagonal/>
    </border>
    <border>
      <left style="thin">
        <color rgb="FF000000"/>
      </left>
      <right/>
      <top style="thin">
        <color indexed="64"/>
      </top>
      <bottom style="thin">
        <color indexed="64"/>
      </bottom>
      <diagonal/>
    </border>
    <border>
      <left/>
      <right style="medium">
        <color rgb="FF000000"/>
      </right>
      <top style="thin">
        <color indexed="64"/>
      </top>
      <bottom style="thin">
        <color indexed="64"/>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bottom style="thin">
        <color indexed="64"/>
      </bottom>
      <diagonal/>
    </border>
  </borders>
  <cellStyleXfs count="10">
    <xf numFmtId="0" fontId="0" fillId="0" borderId="0"/>
    <xf numFmtId="0" fontId="17" fillId="0" borderId="0" applyBorder="0" applyProtection="0"/>
    <xf numFmtId="0" fontId="1" fillId="2" borderId="0" applyBorder="0" applyProtection="0"/>
    <xf numFmtId="0" fontId="1" fillId="3" borderId="0" applyBorder="0" applyProtection="0"/>
    <xf numFmtId="164" fontId="46" fillId="0" borderId="0" applyBorder="0" applyProtection="0"/>
    <xf numFmtId="0" fontId="2" fillId="0" borderId="0" applyBorder="0" applyProtection="0"/>
    <xf numFmtId="0" fontId="3" fillId="0" borderId="0" applyBorder="0" applyProtection="0"/>
    <xf numFmtId="0" fontId="4" fillId="0" borderId="0"/>
    <xf numFmtId="0" fontId="5" fillId="0" borderId="0"/>
    <xf numFmtId="0" fontId="5" fillId="0" borderId="0"/>
  </cellStyleXfs>
  <cellXfs count="217">
    <xf numFmtId="0" fontId="0" fillId="0" borderId="0" xfId="0"/>
    <xf numFmtId="0" fontId="6" fillId="4" borderId="0" xfId="0" applyFont="1" applyFill="1"/>
    <xf numFmtId="0" fontId="6" fillId="5" borderId="0" xfId="0" applyFont="1" applyFill="1"/>
    <xf numFmtId="0" fontId="6" fillId="0" borderId="0" xfId="0" applyFont="1" applyAlignment="1">
      <alignment horizontal="center" vertical="center"/>
    </xf>
    <xf numFmtId="0" fontId="7" fillId="0" borderId="0" xfId="0" applyFont="1" applyAlignment="1">
      <alignment horizontal="center" vertical="center"/>
    </xf>
    <xf numFmtId="0" fontId="6" fillId="5" borderId="0" xfId="0" applyFont="1" applyFill="1" applyAlignment="1">
      <alignment horizontal="center" vertical="center"/>
    </xf>
    <xf numFmtId="0" fontId="9" fillId="5" borderId="0" xfId="0" applyFont="1" applyFill="1" applyAlignment="1">
      <alignment horizontal="left" vertical="center" wrapText="1"/>
    </xf>
    <xf numFmtId="0" fontId="10" fillId="6" borderId="1" xfId="0" applyFont="1" applyFill="1" applyBorder="1" applyAlignment="1">
      <alignment horizontal="center" vertical="center" wrapText="1"/>
    </xf>
    <xf numFmtId="0" fontId="7" fillId="5" borderId="0" xfId="0" applyFont="1" applyFill="1" applyAlignment="1">
      <alignment horizontal="center" vertical="center"/>
    </xf>
    <xf numFmtId="0" fontId="11" fillId="5" borderId="0" xfId="0" applyFont="1" applyFill="1"/>
    <xf numFmtId="0" fontId="15" fillId="0" borderId="0" xfId="7" applyFont="1" applyAlignment="1">
      <alignment horizontal="left"/>
    </xf>
    <xf numFmtId="0" fontId="15" fillId="0" borderId="0" xfId="7" applyFont="1" applyAlignment="1">
      <alignment horizontal="left" wrapText="1"/>
    </xf>
    <xf numFmtId="0" fontId="15" fillId="0" borderId="0" xfId="7" applyFont="1"/>
    <xf numFmtId="0" fontId="15" fillId="0" borderId="0" xfId="7" applyFont="1" applyAlignment="1">
      <alignment horizontal="left" vertical="center"/>
    </xf>
    <xf numFmtId="0" fontId="8" fillId="0" borderId="0" xfId="0" applyFont="1" applyAlignment="1">
      <alignment vertical="center" wrapText="1"/>
    </xf>
    <xf numFmtId="0" fontId="11" fillId="0" borderId="0" xfId="0" applyFont="1" applyAlignment="1">
      <alignment vertical="center" wrapText="1"/>
    </xf>
    <xf numFmtId="0" fontId="15" fillId="0" borderId="0" xfId="7" applyFont="1" applyAlignment="1">
      <alignment vertical="center"/>
    </xf>
    <xf numFmtId="0" fontId="18" fillId="0" borderId="0" xfId="7" applyFont="1" applyAlignment="1">
      <alignment horizontal="left" vertical="center"/>
    </xf>
    <xf numFmtId="0" fontId="19" fillId="7" borderId="4" xfId="7" applyFont="1" applyFill="1" applyBorder="1" applyAlignment="1">
      <alignment horizontal="left" vertical="center"/>
    </xf>
    <xf numFmtId="0" fontId="20" fillId="7" borderId="5" xfId="7" applyFont="1" applyFill="1" applyBorder="1" applyAlignment="1">
      <alignment horizontal="left" vertical="center"/>
    </xf>
    <xf numFmtId="0" fontId="21" fillId="7" borderId="5" xfId="7" applyFont="1" applyFill="1" applyBorder="1" applyAlignment="1">
      <alignment horizontal="left" vertical="center" wrapText="1"/>
    </xf>
    <xf numFmtId="0" fontId="16" fillId="2" borderId="6" xfId="7" applyFont="1" applyFill="1" applyBorder="1" applyAlignment="1">
      <alignment horizontal="center" vertical="center" wrapText="1"/>
    </xf>
    <xf numFmtId="0" fontId="16" fillId="2" borderId="7" xfId="7" applyFont="1" applyFill="1" applyBorder="1" applyAlignment="1">
      <alignment horizontal="center" vertical="center" wrapText="1"/>
    </xf>
    <xf numFmtId="0" fontId="18" fillId="6" borderId="6" xfId="7" applyFont="1" applyFill="1" applyBorder="1" applyAlignment="1">
      <alignment horizontal="left" vertical="center"/>
    </xf>
    <xf numFmtId="0" fontId="18" fillId="9" borderId="7" xfId="7" applyFont="1" applyFill="1" applyBorder="1" applyAlignment="1" applyProtection="1">
      <alignment horizontal="left" vertical="center"/>
      <protection locked="0"/>
    </xf>
    <xf numFmtId="0" fontId="18" fillId="0" borderId="7" xfId="7" applyFont="1" applyBorder="1" applyAlignment="1">
      <alignment horizontal="left" vertical="center" wrapText="1"/>
    </xf>
    <xf numFmtId="0" fontId="23" fillId="0" borderId="0" xfId="7" applyFont="1" applyAlignment="1">
      <alignment horizontal="left" vertical="center"/>
    </xf>
    <xf numFmtId="0" fontId="23" fillId="0" borderId="0" xfId="7" applyFont="1" applyAlignment="1">
      <alignment horizontal="left" vertical="center" wrapText="1"/>
    </xf>
    <xf numFmtId="0" fontId="18" fillId="0" borderId="0" xfId="7" applyFont="1" applyAlignment="1">
      <alignment horizontal="left" vertical="top"/>
    </xf>
    <xf numFmtId="0" fontId="18" fillId="0" borderId="0" xfId="7" applyFont="1" applyAlignment="1">
      <alignment horizontal="left" vertical="top" wrapText="1"/>
    </xf>
    <xf numFmtId="0" fontId="18" fillId="6" borderId="8" xfId="7" applyFont="1" applyFill="1" applyBorder="1" applyAlignment="1">
      <alignment horizontal="left" vertical="center"/>
    </xf>
    <xf numFmtId="0" fontId="18" fillId="9" borderId="9" xfId="7" applyFont="1" applyFill="1" applyBorder="1" applyAlignment="1" applyProtection="1">
      <alignment horizontal="left" vertical="center"/>
      <protection locked="0"/>
    </xf>
    <xf numFmtId="0" fontId="18" fillId="0" borderId="9" xfId="7" applyFont="1" applyBorder="1" applyAlignment="1">
      <alignment horizontal="left" vertical="center" wrapText="1"/>
    </xf>
    <xf numFmtId="0" fontId="15" fillId="0" borderId="0" xfId="7" applyFont="1" applyAlignment="1">
      <alignment horizontal="left" vertical="top"/>
    </xf>
    <xf numFmtId="0" fontId="15" fillId="0" borderId="0" xfId="7" applyFont="1" applyAlignment="1">
      <alignment horizontal="left" vertical="top" wrapText="1"/>
    </xf>
    <xf numFmtId="0" fontId="8" fillId="5" borderId="0" xfId="8" applyFont="1" applyFill="1"/>
    <xf numFmtId="0" fontId="8" fillId="0" borderId="0" xfId="8" applyFont="1"/>
    <xf numFmtId="0" fontId="8" fillId="5" borderId="0" xfId="8" applyFont="1" applyFill="1" applyAlignment="1">
      <alignment vertical="center"/>
    </xf>
    <xf numFmtId="0" fontId="18" fillId="5" borderId="0" xfId="7" applyFont="1" applyFill="1" applyAlignment="1">
      <alignment horizontal="left"/>
    </xf>
    <xf numFmtId="0" fontId="18" fillId="5" borderId="0" xfId="7" applyFont="1" applyFill="1"/>
    <xf numFmtId="0" fontId="25" fillId="5" borderId="0" xfId="7" applyFont="1" applyFill="1"/>
    <xf numFmtId="0" fontId="18" fillId="5" borderId="0" xfId="7" applyFont="1" applyFill="1" applyAlignment="1">
      <alignment horizontal="left" vertical="center"/>
    </xf>
    <xf numFmtId="0" fontId="18" fillId="5" borderId="0" xfId="7" applyFont="1" applyFill="1" applyAlignment="1">
      <alignment vertical="center"/>
    </xf>
    <xf numFmtId="0" fontId="21" fillId="5" borderId="0" xfId="8" applyFont="1" applyFill="1" applyAlignment="1">
      <alignment vertical="center"/>
    </xf>
    <xf numFmtId="0" fontId="8" fillId="0" borderId="0" xfId="8" applyFont="1" applyAlignment="1">
      <alignment vertical="center"/>
    </xf>
    <xf numFmtId="0" fontId="30" fillId="2" borderId="4" xfId="8" applyFont="1" applyFill="1" applyBorder="1" applyAlignment="1">
      <alignment horizontal="center" vertical="center"/>
    </xf>
    <xf numFmtId="0" fontId="30" fillId="2" borderId="5" xfId="8" applyFont="1" applyFill="1" applyBorder="1" applyAlignment="1">
      <alignment horizontal="center" vertical="center"/>
    </xf>
    <xf numFmtId="0" fontId="30" fillId="2" borderId="11" xfId="8" applyFont="1" applyFill="1" applyBorder="1" applyAlignment="1">
      <alignment horizontal="center" vertical="center"/>
    </xf>
    <xf numFmtId="0" fontId="30" fillId="5" borderId="0" xfId="8" applyFont="1" applyFill="1" applyAlignment="1">
      <alignment horizontal="center" vertical="center"/>
    </xf>
    <xf numFmtId="0" fontId="30" fillId="9" borderId="4" xfId="8" applyFont="1" applyFill="1" applyBorder="1" applyAlignment="1" applyProtection="1">
      <alignment horizontal="center" vertical="center"/>
      <protection locked="0"/>
    </xf>
    <xf numFmtId="0" fontId="30" fillId="9" borderId="5" xfId="8" applyFont="1" applyFill="1" applyBorder="1" applyAlignment="1" applyProtection="1">
      <alignment horizontal="center" vertical="center"/>
      <protection locked="0"/>
    </xf>
    <xf numFmtId="0" fontId="30" fillId="9" borderId="11" xfId="8" applyFont="1" applyFill="1" applyBorder="1" applyAlignment="1" applyProtection="1">
      <alignment horizontal="center" vertical="center"/>
      <protection locked="0"/>
    </xf>
    <xf numFmtId="2" fontId="20" fillId="7" borderId="6" xfId="8" applyNumberFormat="1" applyFont="1" applyFill="1" applyBorder="1" applyAlignment="1">
      <alignment horizontal="left" vertical="center"/>
    </xf>
    <xf numFmtId="49" fontId="31" fillId="9" borderId="7" xfId="8" applyNumberFormat="1" applyFont="1" applyFill="1" applyBorder="1" applyAlignment="1" applyProtection="1">
      <alignment horizontal="center" vertical="center"/>
      <protection locked="0"/>
    </xf>
    <xf numFmtId="0" fontId="31" fillId="9" borderId="12" xfId="8" applyFont="1" applyFill="1" applyBorder="1" applyAlignment="1" applyProtection="1">
      <alignment horizontal="center" vertical="center"/>
      <protection locked="0"/>
    </xf>
    <xf numFmtId="0" fontId="8" fillId="5" borderId="0" xfId="8" applyFont="1" applyFill="1" applyAlignment="1">
      <alignment horizontal="center" vertical="center"/>
    </xf>
    <xf numFmtId="49" fontId="31" fillId="9" borderId="6" xfId="8" applyNumberFormat="1" applyFont="1" applyFill="1" applyBorder="1" applyAlignment="1" applyProtection="1">
      <alignment horizontal="center" vertical="center"/>
      <protection locked="0"/>
    </xf>
    <xf numFmtId="49" fontId="31" fillId="9" borderId="12" xfId="8" applyNumberFormat="1" applyFont="1" applyFill="1" applyBorder="1" applyAlignment="1" applyProtection="1">
      <alignment horizontal="center" vertical="center"/>
      <protection locked="0"/>
    </xf>
    <xf numFmtId="49" fontId="8" fillId="9" borderId="7" xfId="8" applyNumberFormat="1" applyFont="1" applyFill="1" applyBorder="1" applyAlignment="1" applyProtection="1">
      <alignment horizontal="center" vertical="center"/>
      <protection locked="0"/>
    </xf>
    <xf numFmtId="0" fontId="8" fillId="9" borderId="12" xfId="8" applyFont="1" applyFill="1" applyBorder="1" applyAlignment="1" applyProtection="1">
      <alignment horizontal="center" vertical="center"/>
      <protection locked="0"/>
    </xf>
    <xf numFmtId="2" fontId="20" fillId="7" borderId="7" xfId="8" applyNumberFormat="1" applyFont="1" applyFill="1" applyBorder="1" applyAlignment="1">
      <alignment horizontal="left" vertical="center"/>
    </xf>
    <xf numFmtId="49" fontId="8" fillId="9" borderId="12" xfId="8" applyNumberFormat="1" applyFont="1" applyFill="1" applyBorder="1" applyAlignment="1" applyProtection="1">
      <alignment horizontal="center" vertical="center"/>
      <protection locked="0"/>
    </xf>
    <xf numFmtId="2" fontId="20" fillId="7" borderId="8" xfId="8" applyNumberFormat="1" applyFont="1" applyFill="1" applyBorder="1" applyAlignment="1">
      <alignment horizontal="left" vertical="center"/>
    </xf>
    <xf numFmtId="2" fontId="20" fillId="7" borderId="9" xfId="8" applyNumberFormat="1" applyFont="1" applyFill="1" applyBorder="1" applyAlignment="1">
      <alignment horizontal="left" vertical="center"/>
    </xf>
    <xf numFmtId="2" fontId="8" fillId="5" borderId="0" xfId="8" applyNumberFormat="1" applyFont="1" applyFill="1" applyAlignment="1">
      <alignment vertical="center"/>
    </xf>
    <xf numFmtId="0" fontId="20" fillId="7" borderId="14" xfId="8" applyFont="1" applyFill="1" applyBorder="1" applyAlignment="1">
      <alignment vertical="center"/>
    </xf>
    <xf numFmtId="0" fontId="21" fillId="10" borderId="15" xfId="7" applyFont="1" applyFill="1" applyBorder="1" applyAlignment="1">
      <alignment vertical="center"/>
    </xf>
    <xf numFmtId="0" fontId="8" fillId="9" borderId="16" xfId="8" applyFont="1" applyFill="1" applyBorder="1" applyAlignment="1" applyProtection="1">
      <alignment horizontal="center" vertical="center"/>
      <protection locked="0"/>
    </xf>
    <xf numFmtId="0" fontId="8" fillId="6" borderId="6" xfId="8" applyFont="1" applyFill="1" applyBorder="1"/>
    <xf numFmtId="0" fontId="8" fillId="5" borderId="0" xfId="8" applyFont="1" applyFill="1" applyAlignment="1">
      <alignment horizontal="center"/>
    </xf>
    <xf numFmtId="0" fontId="8" fillId="6" borderId="8" xfId="8" applyFont="1" applyFill="1" applyBorder="1"/>
    <xf numFmtId="2" fontId="21" fillId="10" borderId="14" xfId="8" applyNumberFormat="1" applyFont="1" applyFill="1" applyBorder="1" applyAlignment="1">
      <alignment horizontal="left" vertical="center"/>
    </xf>
    <xf numFmtId="0" fontId="8" fillId="9" borderId="16" xfId="8" applyFont="1" applyFill="1" applyBorder="1" applyAlignment="1" applyProtection="1">
      <alignment horizontal="center"/>
      <protection locked="0"/>
    </xf>
    <xf numFmtId="0" fontId="8" fillId="9" borderId="20" xfId="8" applyFont="1" applyFill="1" applyBorder="1" applyAlignment="1" applyProtection="1">
      <alignment horizontal="center"/>
      <protection locked="0"/>
    </xf>
    <xf numFmtId="0" fontId="34" fillId="10" borderId="7" xfId="8" applyFont="1" applyFill="1" applyBorder="1"/>
    <xf numFmtId="0" fontId="21" fillId="10" borderId="21" xfId="8" applyFont="1" applyFill="1" applyBorder="1"/>
    <xf numFmtId="0" fontId="21" fillId="10" borderId="6" xfId="8" applyFont="1" applyFill="1" applyBorder="1"/>
    <xf numFmtId="0" fontId="8" fillId="9" borderId="7" xfId="8" applyFont="1" applyFill="1" applyBorder="1" applyAlignment="1" applyProtection="1">
      <alignment horizontal="center"/>
      <protection locked="0"/>
    </xf>
    <xf numFmtId="0" fontId="21" fillId="10" borderId="7" xfId="8" applyFont="1" applyFill="1" applyBorder="1"/>
    <xf numFmtId="0" fontId="8" fillId="9" borderId="11" xfId="8" applyFont="1" applyFill="1" applyBorder="1" applyAlignment="1" applyProtection="1">
      <alignment horizontal="center"/>
      <protection locked="0"/>
    </xf>
    <xf numFmtId="0" fontId="21" fillId="10" borderId="8" xfId="8" applyFont="1" applyFill="1" applyBorder="1"/>
    <xf numFmtId="0" fontId="8" fillId="9" borderId="9" xfId="8" applyFont="1" applyFill="1" applyBorder="1" applyAlignment="1" applyProtection="1">
      <alignment horizontal="center"/>
      <protection locked="0"/>
    </xf>
    <xf numFmtId="0" fontId="21" fillId="10" borderId="9" xfId="8" applyFont="1" applyFill="1" applyBorder="1"/>
    <xf numFmtId="0" fontId="8" fillId="9" borderId="13" xfId="8" applyFont="1" applyFill="1" applyBorder="1" applyAlignment="1" applyProtection="1">
      <alignment horizontal="center"/>
      <protection locked="0"/>
    </xf>
    <xf numFmtId="0" fontId="37" fillId="5" borderId="0" xfId="8" applyFont="1" applyFill="1"/>
    <xf numFmtId="0" fontId="18" fillId="0" borderId="0" xfId="7" applyFont="1" applyAlignment="1">
      <alignment horizontal="left"/>
    </xf>
    <xf numFmtId="0" fontId="25" fillId="0" borderId="0" xfId="7" applyFont="1"/>
    <xf numFmtId="0" fontId="18" fillId="0" borderId="0" xfId="7" applyFont="1"/>
    <xf numFmtId="0" fontId="18" fillId="0" borderId="0" xfId="7" applyFont="1" applyAlignment="1">
      <alignment vertical="center"/>
    </xf>
    <xf numFmtId="0" fontId="40" fillId="7" borderId="0" xfId="7" applyFont="1" applyFill="1" applyAlignment="1">
      <alignment horizontal="left" vertical="center"/>
    </xf>
    <xf numFmtId="0" fontId="20" fillId="7" borderId="0" xfId="7" applyFont="1" applyFill="1" applyAlignment="1">
      <alignment horizontal="left" vertical="center" indent="7"/>
    </xf>
    <xf numFmtId="0" fontId="20" fillId="10" borderId="7" xfId="7" applyFont="1" applyFill="1" applyBorder="1" applyAlignment="1">
      <alignment vertical="center"/>
    </xf>
    <xf numFmtId="0" fontId="20" fillId="7" borderId="7" xfId="7" applyFont="1" applyFill="1" applyBorder="1" applyAlignment="1">
      <alignment horizontal="center" vertical="center"/>
    </xf>
    <xf numFmtId="0" fontId="41" fillId="0" borderId="0" xfId="7" applyFont="1"/>
    <xf numFmtId="0" fontId="20" fillId="10" borderId="22" xfId="7" applyFont="1" applyFill="1" applyBorder="1" applyAlignment="1">
      <alignment vertical="center"/>
    </xf>
    <xf numFmtId="164" fontId="16" fillId="9" borderId="7" xfId="4" applyFont="1" applyFill="1" applyBorder="1" applyAlignment="1" applyProtection="1">
      <alignment horizontal="center" vertical="center"/>
    </xf>
    <xf numFmtId="0" fontId="21" fillId="10" borderId="7" xfId="7" applyFont="1" applyFill="1" applyBorder="1" applyAlignment="1">
      <alignment vertical="center"/>
    </xf>
    <xf numFmtId="0" fontId="41" fillId="0" borderId="0" xfId="7" applyFont="1" applyAlignment="1">
      <alignment vertical="center"/>
    </xf>
    <xf numFmtId="49" fontId="18" fillId="9" borderId="7" xfId="7" applyNumberFormat="1" applyFont="1" applyFill="1" applyBorder="1" applyAlignment="1" applyProtection="1">
      <alignment horizontal="left" vertical="center"/>
      <protection locked="0"/>
    </xf>
    <xf numFmtId="0" fontId="20" fillId="7" borderId="0" xfId="7" applyFont="1" applyFill="1" applyAlignment="1">
      <alignment horizontal="left" vertical="center"/>
    </xf>
    <xf numFmtId="164" fontId="16" fillId="9" borderId="25" xfId="4" applyFont="1" applyFill="1" applyBorder="1" applyAlignment="1" applyProtection="1">
      <alignment horizontal="center" vertical="center"/>
    </xf>
    <xf numFmtId="0" fontId="20" fillId="10" borderId="7" xfId="7" applyFont="1" applyFill="1" applyBorder="1" applyAlignment="1">
      <alignment horizontal="left" vertical="center"/>
    </xf>
    <xf numFmtId="0" fontId="18" fillId="9" borderId="7" xfId="7" applyFont="1" applyFill="1" applyBorder="1" applyAlignment="1" applyProtection="1">
      <alignment vertical="center"/>
      <protection locked="0"/>
    </xf>
    <xf numFmtId="49" fontId="31" fillId="9" borderId="7" xfId="7" applyNumberFormat="1" applyFont="1" applyFill="1" applyBorder="1" applyAlignment="1" applyProtection="1">
      <alignment vertical="center"/>
      <protection locked="0"/>
    </xf>
    <xf numFmtId="164" fontId="16" fillId="9" borderId="25" xfId="4" applyFont="1" applyFill="1" applyBorder="1" applyAlignment="1" applyProtection="1">
      <alignment horizontal="center" vertical="center"/>
      <protection locked="0"/>
    </xf>
    <xf numFmtId="0" fontId="42" fillId="0" borderId="0" xfId="7" applyFont="1" applyAlignment="1">
      <alignment vertical="center"/>
    </xf>
    <xf numFmtId="0" fontId="21" fillId="0" borderId="0" xfId="7" applyFont="1" applyAlignment="1">
      <alignment vertical="center"/>
    </xf>
    <xf numFmtId="0" fontId="43" fillId="6" borderId="0" xfId="0" applyFont="1" applyFill="1" applyAlignment="1">
      <alignment horizontal="center"/>
    </xf>
    <xf numFmtId="0" fontId="0" fillId="0" borderId="0" xfId="0" applyAlignment="1">
      <alignment wrapText="1"/>
    </xf>
    <xf numFmtId="0" fontId="44" fillId="0" borderId="0" xfId="0" applyFont="1"/>
    <xf numFmtId="0" fontId="44" fillId="6" borderId="0" xfId="0" applyFont="1" applyFill="1"/>
    <xf numFmtId="0" fontId="44" fillId="0" borderId="0" xfId="1" applyFont="1" applyBorder="1" applyProtection="1"/>
    <xf numFmtId="0" fontId="0" fillId="6" borderId="0" xfId="0" applyFill="1"/>
    <xf numFmtId="0" fontId="44" fillId="6" borderId="0" xfId="1" applyFont="1" applyFill="1" applyBorder="1" applyProtection="1"/>
    <xf numFmtId="0" fontId="45" fillId="0" borderId="0" xfId="0" applyFont="1"/>
    <xf numFmtId="15" fontId="0" fillId="0" borderId="0" xfId="0" applyNumberFormat="1" applyAlignment="1">
      <alignment horizontal="center" vertical="center"/>
    </xf>
    <xf numFmtId="15" fontId="0" fillId="10" borderId="0" xfId="0" applyNumberFormat="1" applyFill="1" applyAlignment="1">
      <alignment horizontal="center" vertical="center"/>
    </xf>
    <xf numFmtId="0" fontId="0" fillId="10" borderId="0" xfId="0" applyFill="1" applyAlignment="1">
      <alignment wrapText="1"/>
    </xf>
    <xf numFmtId="0" fontId="47" fillId="11" borderId="0" xfId="7" applyFont="1" applyFill="1" applyAlignment="1">
      <alignment horizontal="left" vertical="center"/>
    </xf>
    <xf numFmtId="0" fontId="41" fillId="13" borderId="0" xfId="7" applyFont="1" applyFill="1" applyAlignment="1">
      <alignment vertical="center"/>
    </xf>
    <xf numFmtId="0" fontId="47" fillId="0" borderId="0" xfId="7" applyFont="1" applyAlignment="1">
      <alignment horizontal="left" vertical="center"/>
    </xf>
    <xf numFmtId="0" fontId="8" fillId="9" borderId="7" xfId="8" applyFont="1" applyFill="1" applyBorder="1" applyAlignment="1" applyProtection="1">
      <alignment horizontal="center" vertical="center"/>
      <protection locked="0"/>
    </xf>
    <xf numFmtId="0" fontId="50" fillId="0" borderId="0" xfId="0" applyFont="1"/>
    <xf numFmtId="0" fontId="51" fillId="0" borderId="0" xfId="0" applyFont="1"/>
    <xf numFmtId="0" fontId="37" fillId="13" borderId="0" xfId="8" applyFont="1" applyFill="1"/>
    <xf numFmtId="0" fontId="38" fillId="0" borderId="0" xfId="7" applyFont="1" applyAlignment="1">
      <alignment horizontal="left" vertical="top"/>
    </xf>
    <xf numFmtId="0" fontId="55" fillId="5" borderId="0" xfId="8" applyFont="1" applyFill="1"/>
    <xf numFmtId="0" fontId="32" fillId="9" borderId="7" xfId="8" applyFont="1" applyFill="1" applyBorder="1" applyAlignment="1" applyProtection="1">
      <alignment horizontal="center" vertical="center" wrapText="1"/>
      <protection locked="0"/>
    </xf>
    <xf numFmtId="0" fontId="38" fillId="0" borderId="0" xfId="7" applyFont="1" applyAlignment="1">
      <alignment horizontal="left" vertical="center"/>
    </xf>
    <xf numFmtId="0" fontId="47" fillId="0" borderId="0" xfId="7" applyFont="1" applyAlignment="1">
      <alignment vertical="center"/>
    </xf>
    <xf numFmtId="0" fontId="13" fillId="0" borderId="0" xfId="0" applyFont="1" applyAlignment="1">
      <alignment horizontal="left" vertical="center" wrapText="1" indent="7"/>
    </xf>
    <xf numFmtId="0" fontId="52" fillId="0" borderId="0" xfId="0" applyFont="1" applyAlignment="1">
      <alignment horizontal="center" vertical="center" wrapText="1"/>
    </xf>
    <xf numFmtId="0" fontId="20" fillId="10" borderId="32" xfId="7" applyFont="1" applyFill="1" applyBorder="1" applyAlignment="1">
      <alignment vertical="center"/>
    </xf>
    <xf numFmtId="0" fontId="20" fillId="7" borderId="32" xfId="7" applyFont="1" applyFill="1" applyBorder="1" applyAlignment="1">
      <alignment horizontal="center" vertical="center"/>
    </xf>
    <xf numFmtId="0" fontId="20" fillId="0" borderId="47" xfId="7" applyFont="1" applyBorder="1" applyAlignment="1">
      <alignment vertical="center"/>
    </xf>
    <xf numFmtId="49" fontId="18" fillId="9" borderId="7" xfId="7" applyNumberFormat="1" applyFont="1" applyFill="1" applyBorder="1" applyAlignment="1" applyProtection="1">
      <alignment vertical="center"/>
      <protection locked="0"/>
    </xf>
    <xf numFmtId="0" fontId="8" fillId="6" borderId="1" xfId="0" applyFont="1" applyFill="1" applyBorder="1" applyAlignment="1">
      <alignment horizontal="left" vertical="center" wrapText="1" indent="7"/>
    </xf>
    <xf numFmtId="0" fontId="12" fillId="7" borderId="44" xfId="7" applyFont="1" applyFill="1" applyBorder="1" applyAlignment="1">
      <alignment horizontal="left" vertical="center"/>
    </xf>
    <xf numFmtId="0" fontId="12" fillId="7" borderId="45" xfId="7" applyFont="1" applyFill="1" applyBorder="1" applyAlignment="1">
      <alignment horizontal="left" vertical="center"/>
    </xf>
    <xf numFmtId="0" fontId="12" fillId="7" borderId="46" xfId="7" applyFont="1" applyFill="1" applyBorder="1" applyAlignment="1">
      <alignment horizontal="left" vertical="center"/>
    </xf>
    <xf numFmtId="0" fontId="13" fillId="0" borderId="37" xfId="0" applyFont="1" applyBorder="1" applyAlignment="1">
      <alignment horizontal="left" vertical="center" wrapText="1" indent="7"/>
    </xf>
    <xf numFmtId="0" fontId="13" fillId="0" borderId="38" xfId="0" applyFont="1" applyBorder="1" applyAlignment="1">
      <alignment horizontal="left" vertical="center" wrapText="1" indent="7"/>
    </xf>
    <xf numFmtId="0" fontId="13" fillId="0" borderId="39" xfId="0" applyFont="1" applyBorder="1" applyAlignment="1">
      <alignment horizontal="left" vertical="center" wrapText="1" indent="7"/>
    </xf>
    <xf numFmtId="0" fontId="13" fillId="0" borderId="21" xfId="0" applyFont="1" applyBorder="1" applyAlignment="1">
      <alignment horizontal="left" vertical="center" wrapText="1" indent="7"/>
    </xf>
    <xf numFmtId="0" fontId="13" fillId="0" borderId="0" xfId="0" applyFont="1" applyAlignment="1">
      <alignment horizontal="left" vertical="center" wrapText="1" indent="7"/>
    </xf>
    <xf numFmtId="0" fontId="13" fillId="0" borderId="40" xfId="0" applyFont="1" applyBorder="1" applyAlignment="1">
      <alignment horizontal="left" vertical="center" wrapText="1" indent="7"/>
    </xf>
    <xf numFmtId="0" fontId="13" fillId="0" borderId="41" xfId="0" applyFont="1" applyBorder="1" applyAlignment="1">
      <alignment horizontal="left" vertical="center" wrapText="1" indent="7"/>
    </xf>
    <xf numFmtId="0" fontId="13" fillId="0" borderId="42" xfId="0" applyFont="1" applyBorder="1" applyAlignment="1">
      <alignment horizontal="left" vertical="center" wrapText="1" indent="7"/>
    </xf>
    <xf numFmtId="0" fontId="13" fillId="0" borderId="43" xfId="0" applyFont="1" applyBorder="1" applyAlignment="1">
      <alignment horizontal="left" vertical="center" wrapText="1" indent="7"/>
    </xf>
    <xf numFmtId="0" fontId="12" fillId="7" borderId="2" xfId="7" applyFont="1" applyFill="1" applyBorder="1" applyAlignment="1">
      <alignment horizontal="left" vertical="center"/>
    </xf>
    <xf numFmtId="0" fontId="14" fillId="0" borderId="3" xfId="0" applyFont="1" applyBorder="1" applyAlignment="1">
      <alignment horizontal="left" vertical="center" wrapText="1" indent="7"/>
    </xf>
    <xf numFmtId="0" fontId="16" fillId="6" borderId="1" xfId="1" applyFont="1" applyFill="1" applyBorder="1" applyAlignment="1" applyProtection="1">
      <alignment horizontal="left" vertical="center" wrapText="1"/>
    </xf>
    <xf numFmtId="0" fontId="22" fillId="8" borderId="6" xfId="7" applyFont="1" applyFill="1" applyBorder="1" applyAlignment="1">
      <alignment horizontal="left" vertical="center" wrapText="1"/>
    </xf>
    <xf numFmtId="0" fontId="24" fillId="8" borderId="6" xfId="7" applyFont="1" applyFill="1" applyBorder="1" applyAlignment="1">
      <alignment horizontal="left" vertical="center" wrapText="1"/>
    </xf>
    <xf numFmtId="0" fontId="26" fillId="6" borderId="1" xfId="1" applyFont="1" applyFill="1" applyBorder="1" applyAlignment="1" applyProtection="1">
      <alignment vertical="center" wrapText="1"/>
    </xf>
    <xf numFmtId="0" fontId="29" fillId="7" borderId="10" xfId="8" applyFont="1" applyFill="1" applyBorder="1" applyAlignment="1">
      <alignment horizontal="center" vertical="center"/>
    </xf>
    <xf numFmtId="0" fontId="29" fillId="7" borderId="1" xfId="8" applyFont="1" applyFill="1" applyBorder="1" applyAlignment="1">
      <alignment horizontal="center" vertical="center"/>
    </xf>
    <xf numFmtId="0" fontId="30" fillId="2" borderId="5" xfId="8" applyFont="1" applyFill="1" applyBorder="1" applyAlignment="1">
      <alignment horizontal="center" vertical="center"/>
    </xf>
    <xf numFmtId="0" fontId="30" fillId="2" borderId="11" xfId="8" applyFont="1" applyFill="1" applyBorder="1" applyAlignment="1">
      <alignment horizontal="center" vertical="center"/>
    </xf>
    <xf numFmtId="0" fontId="20" fillId="10" borderId="17" xfId="7" applyFont="1" applyFill="1" applyBorder="1" applyAlignment="1">
      <alignment horizontal="left" vertical="center"/>
    </xf>
    <xf numFmtId="0" fontId="20" fillId="7" borderId="12" xfId="7" applyFont="1" applyFill="1" applyBorder="1" applyAlignment="1">
      <alignment horizontal="center" vertical="center"/>
    </xf>
    <xf numFmtId="0" fontId="33" fillId="9" borderId="12" xfId="8" applyFont="1" applyFill="1" applyBorder="1" applyAlignment="1" applyProtection="1">
      <alignment horizontal="left"/>
      <protection locked="0"/>
    </xf>
    <xf numFmtId="0" fontId="21" fillId="10" borderId="17" xfId="7" applyFont="1" applyFill="1" applyBorder="1" applyAlignment="1">
      <alignment vertical="center"/>
    </xf>
    <xf numFmtId="0" fontId="18" fillId="9" borderId="12" xfId="7" applyFont="1" applyFill="1" applyBorder="1" applyAlignment="1" applyProtection="1">
      <alignment vertical="center"/>
      <protection locked="0"/>
    </xf>
    <xf numFmtId="0" fontId="18" fillId="9" borderId="12" xfId="7" applyFont="1" applyFill="1" applyBorder="1" applyAlignment="1" applyProtection="1">
      <alignment horizontal="left" vertical="center"/>
      <protection locked="0"/>
    </xf>
    <xf numFmtId="49" fontId="18" fillId="9" borderId="12" xfId="7" applyNumberFormat="1" applyFont="1" applyFill="1" applyBorder="1" applyAlignment="1" applyProtection="1">
      <alignment horizontal="left" vertical="center"/>
      <protection locked="0"/>
    </xf>
    <xf numFmtId="0" fontId="33" fillId="9" borderId="7" xfId="8" applyFont="1" applyFill="1" applyBorder="1" applyAlignment="1" applyProtection="1">
      <alignment horizontal="left"/>
      <protection locked="0"/>
    </xf>
    <xf numFmtId="0" fontId="33" fillId="6" borderId="7" xfId="8" applyFont="1" applyFill="1" applyBorder="1" applyAlignment="1" applyProtection="1">
      <alignment horizontal="left"/>
      <protection locked="0"/>
    </xf>
    <xf numFmtId="0" fontId="49" fillId="6" borderId="12" xfId="8" applyFont="1" applyFill="1" applyBorder="1" applyAlignment="1" applyProtection="1">
      <alignment horizontal="left"/>
      <protection locked="0"/>
    </xf>
    <xf numFmtId="0" fontId="33" fillId="6" borderId="12" xfId="8" applyFont="1" applyFill="1" applyBorder="1" applyAlignment="1" applyProtection="1">
      <alignment horizontal="left"/>
      <protection locked="0"/>
    </xf>
    <xf numFmtId="0" fontId="8" fillId="9" borderId="12" xfId="8" applyFont="1" applyFill="1" applyBorder="1" applyProtection="1">
      <protection locked="0"/>
    </xf>
    <xf numFmtId="49" fontId="18" fillId="14" borderId="26" xfId="7" applyNumberFormat="1" applyFont="1" applyFill="1" applyBorder="1" applyAlignment="1" applyProtection="1">
      <alignment horizontal="left" vertical="center"/>
      <protection locked="0"/>
    </xf>
    <xf numFmtId="49" fontId="18" fillId="14" borderId="28" xfId="7" applyNumberFormat="1" applyFont="1" applyFill="1" applyBorder="1" applyAlignment="1" applyProtection="1">
      <alignment horizontal="left" vertical="center"/>
      <protection locked="0"/>
    </xf>
    <xf numFmtId="0" fontId="21" fillId="10" borderId="21" xfId="7" applyFont="1" applyFill="1" applyBorder="1" applyAlignment="1">
      <alignment horizontal="left" vertical="center"/>
    </xf>
    <xf numFmtId="0" fontId="21" fillId="10" borderId="0" xfId="7" applyFont="1" applyFill="1" applyAlignment="1">
      <alignment horizontal="left" vertical="center"/>
    </xf>
    <xf numFmtId="0" fontId="21" fillId="10" borderId="29" xfId="7" applyFont="1" applyFill="1" applyBorder="1" applyAlignment="1">
      <alignment horizontal="left" vertical="center"/>
    </xf>
    <xf numFmtId="0" fontId="33" fillId="9" borderId="9" xfId="8" applyFont="1" applyFill="1" applyBorder="1" applyAlignment="1" applyProtection="1">
      <alignment horizontal="left"/>
      <protection locked="0"/>
    </xf>
    <xf numFmtId="0" fontId="33" fillId="9" borderId="13" xfId="8" applyFont="1" applyFill="1" applyBorder="1" applyAlignment="1" applyProtection="1">
      <alignment horizontal="left"/>
      <protection locked="0"/>
    </xf>
    <xf numFmtId="0" fontId="36" fillId="5" borderId="7" xfId="8" applyFont="1" applyFill="1" applyBorder="1" applyAlignment="1">
      <alignment horizontal="left" vertical="top" wrapText="1"/>
    </xf>
    <xf numFmtId="49" fontId="18" fillId="15" borderId="30" xfId="0" applyNumberFormat="1" applyFont="1" applyFill="1" applyBorder="1" applyAlignment="1" applyProtection="1">
      <alignment horizontal="left" vertical="center"/>
      <protection locked="0"/>
    </xf>
    <xf numFmtId="49" fontId="18" fillId="15" borderId="31" xfId="0" applyNumberFormat="1" applyFont="1" applyFill="1" applyBorder="1" applyAlignment="1" applyProtection="1">
      <alignment horizontal="left" vertical="center"/>
      <protection locked="0"/>
    </xf>
    <xf numFmtId="0" fontId="21" fillId="10" borderId="18" xfId="7" applyFont="1" applyFill="1" applyBorder="1" applyAlignment="1">
      <alignment vertical="center"/>
    </xf>
    <xf numFmtId="0" fontId="18" fillId="9" borderId="13" xfId="7" applyFont="1" applyFill="1" applyBorder="1" applyAlignment="1" applyProtection="1">
      <alignment horizontal="left" vertical="center"/>
      <protection locked="0"/>
    </xf>
    <xf numFmtId="0" fontId="21" fillId="10" borderId="19" xfId="8" applyFont="1" applyFill="1" applyBorder="1"/>
    <xf numFmtId="0" fontId="35" fillId="9" borderId="7" xfId="8" applyFont="1" applyFill="1" applyBorder="1" applyProtection="1">
      <protection locked="0"/>
    </xf>
    <xf numFmtId="0" fontId="8" fillId="9" borderId="7" xfId="8" applyFont="1" applyFill="1" applyBorder="1" applyAlignment="1" applyProtection="1">
      <alignment horizontal="left" vertical="center"/>
      <protection locked="0"/>
    </xf>
    <xf numFmtId="0" fontId="18" fillId="9" borderId="7" xfId="7" applyFont="1" applyFill="1" applyBorder="1" applyAlignment="1" applyProtection="1">
      <alignment horizontal="left" vertical="center"/>
      <protection locked="0"/>
    </xf>
    <xf numFmtId="0" fontId="18" fillId="12" borderId="26" xfId="7" applyFont="1" applyFill="1" applyBorder="1" applyAlignment="1" applyProtection="1">
      <alignment horizontal="left" vertical="center"/>
      <protection locked="0"/>
    </xf>
    <xf numFmtId="0" fontId="18" fillId="12" borderId="27" xfId="7" applyFont="1" applyFill="1" applyBorder="1" applyAlignment="1" applyProtection="1">
      <alignment horizontal="left" vertical="center"/>
      <protection locked="0"/>
    </xf>
    <xf numFmtId="0" fontId="18" fillId="9" borderId="26" xfId="7" applyFont="1" applyFill="1" applyBorder="1" applyAlignment="1" applyProtection="1">
      <alignment horizontal="left" vertical="center"/>
      <protection locked="0"/>
    </xf>
    <xf numFmtId="0" fontId="18" fillId="9" borderId="27" xfId="7" applyFont="1" applyFill="1" applyBorder="1" applyAlignment="1" applyProtection="1">
      <alignment horizontal="left" vertical="center"/>
      <protection locked="0"/>
    </xf>
    <xf numFmtId="0" fontId="39" fillId="0" borderId="0" xfId="7" applyFont="1" applyAlignment="1">
      <alignment horizontal="left" vertical="center" wrapText="1"/>
    </xf>
    <xf numFmtId="0" fontId="20" fillId="7" borderId="7" xfId="7" applyFont="1" applyFill="1" applyBorder="1" applyAlignment="1">
      <alignment horizontal="center" vertical="center"/>
    </xf>
    <xf numFmtId="0" fontId="18" fillId="9" borderId="7" xfId="7" applyFont="1" applyFill="1" applyBorder="1" applyAlignment="1" applyProtection="1">
      <alignment vertical="center"/>
      <protection locked="0"/>
    </xf>
    <xf numFmtId="0" fontId="8" fillId="9" borderId="7" xfId="7" applyFont="1" applyFill="1" applyBorder="1" applyAlignment="1" applyProtection="1">
      <alignment vertical="center"/>
      <protection locked="0"/>
    </xf>
    <xf numFmtId="0" fontId="53" fillId="9" borderId="35" xfId="7" quotePrefix="1" applyFont="1" applyFill="1" applyBorder="1" applyAlignment="1" applyProtection="1">
      <alignment horizontal="left" vertical="top" wrapText="1"/>
      <protection locked="0"/>
    </xf>
    <xf numFmtId="0" fontId="53" fillId="9" borderId="36" xfId="7" applyFont="1" applyFill="1" applyBorder="1" applyAlignment="1" applyProtection="1">
      <alignment horizontal="left" vertical="top" wrapText="1"/>
      <protection locked="0"/>
    </xf>
    <xf numFmtId="0" fontId="53" fillId="9" borderId="23" xfId="7" applyFont="1" applyFill="1" applyBorder="1" applyAlignment="1" applyProtection="1">
      <alignment horizontal="left" vertical="top" wrapText="1"/>
      <protection locked="0"/>
    </xf>
    <xf numFmtId="0" fontId="53" fillId="9" borderId="29" xfId="7" applyFont="1" applyFill="1" applyBorder="1" applyAlignment="1" applyProtection="1">
      <alignment horizontal="left" vertical="top" wrapText="1"/>
      <protection locked="0"/>
    </xf>
    <xf numFmtId="0" fontId="53" fillId="9" borderId="33" xfId="7" applyFont="1" applyFill="1" applyBorder="1" applyAlignment="1" applyProtection="1">
      <alignment horizontal="left" vertical="top" wrapText="1"/>
      <protection locked="0"/>
    </xf>
    <xf numFmtId="0" fontId="53" fillId="9" borderId="34" xfId="7" applyFont="1" applyFill="1" applyBorder="1" applyAlignment="1" applyProtection="1">
      <alignment horizontal="left" vertical="top" wrapText="1"/>
      <protection locked="0"/>
    </xf>
    <xf numFmtId="0" fontId="21" fillId="10" borderId="22" xfId="7" applyFont="1" applyFill="1" applyBorder="1" applyAlignment="1">
      <alignment horizontal="left" vertical="top" wrapText="1"/>
    </xf>
    <xf numFmtId="0" fontId="21" fillId="10" borderId="24" xfId="7" applyFont="1" applyFill="1" applyBorder="1" applyAlignment="1">
      <alignment horizontal="left" vertical="top"/>
    </xf>
    <xf numFmtId="0" fontId="21" fillId="10" borderId="32" xfId="7" applyFont="1" applyFill="1" applyBorder="1" applyAlignment="1">
      <alignment horizontal="left" vertical="top"/>
    </xf>
    <xf numFmtId="49" fontId="18" fillId="9" borderId="7" xfId="7" applyNumberFormat="1" applyFont="1" applyFill="1" applyBorder="1" applyAlignment="1" applyProtection="1">
      <alignment vertical="center"/>
      <protection locked="0"/>
    </xf>
    <xf numFmtId="0" fontId="20" fillId="10" borderId="24" xfId="7" applyFont="1" applyFill="1" applyBorder="1" applyAlignment="1">
      <alignment vertical="center"/>
    </xf>
    <xf numFmtId="0" fontId="16" fillId="6" borderId="1" xfId="1" applyFont="1" applyFill="1" applyBorder="1" applyAlignment="1" applyProtection="1">
      <alignment vertical="center" wrapText="1"/>
    </xf>
    <xf numFmtId="0" fontId="20" fillId="7" borderId="23" xfId="7" applyFont="1" applyFill="1" applyBorder="1" applyAlignment="1">
      <alignment horizontal="center" vertical="center"/>
    </xf>
    <xf numFmtId="0" fontId="8" fillId="9" borderId="7" xfId="0" applyFont="1" applyFill="1" applyBorder="1" applyAlignment="1" applyProtection="1">
      <alignment horizontal="center" vertical="center"/>
      <protection locked="0"/>
    </xf>
    <xf numFmtId="0" fontId="48" fillId="0" borderId="0" xfId="7" applyFont="1" applyAlignment="1">
      <alignment horizontal="center" vertical="center" wrapText="1"/>
    </xf>
    <xf numFmtId="0" fontId="8" fillId="9" borderId="7" xfId="0" applyFont="1" applyFill="1" applyBorder="1" applyAlignment="1" applyProtection="1">
      <alignment vertical="center"/>
      <protection locked="0"/>
    </xf>
    <xf numFmtId="49" fontId="31" fillId="9" borderId="7" xfId="0" applyNumberFormat="1" applyFont="1" applyFill="1" applyBorder="1" applyAlignment="1" applyProtection="1">
      <alignment vertical="center"/>
      <protection locked="0"/>
    </xf>
    <xf numFmtId="0" fontId="18" fillId="0" borderId="47" xfId="7" applyFont="1" applyBorder="1" applyAlignment="1" applyProtection="1">
      <alignment horizontal="left" vertical="center"/>
      <protection locked="0"/>
    </xf>
    <xf numFmtId="0" fontId="20" fillId="7" borderId="7" xfId="7" applyFont="1" applyFill="1" applyBorder="1" applyAlignment="1">
      <alignment vertical="center"/>
    </xf>
    <xf numFmtId="165" fontId="18" fillId="9" borderId="7" xfId="7" applyNumberFormat="1" applyFont="1" applyFill="1" applyBorder="1" applyAlignment="1" applyProtection="1">
      <alignment vertical="center"/>
      <protection locked="0"/>
    </xf>
    <xf numFmtId="1" fontId="18" fillId="9" borderId="7" xfId="7" applyNumberFormat="1" applyFont="1" applyFill="1" applyBorder="1" applyAlignment="1" applyProtection="1">
      <alignment vertical="center"/>
      <protection locked="0"/>
    </xf>
    <xf numFmtId="0" fontId="8" fillId="9" borderId="7" xfId="8" applyFont="1" applyFill="1" applyBorder="1" applyAlignment="1" applyProtection="1">
      <alignment vertical="center"/>
      <protection locked="0"/>
    </xf>
  </cellXfs>
  <cellStyles count="10">
    <cellStyle name="60% - Accent1 2" xfId="2" xr:uid="{00000000-0005-0000-0000-000006000000}"/>
    <cellStyle name="Accent1 2" xfId="3" xr:uid="{00000000-0005-0000-0000-000007000000}"/>
    <cellStyle name="Comma 2" xfId="4" xr:uid="{00000000-0005-0000-0000-000008000000}"/>
    <cellStyle name="Hyperlink" xfId="1" builtinId="8"/>
    <cellStyle name="Hyperlink 2" xfId="5" xr:uid="{00000000-0005-0000-0000-000009000000}"/>
    <cellStyle name="Hyperlink 3" xfId="6" xr:uid="{00000000-0005-0000-0000-00000A000000}"/>
    <cellStyle name="Normal" xfId="0" builtinId="0"/>
    <cellStyle name="Normal 2" xfId="7" xr:uid="{00000000-0005-0000-0000-00000B000000}"/>
    <cellStyle name="Normal 3" xfId="8" xr:uid="{00000000-0005-0000-0000-00000C000000}"/>
    <cellStyle name="Normal 3 2" xfId="9" xr:uid="{00000000-0005-0000-0000-00000D000000}"/>
  </cellStyles>
  <dxfs count="145">
    <dxf>
      <font>
        <b val="0"/>
        <i val="0"/>
        <color rgb="FF000000"/>
      </font>
      <fill>
        <patternFill>
          <bgColor rgb="FFFFFFE5"/>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color rgb="FF595959"/>
      </font>
      <fill>
        <patternFill>
          <bgColor rgb="FF303030"/>
        </patternFill>
      </fill>
    </dxf>
    <dxf>
      <font>
        <b/>
        <i val="0"/>
        <color rgb="FF9C0006"/>
      </font>
      <fill>
        <patternFill>
          <bgColor rgb="FFE6B9B8"/>
        </patternFill>
      </fill>
    </dxf>
    <dxf>
      <font>
        <b/>
        <i val="0"/>
        <color rgb="FFFF0000"/>
      </font>
    </dxf>
    <dxf>
      <font>
        <b/>
        <i val="0"/>
        <color rgb="FFFF0000"/>
      </font>
    </dxf>
    <dxf>
      <font>
        <b/>
        <i val="0"/>
        <color rgb="FFFF0000"/>
      </font>
    </dxf>
    <dxf>
      <font>
        <b/>
        <i val="0"/>
        <color rgb="FFFF0000"/>
      </font>
    </dxf>
    <dxf>
      <font>
        <b/>
        <i val="0"/>
        <color rgb="FFFF0000"/>
      </font>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ill>
        <patternFill>
          <bgColor rgb="FFF2F2F2"/>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ill>
        <patternFill>
          <bgColor rgb="FFF2F2F2"/>
        </patternFill>
      </fill>
    </dxf>
    <dxf>
      <font>
        <b val="0"/>
        <i val="0"/>
        <color rgb="FF000000"/>
      </font>
      <fill>
        <patternFill>
          <bgColor rgb="FFFFFFE5"/>
        </patternFill>
      </fill>
    </dxf>
    <dxf>
      <font>
        <b/>
        <i val="0"/>
        <color rgb="FF9C0006"/>
      </font>
      <fill>
        <patternFill>
          <bgColor rgb="FFE6B9B8"/>
        </patternFill>
      </fill>
    </dxf>
    <dxf>
      <fill>
        <patternFill>
          <bgColor rgb="FFF2F2F2"/>
        </patternFill>
      </fill>
    </dxf>
    <dxf>
      <font>
        <color rgb="FF595959"/>
      </font>
      <fill>
        <patternFill>
          <bgColor rgb="FF303030"/>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color rgb="FF595959"/>
      </font>
      <fill>
        <patternFill>
          <bgColor rgb="FF303030"/>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C00000"/>
      </font>
      <fill>
        <patternFill>
          <bgColor rgb="FFE6B9B8"/>
        </patternFill>
      </fill>
    </dxf>
    <dxf>
      <font>
        <b/>
        <i val="0"/>
        <color rgb="FFC00000"/>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C00000"/>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val="0"/>
        <i val="0"/>
        <color rgb="FF000000"/>
      </font>
      <fill>
        <patternFill>
          <bgColor rgb="FFD9D9D9"/>
        </patternFill>
      </fill>
    </dxf>
    <dxf>
      <font>
        <b val="0"/>
        <i val="0"/>
        <color rgb="FF000000"/>
      </font>
      <fill>
        <patternFill>
          <bgColor rgb="FFFFFFE5"/>
        </patternFill>
      </fill>
    </dxf>
    <dxf>
      <font>
        <b val="0"/>
        <i val="0"/>
        <color rgb="FF000000"/>
      </font>
      <fill>
        <patternFill>
          <bgColor rgb="FFFFFFE5"/>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color rgb="FF595959"/>
      </font>
      <fill>
        <patternFill>
          <bgColor rgb="FF303030"/>
        </patternFill>
      </fill>
    </dxf>
    <dxf>
      <font>
        <color rgb="FF595959"/>
      </font>
      <fill>
        <patternFill>
          <bgColor rgb="FF303030"/>
        </patternFill>
      </fill>
    </dxf>
    <dxf>
      <fill>
        <patternFill>
          <bgColor rgb="FFF2F2F2"/>
        </patternFill>
      </fill>
    </dxf>
    <dxf>
      <fill>
        <patternFill>
          <bgColor rgb="FFF2F2F2"/>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color rgb="FF9C0006"/>
      </font>
      <fill>
        <patternFill>
          <bgColor rgb="FFFFC7CE"/>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1"/>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rgb="FFE6B9B8"/>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rgb="FFE6B9B8"/>
        </patternFill>
      </fill>
    </dxf>
    <dxf>
      <font>
        <b/>
        <i val="0"/>
        <color rgb="FF9C0006"/>
      </font>
      <fill>
        <patternFill>
          <bgColor rgb="FFE6B9B8"/>
        </patternFill>
      </fill>
    </dxf>
    <dxf>
      <font>
        <color rgb="FF595959"/>
      </font>
      <fill>
        <patternFill>
          <bgColor rgb="FF303030"/>
        </patternFill>
      </fill>
    </dxf>
    <dxf>
      <font>
        <b/>
        <i val="0"/>
        <color rgb="FF9C0006"/>
      </font>
      <fill>
        <patternFill>
          <bgColor rgb="FFE6B9B8"/>
        </patternFill>
      </fill>
    </dxf>
    <dxf>
      <font>
        <b/>
        <i val="0"/>
        <color rgb="FF9C0006"/>
      </font>
      <fill>
        <patternFill>
          <bgColor rgb="FFE6B9B8"/>
        </patternFill>
      </fill>
    </dxf>
    <dxf>
      <font>
        <b val="0"/>
        <i val="0"/>
        <color theme="1"/>
      </font>
      <fill>
        <patternFill>
          <bgColor theme="0" tint="-4.9989318521683403E-2"/>
        </patternFill>
      </fill>
    </dxf>
    <dxf>
      <font>
        <b/>
        <i val="0"/>
        <color rgb="FFC00000"/>
      </font>
      <fill>
        <patternFill>
          <bgColor rgb="FFE6B9B8"/>
        </patternFill>
      </fill>
    </dxf>
    <dxf>
      <font>
        <b val="0"/>
        <i val="0"/>
        <color theme="1"/>
      </font>
      <fill>
        <patternFill>
          <bgColor theme="0" tint="-4.9989318521683403E-2"/>
        </patternFill>
      </fill>
    </dxf>
    <dxf>
      <font>
        <b/>
        <i val="0"/>
        <color rgb="FF9C0006"/>
      </font>
      <fill>
        <patternFill>
          <bgColor rgb="FFE6B9B8"/>
        </patternFill>
      </fill>
    </dxf>
    <dxf>
      <font>
        <b val="0"/>
        <i val="0"/>
        <color theme="1"/>
      </font>
      <fill>
        <patternFill>
          <bgColor theme="0" tint="-4.9989318521683403E-2"/>
        </patternFill>
      </fill>
    </dxf>
    <dxf>
      <font>
        <b val="0"/>
        <i val="0"/>
        <color theme="1"/>
      </font>
      <fill>
        <patternFill>
          <bgColor theme="0" tint="-4.9989318521683403E-2"/>
        </patternFill>
      </fill>
    </dxf>
    <dxf>
      <font>
        <b/>
        <i val="0"/>
        <color rgb="FFC00000"/>
      </font>
      <fill>
        <patternFill>
          <bgColor rgb="FFE6B9B8"/>
        </patternFill>
      </fill>
    </dxf>
    <dxf>
      <font>
        <b val="0"/>
        <i val="0"/>
        <color theme="1"/>
      </font>
      <fill>
        <patternFill>
          <bgColor theme="0" tint="-4.9989318521683403E-2"/>
        </patternFill>
      </fill>
    </dxf>
    <dxf>
      <font>
        <b val="0"/>
        <i val="0"/>
        <color theme="1"/>
      </font>
      <fill>
        <patternFill>
          <bgColor theme="0" tint="-4.9989318521683403E-2"/>
        </patternFill>
      </fill>
    </dxf>
    <dxf>
      <font>
        <b/>
        <i val="0"/>
        <color rgb="FFC00000"/>
      </font>
      <fill>
        <patternFill>
          <bgColor rgb="FFE6B9B8"/>
        </patternFill>
      </fill>
    </dxf>
    <dxf>
      <font>
        <b val="0"/>
        <i val="0"/>
        <color theme="1"/>
      </font>
      <fill>
        <patternFill>
          <bgColor theme="0" tint="-4.9989318521683403E-2"/>
        </patternFill>
      </fill>
    </dxf>
    <dxf>
      <font>
        <b/>
        <i val="0"/>
        <color rgb="FFC00000"/>
      </font>
      <fill>
        <patternFill>
          <bgColor rgb="FFE6B9B8"/>
        </patternFill>
      </fill>
    </dxf>
    <dxf>
      <font>
        <b/>
        <i val="0"/>
        <color rgb="FFC00000"/>
      </font>
      <fill>
        <patternFill>
          <bgColor rgb="FFE6B9B8"/>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E6B9B8"/>
      <rgbColor rgb="FF808080"/>
      <rgbColor rgb="FF558ED5"/>
      <rgbColor rgb="FF993366"/>
      <rgbColor rgb="FFFFFFE5"/>
      <rgbColor rgb="FFDCE6F2"/>
      <rgbColor rgb="FF660066"/>
      <rgbColor rgb="FFFF8080"/>
      <rgbColor rgb="FF0066CC"/>
      <rgbColor rgb="FFB9CDE5"/>
      <rgbColor rgb="FF000080"/>
      <rgbColor rgb="FFFF00FF"/>
      <rgbColor rgb="FFFFFF00"/>
      <rgbColor rgb="FF00FFFF"/>
      <rgbColor rgb="FF800080"/>
      <rgbColor rgb="FFC00000"/>
      <rgbColor rgb="FF008080"/>
      <rgbColor rgb="FF0000FF"/>
      <rgbColor rgb="FF00CCFF"/>
      <rgbColor rgb="FFF2F2F2"/>
      <rgbColor rgb="FFD9D9D9"/>
      <rgbColor rgb="FFFFFF99"/>
      <rgbColor rgb="FF95B3D7"/>
      <rgbColor rgb="FFFF99CC"/>
      <rgbColor rgb="FFCC99FF"/>
      <rgbColor rgb="FFFFC7CE"/>
      <rgbColor rgb="FF4F81BD"/>
      <rgbColor rgb="FF33CCCC"/>
      <rgbColor rgb="FF9BBB59"/>
      <rgbColor rgb="FFFFCC00"/>
      <rgbColor rgb="FFFF9900"/>
      <rgbColor rgb="FFFF6600"/>
      <rgbColor rgb="FF595959"/>
      <rgbColor rgb="FF969696"/>
      <rgbColor rgb="FF003366"/>
      <rgbColor rgb="FF339966"/>
      <rgbColor rgb="FF003300"/>
      <rgbColor rgb="FF1D1C1D"/>
      <rgbColor rgb="FF993300"/>
      <rgbColor rgb="FF993366"/>
      <rgbColor rgb="FF376092"/>
      <rgbColor rgb="FF303030"/>
      <rgbColor rgb="00003366"/>
      <rgbColor rgb="00339966"/>
      <rgbColor rgb="00003300"/>
      <rgbColor rgb="00333300"/>
      <rgbColor rgb="00993300"/>
      <rgbColor rgb="00993366"/>
      <rgbColor rgb="00333399"/>
      <rgbColor rgb="00333333"/>
    </indexedColors>
    <mruColors>
      <color rgb="FFD9D9D9"/>
      <color rgb="FF9C0001"/>
      <color rgb="FFE6B9B8"/>
      <color rgb="FFFFFFDB"/>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19440</xdr:colOff>
      <xdr:row>0</xdr:row>
      <xdr:rowOff>19440</xdr:rowOff>
    </xdr:from>
    <xdr:to>
      <xdr:col>5</xdr:col>
      <xdr:colOff>569790</xdr:colOff>
      <xdr:row>1</xdr:row>
      <xdr:rowOff>10695</xdr:rowOff>
    </xdr:to>
    <xdr:pic>
      <xdr:nvPicPr>
        <xdr:cNvPr id="2" name="Picture 4">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9440" y="19440"/>
          <a:ext cx="17274240" cy="602640"/>
        </a:xfrm>
        <a:prstGeom prst="rect">
          <a:avLst/>
        </a:prstGeom>
        <a:ln>
          <a:noFill/>
        </a:ln>
      </xdr:spPr>
    </xdr:pic>
    <xdr:clientData/>
  </xdr:twoCellAnchor>
  <xdr:twoCellAnchor editAs="oneCell">
    <xdr:from>
      <xdr:col>3</xdr:col>
      <xdr:colOff>1640160</xdr:colOff>
      <xdr:row>0</xdr:row>
      <xdr:rowOff>142560</xdr:rowOff>
    </xdr:from>
    <xdr:to>
      <xdr:col>3</xdr:col>
      <xdr:colOff>3048990</xdr:colOff>
      <xdr:row>0</xdr:row>
      <xdr:rowOff>458280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13451760" y="142560"/>
          <a:ext cx="1412640" cy="315720"/>
        </a:xfrm>
        <a:prstGeom prst="rect">
          <a:avLst/>
        </a:prstGeom>
        <a:ln>
          <a:noFill/>
        </a:ln>
      </xdr:spPr>
    </xdr:pic>
    <xdr:clientData/>
  </xdr:twoCellAnchor>
  <xdr:twoCellAnchor>
    <xdr:from>
      <xdr:col>1</xdr:col>
      <xdr:colOff>57240</xdr:colOff>
      <xdr:row>0</xdr:row>
      <xdr:rowOff>94680</xdr:rowOff>
    </xdr:from>
    <xdr:to>
      <xdr:col>2</xdr:col>
      <xdr:colOff>4673160</xdr:colOff>
      <xdr:row>0</xdr:row>
      <xdr:rowOff>598320</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161280" y="94680"/>
          <a:ext cx="11625480" cy="503640"/>
        </a:xfrm>
        <a:prstGeom prst="rect">
          <a:avLst/>
        </a:prstGeom>
        <a:noFill/>
        <a:ln>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nSpc>
              <a:spcPct val="100000"/>
            </a:lnSpc>
          </a:pPr>
          <a:r>
            <a:rPr lang="en-US" sz="2800" b="0" strike="noStrike" spc="-1">
              <a:solidFill>
                <a:srgbClr val="FFFFFF"/>
              </a:solidFill>
              <a:latin typeface="Metropolis"/>
            </a:rPr>
            <a:t>VMware Cloud Foundation</a:t>
          </a:r>
          <a:endParaRPr lang="en-US" sz="28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9360</xdr:rowOff>
    </xdr:from>
    <xdr:to>
      <xdr:col>4</xdr:col>
      <xdr:colOff>433</xdr:colOff>
      <xdr:row>1</xdr:row>
      <xdr:rowOff>240</xdr:rowOff>
    </xdr:to>
    <xdr:pic>
      <xdr:nvPicPr>
        <xdr:cNvPr id="3" name="Picture 4">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a:stretch/>
      </xdr:blipFill>
      <xdr:spPr>
        <a:xfrm>
          <a:off x="0" y="9360"/>
          <a:ext cx="15203160" cy="600480"/>
        </a:xfrm>
        <a:prstGeom prst="rect">
          <a:avLst/>
        </a:prstGeom>
        <a:ln>
          <a:noFill/>
        </a:ln>
      </xdr:spPr>
    </xdr:pic>
    <xdr:clientData/>
  </xdr:twoCellAnchor>
  <xdr:twoCellAnchor>
    <xdr:from>
      <xdr:col>0</xdr:col>
      <xdr:colOff>15480</xdr:colOff>
      <xdr:row>0</xdr:row>
      <xdr:rowOff>94320</xdr:rowOff>
    </xdr:from>
    <xdr:to>
      <xdr:col>1</xdr:col>
      <xdr:colOff>2107440</xdr:colOff>
      <xdr:row>0</xdr:row>
      <xdr:rowOff>597960</xdr:rowOff>
    </xdr:to>
    <xdr:sp macro="" textlink="">
      <xdr:nvSpPr>
        <xdr:cNvPr id="4" name="CustomShape 1">
          <a:extLst>
            <a:ext uri="{FF2B5EF4-FFF2-40B4-BE49-F238E27FC236}">
              <a16:creationId xmlns:a16="http://schemas.microsoft.com/office/drawing/2014/main" id="{00000000-0008-0000-0100-000004000000}"/>
            </a:ext>
          </a:extLst>
        </xdr:cNvPr>
        <xdr:cNvSpPr/>
      </xdr:nvSpPr>
      <xdr:spPr>
        <a:xfrm>
          <a:off x="15480" y="94320"/>
          <a:ext cx="2196000" cy="5036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Credentials</a:t>
          </a:r>
          <a:endParaRPr lang="en-US" sz="2800" b="0" strike="noStrike" spc="-1">
            <a:latin typeface="Times New Roman"/>
          </a:endParaRPr>
        </a:p>
      </xdr:txBody>
    </xdr:sp>
    <xdr:clientData/>
  </xdr:twoCellAnchor>
  <xdr:twoCellAnchor editAs="oneCell">
    <xdr:from>
      <xdr:col>3</xdr:col>
      <xdr:colOff>7262640</xdr:colOff>
      <xdr:row>0</xdr:row>
      <xdr:rowOff>95040</xdr:rowOff>
    </xdr:from>
    <xdr:to>
      <xdr:col>3</xdr:col>
      <xdr:colOff>8744190</xdr:colOff>
      <xdr:row>0</xdr:row>
      <xdr:rowOff>408855</xdr:rowOff>
    </xdr:to>
    <xdr:pic>
      <xdr:nvPicPr>
        <xdr:cNvPr id="5" name="Pictur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2"/>
        <a:stretch/>
      </xdr:blipFill>
      <xdr:spPr>
        <a:xfrm>
          <a:off x="12494880" y="95040"/>
          <a:ext cx="1485360" cy="3157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5400</xdr:rowOff>
    </xdr:from>
    <xdr:to>
      <xdr:col>11</xdr:col>
      <xdr:colOff>1202293</xdr:colOff>
      <xdr:row>1</xdr:row>
      <xdr:rowOff>2421</xdr:rowOff>
    </xdr:to>
    <xdr:pic>
      <xdr:nvPicPr>
        <xdr:cNvPr id="6" name="Picture 4">
          <a:extLst>
            <a:ext uri="{FF2B5EF4-FFF2-40B4-BE49-F238E27FC236}">
              <a16:creationId xmlns:a16="http://schemas.microsoft.com/office/drawing/2014/main" id="{00000000-0008-0000-0200-000006000000}"/>
            </a:ext>
          </a:extLst>
        </xdr:cNvPr>
        <xdr:cNvPicPr/>
      </xdr:nvPicPr>
      <xdr:blipFill>
        <a:blip xmlns:r="http://schemas.openxmlformats.org/officeDocument/2006/relationships" r:embed="rId1"/>
        <a:stretch/>
      </xdr:blipFill>
      <xdr:spPr>
        <a:xfrm>
          <a:off x="0" y="5400"/>
          <a:ext cx="18359640" cy="604080"/>
        </a:xfrm>
        <a:prstGeom prst="rect">
          <a:avLst/>
        </a:prstGeom>
        <a:ln>
          <a:noFill/>
        </a:ln>
      </xdr:spPr>
    </xdr:pic>
    <xdr:clientData/>
  </xdr:twoCellAnchor>
  <xdr:twoCellAnchor>
    <xdr:from>
      <xdr:col>0</xdr:col>
      <xdr:colOff>92880</xdr:colOff>
      <xdr:row>0</xdr:row>
      <xdr:rowOff>67320</xdr:rowOff>
    </xdr:from>
    <xdr:to>
      <xdr:col>3</xdr:col>
      <xdr:colOff>1313640</xdr:colOff>
      <xdr:row>0</xdr:row>
      <xdr:rowOff>570960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92880" y="67320"/>
          <a:ext cx="3740760" cy="503640"/>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Hosts and Networks</a:t>
          </a:r>
          <a:endParaRPr lang="en-US" sz="2800" b="0" strike="noStrike" spc="-1">
            <a:latin typeface="Times New Roman"/>
          </a:endParaRPr>
        </a:p>
      </xdr:txBody>
    </xdr:sp>
    <xdr:clientData/>
  </xdr:twoCellAnchor>
  <xdr:twoCellAnchor editAs="oneCell">
    <xdr:from>
      <xdr:col>9</xdr:col>
      <xdr:colOff>2030400</xdr:colOff>
      <xdr:row>0</xdr:row>
      <xdr:rowOff>149400</xdr:rowOff>
    </xdr:from>
    <xdr:to>
      <xdr:col>10</xdr:col>
      <xdr:colOff>1630185</xdr:colOff>
      <xdr:row>0</xdr:row>
      <xdr:rowOff>457350</xdr:rowOff>
    </xdr:to>
    <xdr:pic>
      <xdr:nvPicPr>
        <xdr:cNvPr id="8" name="Picture 3">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2"/>
        <a:stretch/>
      </xdr:blipFill>
      <xdr:spPr>
        <a:xfrm>
          <a:off x="13250520" y="149400"/>
          <a:ext cx="1968480" cy="3117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9360</xdr:rowOff>
    </xdr:from>
    <xdr:to>
      <xdr:col>11</xdr:col>
      <xdr:colOff>18360</xdr:colOff>
      <xdr:row>1</xdr:row>
      <xdr:rowOff>17640</xdr:rowOff>
    </xdr:to>
    <xdr:pic>
      <xdr:nvPicPr>
        <xdr:cNvPr id="9" name="Picture 4">
          <a:extLst>
            <a:ext uri="{FF2B5EF4-FFF2-40B4-BE49-F238E27FC236}">
              <a16:creationId xmlns:a16="http://schemas.microsoft.com/office/drawing/2014/main" id="{00000000-0008-0000-0300-000009000000}"/>
            </a:ext>
          </a:extLst>
        </xdr:cNvPr>
        <xdr:cNvPicPr/>
      </xdr:nvPicPr>
      <xdr:blipFill>
        <a:blip xmlns:r="http://schemas.openxmlformats.org/officeDocument/2006/relationships" r:embed="rId1"/>
        <a:stretch/>
      </xdr:blipFill>
      <xdr:spPr>
        <a:xfrm>
          <a:off x="0" y="9360"/>
          <a:ext cx="18586800" cy="617760"/>
        </a:xfrm>
        <a:prstGeom prst="rect">
          <a:avLst/>
        </a:prstGeom>
        <a:ln>
          <a:noFill/>
        </a:ln>
      </xdr:spPr>
    </xdr:pic>
    <xdr:clientData/>
  </xdr:twoCellAnchor>
  <xdr:twoCellAnchor editAs="oneCell">
    <xdr:from>
      <xdr:col>8</xdr:col>
      <xdr:colOff>1289160</xdr:colOff>
      <xdr:row>0</xdr:row>
      <xdr:rowOff>149400</xdr:rowOff>
    </xdr:from>
    <xdr:to>
      <xdr:col>8</xdr:col>
      <xdr:colOff>2753385</xdr:colOff>
      <xdr:row>0</xdr:row>
      <xdr:rowOff>466455</xdr:rowOff>
    </xdr:to>
    <xdr:pic>
      <xdr:nvPicPr>
        <xdr:cNvPr id="10" name="Picture 4">
          <a:extLst>
            <a:ext uri="{FF2B5EF4-FFF2-40B4-BE49-F238E27FC236}">
              <a16:creationId xmlns:a16="http://schemas.microsoft.com/office/drawing/2014/main" id="{00000000-0008-0000-0300-00000A000000}"/>
            </a:ext>
          </a:extLst>
        </xdr:cNvPr>
        <xdr:cNvPicPr/>
      </xdr:nvPicPr>
      <xdr:blipFill>
        <a:blip xmlns:r="http://schemas.openxmlformats.org/officeDocument/2006/relationships" r:embed="rId2"/>
        <a:stretch/>
      </xdr:blipFill>
      <xdr:spPr>
        <a:xfrm>
          <a:off x="13144320" y="149400"/>
          <a:ext cx="1462320" cy="318960"/>
        </a:xfrm>
        <a:prstGeom prst="rect">
          <a:avLst/>
        </a:prstGeom>
        <a:ln>
          <a:noFill/>
        </a:ln>
      </xdr:spPr>
    </xdr:pic>
    <xdr:clientData/>
  </xdr:twoCellAnchor>
  <xdr:twoCellAnchor>
    <xdr:from>
      <xdr:col>1</xdr:col>
      <xdr:colOff>48847</xdr:colOff>
      <xdr:row>0</xdr:row>
      <xdr:rowOff>78154</xdr:rowOff>
    </xdr:from>
    <xdr:to>
      <xdr:col>4</xdr:col>
      <xdr:colOff>508742</xdr:colOff>
      <xdr:row>0</xdr:row>
      <xdr:rowOff>566642</xdr:rowOff>
    </xdr:to>
    <xdr:sp macro="" textlink="">
      <xdr:nvSpPr>
        <xdr:cNvPr id="2" name="CustomShape 1">
          <a:extLst>
            <a:ext uri="{FF2B5EF4-FFF2-40B4-BE49-F238E27FC236}">
              <a16:creationId xmlns:a16="http://schemas.microsoft.com/office/drawing/2014/main" id="{0082F17C-1B92-9146-9B6B-65BABD2C84D8}"/>
            </a:ext>
          </a:extLst>
        </xdr:cNvPr>
        <xdr:cNvSpPr/>
      </xdr:nvSpPr>
      <xdr:spPr>
        <a:xfrm>
          <a:off x="136770" y="78154"/>
          <a:ext cx="4338280" cy="488488"/>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Deployment Parameters</a:t>
          </a:r>
          <a:endParaRPr lang="en-US" sz="2800" b="0" strike="noStrike" spc="-1">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9360</xdr:rowOff>
    </xdr:from>
    <xdr:to>
      <xdr:col>8</xdr:col>
      <xdr:colOff>168807</xdr:colOff>
      <xdr:row>1</xdr:row>
      <xdr:rowOff>30340</xdr:rowOff>
    </xdr:to>
    <xdr:pic>
      <xdr:nvPicPr>
        <xdr:cNvPr id="2" name="Picture 4">
          <a:extLst>
            <a:ext uri="{FF2B5EF4-FFF2-40B4-BE49-F238E27FC236}">
              <a16:creationId xmlns:a16="http://schemas.microsoft.com/office/drawing/2014/main" id="{69E0BE4C-B51A-3640-AFD5-A04F683E58B9}"/>
            </a:ext>
          </a:extLst>
        </xdr:cNvPr>
        <xdr:cNvPicPr/>
      </xdr:nvPicPr>
      <xdr:blipFill>
        <a:blip xmlns:r="http://schemas.openxmlformats.org/officeDocument/2006/relationships" r:embed="rId1"/>
        <a:stretch/>
      </xdr:blipFill>
      <xdr:spPr>
        <a:xfrm>
          <a:off x="0" y="9360"/>
          <a:ext cx="13277160" cy="1430680"/>
        </a:xfrm>
        <a:prstGeom prst="rect">
          <a:avLst/>
        </a:prstGeom>
        <a:ln>
          <a:noFill/>
        </a:ln>
      </xdr:spPr>
    </xdr:pic>
    <xdr:clientData/>
  </xdr:twoCellAnchor>
  <xdr:twoCellAnchor editAs="oneCell">
    <xdr:from>
      <xdr:col>6</xdr:col>
      <xdr:colOff>0</xdr:colOff>
      <xdr:row>0</xdr:row>
      <xdr:rowOff>149400</xdr:rowOff>
    </xdr:from>
    <xdr:to>
      <xdr:col>7</xdr:col>
      <xdr:colOff>638725</xdr:colOff>
      <xdr:row>0</xdr:row>
      <xdr:rowOff>733155</xdr:rowOff>
    </xdr:to>
    <xdr:pic>
      <xdr:nvPicPr>
        <xdr:cNvPr id="3" name="Picture 4">
          <a:extLst>
            <a:ext uri="{FF2B5EF4-FFF2-40B4-BE49-F238E27FC236}">
              <a16:creationId xmlns:a16="http://schemas.microsoft.com/office/drawing/2014/main" id="{3B6C39F5-0A61-2F4F-B329-FF2592EE7D85}"/>
            </a:ext>
          </a:extLst>
        </xdr:cNvPr>
        <xdr:cNvPicPr/>
      </xdr:nvPicPr>
      <xdr:blipFill>
        <a:blip xmlns:r="http://schemas.openxmlformats.org/officeDocument/2006/relationships" r:embed="rId2"/>
        <a:stretch/>
      </xdr:blipFill>
      <xdr:spPr>
        <a:xfrm>
          <a:off x="10160000" y="149400"/>
          <a:ext cx="1324525" cy="583755"/>
        </a:xfrm>
        <a:prstGeom prst="rect">
          <a:avLst/>
        </a:prstGeom>
        <a:ln>
          <a:noFill/>
        </a:ln>
      </xdr:spPr>
    </xdr:pic>
    <xdr:clientData/>
  </xdr:twoCellAnchor>
  <xdr:twoCellAnchor>
    <xdr:from>
      <xdr:col>1</xdr:col>
      <xdr:colOff>48847</xdr:colOff>
      <xdr:row>0</xdr:row>
      <xdr:rowOff>78154</xdr:rowOff>
    </xdr:from>
    <xdr:to>
      <xdr:col>4</xdr:col>
      <xdr:colOff>1738130</xdr:colOff>
      <xdr:row>0</xdr:row>
      <xdr:rowOff>566642</xdr:rowOff>
    </xdr:to>
    <xdr:sp macro="" textlink="">
      <xdr:nvSpPr>
        <xdr:cNvPr id="4" name="CustomShape 1">
          <a:extLst>
            <a:ext uri="{FF2B5EF4-FFF2-40B4-BE49-F238E27FC236}">
              <a16:creationId xmlns:a16="http://schemas.microsoft.com/office/drawing/2014/main" id="{BFDBDDB4-33D0-D44C-932B-9C97DDE9BA12}"/>
            </a:ext>
          </a:extLst>
        </xdr:cNvPr>
        <xdr:cNvSpPr/>
      </xdr:nvSpPr>
      <xdr:spPr>
        <a:xfrm>
          <a:off x="137747" y="78154"/>
          <a:ext cx="5562783" cy="488488"/>
        </a:xfrm>
        <a:prstGeom prst="rect">
          <a:avLst/>
        </a:prstGeom>
        <a:noFill/>
        <a:ln>
          <a:noFill/>
        </a:ln>
      </xdr:spPr>
      <xdr:style>
        <a:lnRef idx="0">
          <a:scrgbClr r="0" g="0" b="0"/>
        </a:lnRef>
        <a:fillRef idx="0">
          <a:scrgbClr r="0" g="0" b="0"/>
        </a:fillRef>
        <a:effectRef idx="0">
          <a:scrgbClr r="0" g="0" b="0"/>
        </a:effectRef>
        <a:fontRef idx="minor"/>
      </xdr:style>
      <xdr:txBody>
        <a:bodyPr wrap="none" lIns="90000" tIns="45000" rIns="90000" bIns="45000">
          <a:spAutoFit/>
        </a:bodyPr>
        <a:lstStyle/>
        <a:p>
          <a:pPr>
            <a:lnSpc>
              <a:spcPct val="100000"/>
            </a:lnSpc>
          </a:pPr>
          <a:r>
            <a:rPr lang="en-US" sz="2800" b="0" strike="noStrike" spc="-1">
              <a:solidFill>
                <a:srgbClr val="FFFFFF"/>
              </a:solidFill>
              <a:latin typeface="Metropolis"/>
            </a:rPr>
            <a:t>Virtual Deployment Parameters</a:t>
          </a:r>
          <a:endParaRPr lang="en-US" sz="2800" b="0" strike="noStrike" spc="-1">
            <a:latin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onevmw.sharepoint.com/teams/ISBUBringup/Shared%20Documents/Bringup%20Master%20XLS%20Files/Deployment_Parameters_Proposal.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mdaneri/Documents/vcf-ems-Deployment-Parameter11.xlsx" TargetMode="External"/><Relationship Id="rId1" Type="http://schemas.openxmlformats.org/officeDocument/2006/relationships/externalLinkPath" Target="vcf-ems-Deployment-Parameter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Credentials"/>
      <sheetName val="Hosts and Networks"/>
      <sheetName val="Deploy Parameters"/>
      <sheetName val="Lookup_Lists"/>
      <sheetName val="Config_File_Build"/>
      <sheetName val="Change Log"/>
    </sheetNames>
    <sheetDataSet>
      <sheetData sheetId="0"/>
      <sheetData sheetId="1"/>
      <sheetData sheetId="2"/>
      <sheetData sheetId="3"/>
      <sheetData sheetId="4">
        <row r="2">
          <cell r="A2" t="str">
            <v>n/a</v>
          </cell>
        </row>
        <row r="3">
          <cell r="A3" t="str">
            <v>intel-merom</v>
          </cell>
        </row>
        <row r="4">
          <cell r="A4" t="str">
            <v>intel-penryn</v>
          </cell>
        </row>
        <row r="5">
          <cell r="A5" t="str">
            <v>intel-nehalem</v>
          </cell>
        </row>
        <row r="6">
          <cell r="A6" t="str">
            <v>intel-westmere</v>
          </cell>
        </row>
        <row r="7">
          <cell r="A7" t="str">
            <v>intel-sandybridge</v>
          </cell>
        </row>
        <row r="8">
          <cell r="A8" t="str">
            <v>intel-ivybridge</v>
          </cell>
        </row>
        <row r="9">
          <cell r="A9" t="str">
            <v>intel-haswell</v>
          </cell>
        </row>
        <row r="10">
          <cell r="A10" t="str">
            <v>intel-broadwell</v>
          </cell>
        </row>
        <row r="11">
          <cell r="A11" t="str">
            <v>intel-skylake</v>
          </cell>
        </row>
        <row r="12">
          <cell r="A12" t="str">
            <v>intel-cascadelake</v>
          </cell>
        </row>
        <row r="13">
          <cell r="A13" t="str">
            <v>amd-rev-e</v>
          </cell>
        </row>
        <row r="14">
          <cell r="A14" t="str">
            <v>amd-rev-f</v>
          </cell>
        </row>
        <row r="15">
          <cell r="A15" t="str">
            <v>amd-greyhound-no3dnow</v>
          </cell>
        </row>
        <row r="16">
          <cell r="A16" t="str">
            <v>amd-greyhound</v>
          </cell>
        </row>
        <row r="17">
          <cell r="A17" t="str">
            <v>amd-bulldozer</v>
          </cell>
        </row>
        <row r="18">
          <cell r="A18" t="str">
            <v>amd-piledriver</v>
          </cell>
        </row>
        <row r="19">
          <cell r="A19" t="str">
            <v>amd-steamroller</v>
          </cell>
        </row>
        <row r="20">
          <cell r="A20" t="str">
            <v>amd-zen</v>
          </cell>
        </row>
      </sheetData>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duction"/>
      <sheetName val="Credentials"/>
      <sheetName val="Hosts and Networks"/>
      <sheetName val="Deploy Parameters"/>
      <sheetName val="Virtual Deployment"/>
      <sheetName val="Lookup_Lists"/>
      <sheetName val="Config_File_Build"/>
      <sheetName val="Change Log"/>
    </sheetNames>
    <sheetDataSet>
      <sheetData sheetId="0" refreshError="1"/>
      <sheetData sheetId="1" refreshError="1"/>
      <sheetData sheetId="2">
        <row r="13">
          <cell r="E13" t="str">
            <v>sfo-m01-cluster-001-vds-001</v>
          </cell>
        </row>
        <row r="14">
          <cell r="E14" t="str">
            <v>vmnic0,vmnic1</v>
          </cell>
        </row>
        <row r="18">
          <cell r="E18" t="str">
            <v>n/a</v>
          </cell>
        </row>
        <row r="20">
          <cell r="E20" t="str">
            <v>vmnic2,vmnic3</v>
          </cell>
        </row>
      </sheetData>
      <sheetData sheetId="3">
        <row r="12">
          <cell r="F12" t="str">
            <v>ZJ6LV-ZD2DM-P8RN0-LH1K4-2EV39</v>
          </cell>
        </row>
        <row r="21">
          <cell r="J21" t="str">
            <v>Yes</v>
          </cell>
        </row>
      </sheetData>
      <sheetData sheetId="4" refreshError="1"/>
      <sheetData sheetId="5" refreshError="1"/>
      <sheetData sheetId="6" refreshError="1"/>
      <sheetData sheetId="7" refreshError="1"/>
    </sheetDataSet>
  </externalBook>
</externalLink>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3" displayName="Table3" ref="A1:B157" totalsRowShown="0">
  <autoFilter ref="A1:B157" xr:uid="{00000000-0009-0000-0100-000001000000}"/>
  <tableColumns count="2">
    <tableColumn id="1" xr3:uid="{00000000-0010-0000-0000-000001000000}" name="Date"/>
    <tableColumn id="2" xr3:uid="{00000000-0010-0000-0000-000002000000}" name="Descriptio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hyperlink" Target="mailto:physical-nic-dedicated-to-dvs@value%3Dvmnic1" TargetMode="External"/><Relationship Id="rId1" Type="http://schemas.openxmlformats.org/officeDocument/2006/relationships/hyperlink" Target="mailto:physical-nic-dedicated-to-dvs@value%3Dvmnic1"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572"/>
  <sheetViews>
    <sheetView zoomScale="135" zoomScaleNormal="135" workbookViewId="0">
      <pane ySplit="4" topLeftCell="A5" activePane="bottomLeft" state="frozen"/>
      <selection activeCell="B141" sqref="B141"/>
      <selection pane="bottomLeft" activeCell="B7" sqref="B7:F22"/>
    </sheetView>
  </sheetViews>
  <sheetFormatPr baseColWidth="10" defaultColWidth="11.33203125" defaultRowHeight="15"/>
  <cols>
    <col min="1" max="1" width="1.1640625" style="1" customWidth="1"/>
    <col min="2" max="2" width="78.83203125" style="1" customWidth="1"/>
    <col min="3" max="4" width="52.83203125" style="1" customWidth="1"/>
    <col min="5" max="5" width="1" style="1" customWidth="1"/>
    <col min="6" max="6" width="7.83203125" style="1" customWidth="1"/>
    <col min="7" max="7" width="20.6640625" style="2" customWidth="1"/>
    <col min="8" max="15" width="11.33203125" style="2"/>
    <col min="16" max="256" width="11.33203125" style="1"/>
    <col min="257" max="257" width="83.6640625" style="1" customWidth="1"/>
    <col min="258" max="258" width="10.6640625" style="1" customWidth="1"/>
    <col min="259" max="259" width="50.6640625" style="1" customWidth="1"/>
    <col min="260" max="260" width="30.6640625" style="1" customWidth="1"/>
    <col min="261" max="262" width="10.6640625" style="1" customWidth="1"/>
    <col min="263" max="263" width="20.6640625" style="1" customWidth="1"/>
    <col min="264" max="512" width="11.33203125" style="1"/>
    <col min="513" max="513" width="83.6640625" style="1" customWidth="1"/>
    <col min="514" max="514" width="10.6640625" style="1" customWidth="1"/>
    <col min="515" max="515" width="50.6640625" style="1" customWidth="1"/>
    <col min="516" max="516" width="30.6640625" style="1" customWidth="1"/>
    <col min="517" max="518" width="10.6640625" style="1" customWidth="1"/>
    <col min="519" max="519" width="20.6640625" style="1" customWidth="1"/>
    <col min="520" max="768" width="11.33203125" style="1"/>
    <col min="769" max="769" width="83.6640625" style="1" customWidth="1"/>
    <col min="770" max="770" width="10.6640625" style="1" customWidth="1"/>
    <col min="771" max="771" width="50.6640625" style="1" customWidth="1"/>
    <col min="772" max="772" width="30.6640625" style="1" customWidth="1"/>
    <col min="773" max="774" width="10.6640625" style="1" customWidth="1"/>
    <col min="775" max="775" width="20.6640625" style="1" customWidth="1"/>
    <col min="776" max="1024" width="11.33203125" style="1"/>
  </cols>
  <sheetData>
    <row r="1" spans="2:15" s="3" customFormat="1" ht="48" customHeight="1">
      <c r="B1" s="4"/>
      <c r="E1" s="5"/>
      <c r="G1" s="5"/>
      <c r="H1" s="5"/>
      <c r="I1" s="5"/>
      <c r="J1" s="5"/>
      <c r="K1" s="5"/>
      <c r="L1" s="5"/>
      <c r="M1" s="5"/>
      <c r="N1" s="5"/>
      <c r="O1" s="5"/>
    </row>
    <row r="2" spans="2:15" s="3" customFormat="1" ht="3" customHeight="1">
      <c r="B2" s="4"/>
      <c r="E2" s="5"/>
      <c r="G2" s="5"/>
      <c r="H2" s="5"/>
      <c r="I2" s="5"/>
      <c r="J2" s="5"/>
      <c r="K2" s="5"/>
      <c r="L2" s="5"/>
      <c r="M2" s="5"/>
      <c r="N2" s="5"/>
      <c r="O2" s="5"/>
    </row>
    <row r="3" spans="2:15" s="3" customFormat="1" ht="47" customHeight="1">
      <c r="B3" s="136" t="s">
        <v>468</v>
      </c>
      <c r="C3" s="136"/>
      <c r="D3" s="136"/>
      <c r="E3" s="6"/>
      <c r="F3" s="7" t="s">
        <v>413</v>
      </c>
      <c r="G3" s="5"/>
      <c r="H3" s="5"/>
      <c r="I3" s="5"/>
      <c r="J3" s="5"/>
      <c r="K3" s="5"/>
      <c r="L3" s="5"/>
      <c r="M3" s="5"/>
      <c r="N3" s="5"/>
      <c r="O3" s="5"/>
    </row>
    <row r="4" spans="2:15" s="5" customFormat="1" ht="3" customHeight="1">
      <c r="B4" s="8"/>
    </row>
    <row r="5" spans="2:15" s="2" customFormat="1" ht="13" thickBot="1"/>
    <row r="6" spans="2:15" s="9" customFormat="1" ht="15" customHeight="1">
      <c r="B6" s="137" t="s">
        <v>0</v>
      </c>
      <c r="C6" s="138"/>
      <c r="D6" s="138"/>
      <c r="E6" s="138"/>
      <c r="F6" s="139"/>
    </row>
    <row r="7" spans="2:15" s="9" customFormat="1" ht="14" customHeight="1">
      <c r="B7" s="140" t="s">
        <v>436</v>
      </c>
      <c r="C7" s="141"/>
      <c r="D7" s="141"/>
      <c r="E7" s="141"/>
      <c r="F7" s="142"/>
    </row>
    <row r="8" spans="2:15" s="9" customFormat="1" ht="15" customHeight="1">
      <c r="B8" s="143"/>
      <c r="C8" s="144"/>
      <c r="D8" s="144"/>
      <c r="E8" s="144"/>
      <c r="F8" s="145"/>
    </row>
    <row r="9" spans="2:15" s="9" customFormat="1" ht="15" customHeight="1">
      <c r="B9" s="143"/>
      <c r="C9" s="144"/>
      <c r="D9" s="144"/>
      <c r="E9" s="144"/>
      <c r="F9" s="145"/>
    </row>
    <row r="10" spans="2:15" s="9" customFormat="1" ht="15" customHeight="1">
      <c r="B10" s="143"/>
      <c r="C10" s="144"/>
      <c r="D10" s="144"/>
      <c r="E10" s="144"/>
      <c r="F10" s="145"/>
    </row>
    <row r="11" spans="2:15" s="9" customFormat="1" ht="15" customHeight="1">
      <c r="B11" s="143"/>
      <c r="C11" s="144"/>
      <c r="D11" s="144"/>
      <c r="E11" s="144"/>
      <c r="F11" s="145"/>
    </row>
    <row r="12" spans="2:15" s="9" customFormat="1" ht="15" customHeight="1">
      <c r="B12" s="143"/>
      <c r="C12" s="144"/>
      <c r="D12" s="144"/>
      <c r="E12" s="144"/>
      <c r="F12" s="145"/>
    </row>
    <row r="13" spans="2:15" s="9" customFormat="1" ht="15" customHeight="1">
      <c r="B13" s="143"/>
      <c r="C13" s="144"/>
      <c r="D13" s="144"/>
      <c r="E13" s="144"/>
      <c r="F13" s="145"/>
    </row>
    <row r="14" spans="2:15" s="9" customFormat="1" ht="15" customHeight="1">
      <c r="B14" s="143"/>
      <c r="C14" s="144"/>
      <c r="D14" s="144"/>
      <c r="E14" s="144"/>
      <c r="F14" s="145"/>
    </row>
    <row r="15" spans="2:15" s="9" customFormat="1" ht="15" customHeight="1">
      <c r="B15" s="143"/>
      <c r="C15" s="144"/>
      <c r="D15" s="144"/>
      <c r="E15" s="144"/>
      <c r="F15" s="145"/>
    </row>
    <row r="16" spans="2:15" s="9" customFormat="1" ht="15" customHeight="1">
      <c r="B16" s="143"/>
      <c r="C16" s="144"/>
      <c r="D16" s="144"/>
      <c r="E16" s="144"/>
      <c r="F16" s="145"/>
    </row>
    <row r="17" spans="2:6" s="9" customFormat="1" ht="15" customHeight="1">
      <c r="B17" s="143"/>
      <c r="C17" s="144"/>
      <c r="D17" s="144"/>
      <c r="E17" s="144"/>
      <c r="F17" s="145"/>
    </row>
    <row r="18" spans="2:6" s="9" customFormat="1" ht="15" customHeight="1">
      <c r="B18" s="143"/>
      <c r="C18" s="144"/>
      <c r="D18" s="144"/>
      <c r="E18" s="144"/>
      <c r="F18" s="145"/>
    </row>
    <row r="19" spans="2:6" s="9" customFormat="1" ht="15" customHeight="1">
      <c r="B19" s="143"/>
      <c r="C19" s="144"/>
      <c r="D19" s="144"/>
      <c r="E19" s="144"/>
      <c r="F19" s="145"/>
    </row>
    <row r="20" spans="2:6" s="9" customFormat="1" ht="15" customHeight="1">
      <c r="B20" s="143"/>
      <c r="C20" s="144"/>
      <c r="D20" s="144"/>
      <c r="E20" s="144"/>
      <c r="F20" s="145"/>
    </row>
    <row r="21" spans="2:6" s="9" customFormat="1" ht="15" customHeight="1">
      <c r="B21" s="143"/>
      <c r="C21" s="144"/>
      <c r="D21" s="144"/>
      <c r="E21" s="144"/>
      <c r="F21" s="145"/>
    </row>
    <row r="22" spans="2:6" s="9" customFormat="1" ht="15" customHeight="1" thickBot="1">
      <c r="B22" s="146"/>
      <c r="C22" s="147"/>
      <c r="D22" s="147"/>
      <c r="E22" s="147"/>
      <c r="F22" s="148"/>
    </row>
    <row r="23" spans="2:6" s="9" customFormat="1" ht="15" customHeight="1">
      <c r="B23" s="130"/>
      <c r="C23" s="130"/>
      <c r="D23" s="130"/>
      <c r="E23" s="130"/>
      <c r="F23" s="130"/>
    </row>
    <row r="24" spans="2:6" s="2" customFormat="1" ht="13" thickBot="1"/>
    <row r="25" spans="2:6" s="2" customFormat="1" ht="12">
      <c r="B25" s="149" t="s">
        <v>1</v>
      </c>
      <c r="C25" s="149"/>
      <c r="D25" s="149"/>
      <c r="E25" s="149"/>
      <c r="F25" s="149"/>
    </row>
    <row r="26" spans="2:6" s="2" customFormat="1" ht="14" customHeight="1">
      <c r="B26" s="150" t="s">
        <v>372</v>
      </c>
      <c r="C26" s="150"/>
      <c r="D26" s="150"/>
      <c r="E26" s="150"/>
      <c r="F26" s="150"/>
    </row>
    <row r="27" spans="2:6" s="2" customFormat="1" ht="12">
      <c r="B27" s="150"/>
      <c r="C27" s="150"/>
      <c r="D27" s="150"/>
      <c r="E27" s="150"/>
      <c r="F27" s="150"/>
    </row>
    <row r="28" spans="2:6" s="2" customFormat="1" ht="12">
      <c r="B28" s="150"/>
      <c r="C28" s="150"/>
      <c r="D28" s="150"/>
      <c r="E28" s="150"/>
      <c r="F28" s="150"/>
    </row>
    <row r="29" spans="2:6" s="2" customFormat="1" ht="12">
      <c r="B29" s="150"/>
      <c r="C29" s="150"/>
      <c r="D29" s="150"/>
      <c r="E29" s="150"/>
      <c r="F29" s="150"/>
    </row>
    <row r="30" spans="2:6" s="2" customFormat="1" ht="12">
      <c r="B30" s="150"/>
      <c r="C30" s="150"/>
      <c r="D30" s="150"/>
      <c r="E30" s="150"/>
      <c r="F30" s="150"/>
    </row>
    <row r="31" spans="2:6" s="2" customFormat="1" ht="12">
      <c r="B31" s="150"/>
      <c r="C31" s="150"/>
      <c r="D31" s="150"/>
      <c r="E31" s="150"/>
      <c r="F31" s="150"/>
    </row>
    <row r="32" spans="2:6" s="2" customFormat="1" ht="12">
      <c r="B32" s="150"/>
      <c r="C32" s="150"/>
      <c r="D32" s="150"/>
      <c r="E32" s="150"/>
      <c r="F32" s="150"/>
    </row>
    <row r="33" s="2" customFormat="1" ht="12"/>
    <row r="34" s="2" customFormat="1" ht="12"/>
    <row r="35" s="2" customFormat="1" ht="12"/>
    <row r="36" s="2" customFormat="1" ht="12"/>
    <row r="37" s="2" customFormat="1" ht="12"/>
    <row r="38" s="2" customFormat="1" ht="12"/>
    <row r="39" s="2" customFormat="1" ht="12"/>
    <row r="40" s="2" customFormat="1" ht="12"/>
    <row r="41" s="2" customFormat="1" ht="12"/>
    <row r="42" s="2" customFormat="1" ht="12"/>
    <row r="43" s="2" customFormat="1" ht="12"/>
    <row r="44" s="2" customFormat="1" ht="12"/>
    <row r="45" s="2" customFormat="1" ht="12"/>
    <row r="46" s="2" customFormat="1" ht="12"/>
    <row r="47" s="2" customFormat="1" ht="12"/>
    <row r="48" s="2" customFormat="1" ht="12"/>
    <row r="49" s="2" customFormat="1" ht="12"/>
    <row r="50" s="2" customFormat="1" ht="12"/>
    <row r="51" s="2" customFormat="1" ht="12"/>
    <row r="52" s="2" customFormat="1" ht="12"/>
    <row r="53" s="2" customFormat="1" ht="12"/>
    <row r="54" s="2" customFormat="1" ht="12"/>
    <row r="55" s="2" customFormat="1" ht="12"/>
    <row r="56" s="2" customFormat="1" ht="12"/>
    <row r="57" s="2" customFormat="1" ht="12"/>
    <row r="58" s="2" customFormat="1" ht="12"/>
    <row r="59" s="2" customFormat="1" ht="12"/>
    <row r="60" s="2" customFormat="1" ht="12"/>
    <row r="61" s="2" customFormat="1" ht="12"/>
    <row r="62" s="2" customFormat="1" ht="12"/>
    <row r="63" s="2" customFormat="1" ht="12"/>
    <row r="64" s="2" customFormat="1" ht="12"/>
    <row r="65" s="2" customFormat="1" ht="12"/>
    <row r="66" s="2" customFormat="1" ht="12"/>
    <row r="67" s="2" customFormat="1" ht="12"/>
    <row r="68" s="2" customFormat="1" ht="12"/>
    <row r="69" s="2" customFormat="1" ht="12"/>
    <row r="70" s="2" customFormat="1" ht="12"/>
    <row r="71" s="2" customFormat="1" ht="12"/>
    <row r="72" s="2" customFormat="1" ht="12"/>
    <row r="73" s="2" customFormat="1" ht="12"/>
    <row r="74" s="2" customFormat="1" ht="12"/>
    <row r="75" s="2" customFormat="1" ht="12"/>
    <row r="76" s="2" customFormat="1" ht="12"/>
    <row r="77" s="2" customFormat="1" ht="12"/>
    <row r="78" s="2" customFormat="1" ht="12"/>
    <row r="79" s="2" customFormat="1" ht="12"/>
    <row r="80" s="2" customFormat="1" ht="12"/>
    <row r="81" s="2" customFormat="1" ht="12"/>
    <row r="82" s="2" customFormat="1" ht="12"/>
    <row r="83" s="2" customFormat="1" ht="12"/>
    <row r="84" s="2" customFormat="1" ht="12"/>
    <row r="85" s="2" customFormat="1" ht="12"/>
    <row r="86" s="2" customFormat="1" ht="12"/>
    <row r="87" s="2" customFormat="1" ht="12"/>
    <row r="88" s="2" customFormat="1" ht="12"/>
    <row r="89" s="2" customFormat="1" ht="12"/>
    <row r="90" s="2" customFormat="1" ht="12"/>
    <row r="91" s="2" customFormat="1" ht="12"/>
    <row r="92" s="2" customFormat="1" ht="12"/>
    <row r="93" s="2" customFormat="1" ht="12"/>
    <row r="94" s="2" customFormat="1" ht="12"/>
    <row r="95" s="2" customFormat="1" ht="12"/>
    <row r="96" s="2" customFormat="1" ht="12"/>
    <row r="97" s="2" customFormat="1" ht="12"/>
    <row r="98" s="2" customFormat="1" ht="12"/>
    <row r="99" s="2" customFormat="1" ht="12"/>
    <row r="100" s="2" customFormat="1" ht="12"/>
    <row r="101" s="2" customFormat="1" ht="12"/>
    <row r="102" s="2" customFormat="1" ht="12"/>
    <row r="103" s="2" customFormat="1" ht="12"/>
    <row r="104" s="2" customFormat="1" ht="12"/>
    <row r="105" s="2" customFormat="1" ht="12"/>
    <row r="106" s="2" customFormat="1" ht="12"/>
    <row r="107" s="2" customFormat="1" ht="12"/>
    <row r="108" s="2" customFormat="1" ht="12"/>
    <row r="109" s="2" customFormat="1" ht="12"/>
    <row r="110" s="2" customFormat="1" ht="12"/>
    <row r="111" s="2" customFormat="1" ht="12"/>
    <row r="112" s="2" customFormat="1" ht="12"/>
    <row r="113" s="2" customFormat="1" ht="12"/>
    <row r="114" s="2" customFormat="1" ht="12"/>
    <row r="115" s="2" customFormat="1" ht="12"/>
    <row r="116" s="2" customFormat="1" ht="12"/>
    <row r="117" s="2" customFormat="1" ht="12"/>
    <row r="118" s="2" customFormat="1" ht="12"/>
    <row r="119" s="2" customFormat="1" ht="12"/>
    <row r="120" s="2" customFormat="1" ht="12"/>
    <row r="121" s="2" customFormat="1" ht="12"/>
    <row r="122" s="2" customFormat="1" ht="12"/>
    <row r="123" s="2" customFormat="1" ht="12"/>
    <row r="124" s="2" customFormat="1" ht="12"/>
    <row r="125" s="2" customFormat="1" ht="12"/>
    <row r="126" s="2" customFormat="1" ht="12"/>
    <row r="127" s="2" customFormat="1" ht="12"/>
    <row r="128" s="2" customFormat="1" ht="12"/>
    <row r="129" s="2" customFormat="1" ht="12"/>
    <row r="130" s="2" customFormat="1" ht="12"/>
    <row r="131" s="2" customFormat="1" ht="12"/>
    <row r="132" s="2" customFormat="1" ht="12"/>
    <row r="133" s="2" customFormat="1" ht="12"/>
    <row r="134" s="2" customFormat="1" ht="12"/>
    <row r="135" s="2" customFormat="1" ht="12"/>
    <row r="136" s="2" customFormat="1" ht="12"/>
    <row r="137" s="2" customFormat="1" ht="12"/>
    <row r="138" s="2" customFormat="1" ht="12"/>
    <row r="139" s="2" customFormat="1" ht="12"/>
    <row r="140" s="2" customFormat="1" ht="12"/>
    <row r="141" s="2" customFormat="1" ht="12"/>
    <row r="142" s="2" customFormat="1" ht="12"/>
    <row r="143" s="2" customFormat="1" ht="12"/>
    <row r="144" s="2" customFormat="1" ht="12"/>
    <row r="145" s="2" customFormat="1" ht="12"/>
    <row r="146" s="2" customFormat="1" ht="12"/>
    <row r="147" s="2" customFormat="1" ht="12"/>
    <row r="148" s="2" customFormat="1" ht="12"/>
    <row r="149" s="2" customFormat="1" ht="12"/>
    <row r="150" s="2" customFormat="1" ht="12"/>
    <row r="151" s="2" customFormat="1" ht="12"/>
    <row r="152" s="2" customFormat="1" ht="12"/>
    <row r="153" s="2" customFormat="1" ht="12"/>
    <row r="154" s="2" customFormat="1" ht="12"/>
    <row r="155" s="2" customFormat="1" ht="12"/>
    <row r="156" s="2" customFormat="1" ht="12"/>
    <row r="157" s="2" customFormat="1" ht="12"/>
    <row r="158" s="2" customFormat="1" ht="12"/>
    <row r="159" s="2" customFormat="1" ht="12"/>
    <row r="160" s="2" customFormat="1" ht="12"/>
    <row r="161" s="2" customFormat="1" ht="12"/>
    <row r="162" s="2" customFormat="1" ht="12"/>
    <row r="163" s="2" customFormat="1" ht="12"/>
    <row r="164" s="2" customFormat="1" ht="12"/>
    <row r="165" s="2" customFormat="1" ht="12"/>
    <row r="166" s="2" customFormat="1" ht="12"/>
    <row r="167" s="2" customFormat="1" ht="12"/>
    <row r="168" s="2" customFormat="1" ht="12"/>
    <row r="169" s="2" customFormat="1" ht="12"/>
    <row r="170" s="2" customFormat="1" ht="12"/>
    <row r="171" s="2" customFormat="1" ht="12"/>
    <row r="172" s="2" customFormat="1" ht="12"/>
    <row r="173" s="2" customFormat="1" ht="12"/>
    <row r="174" s="2" customFormat="1" ht="12"/>
    <row r="175" s="2" customFormat="1" ht="12"/>
    <row r="176" s="2" customFormat="1" ht="12"/>
    <row r="177" s="2" customFormat="1" ht="12"/>
    <row r="178" s="2" customFormat="1" ht="12"/>
    <row r="179" s="2" customFormat="1" ht="12"/>
    <row r="180" s="2" customFormat="1" ht="12"/>
    <row r="181" s="2" customFormat="1" ht="12"/>
    <row r="182" s="2" customFormat="1" ht="12"/>
    <row r="183" s="2" customFormat="1" ht="12"/>
    <row r="184" s="2" customFormat="1" ht="12"/>
    <row r="185" s="2" customFormat="1" ht="12"/>
    <row r="186" s="2" customFormat="1" ht="12"/>
    <row r="187" s="2" customFormat="1" ht="12"/>
    <row r="188" s="2" customFormat="1" ht="12"/>
    <row r="189" s="2" customFormat="1" ht="12"/>
    <row r="190" s="2" customFormat="1" ht="12"/>
    <row r="191" s="2" customFormat="1" ht="12"/>
    <row r="192" s="2" customFormat="1" ht="12"/>
    <row r="193" s="2" customFormat="1" ht="12"/>
    <row r="194" s="2" customFormat="1" ht="12"/>
    <row r="195" s="2" customFormat="1" ht="12"/>
    <row r="196" s="2" customFormat="1" ht="12"/>
    <row r="197" s="2" customFormat="1" ht="12"/>
    <row r="198" s="2" customFormat="1" ht="12"/>
    <row r="199" s="2" customFormat="1" ht="12"/>
    <row r="200" s="2" customFormat="1" ht="12"/>
    <row r="201" s="2" customFormat="1" ht="12"/>
    <row r="202" s="2" customFormat="1" ht="12"/>
    <row r="203" s="2" customFormat="1" ht="12"/>
    <row r="204" s="2" customFormat="1" ht="12"/>
    <row r="205" s="2" customFormat="1" ht="12"/>
    <row r="206" s="2" customFormat="1" ht="12"/>
    <row r="207" s="2" customFormat="1" ht="12"/>
    <row r="208" s="2" customFormat="1" ht="12"/>
    <row r="209" s="2" customFormat="1" ht="12"/>
    <row r="210" s="2" customFormat="1" ht="12"/>
    <row r="211" s="2" customFormat="1" ht="12"/>
    <row r="212" s="2" customFormat="1" ht="12"/>
    <row r="213" s="2" customFormat="1" ht="12"/>
    <row r="214" s="2" customFormat="1" ht="12"/>
    <row r="215" s="2" customFormat="1" ht="12"/>
    <row r="216" s="2" customFormat="1" ht="12"/>
    <row r="217" s="2" customFormat="1" ht="12"/>
    <row r="218" s="2" customFormat="1" ht="12"/>
    <row r="219" s="2" customFormat="1" ht="12"/>
    <row r="220" s="2" customFormat="1" ht="12"/>
    <row r="221" s="2" customFormat="1" ht="12"/>
    <row r="222" s="2" customFormat="1" ht="12"/>
    <row r="223" s="2" customFormat="1" ht="12"/>
    <row r="224" s="2" customFormat="1" ht="12"/>
    <row r="225" s="2" customFormat="1" ht="12"/>
    <row r="226" s="2" customFormat="1" ht="12"/>
    <row r="227" s="2" customFormat="1" ht="12"/>
    <row r="228" s="2" customFormat="1" ht="12"/>
    <row r="229" s="2" customFormat="1" ht="12"/>
    <row r="230" s="2" customFormat="1" ht="12"/>
    <row r="231" s="2" customFormat="1" ht="12"/>
    <row r="232" s="2" customFormat="1" ht="12"/>
    <row r="233" s="2" customFormat="1" ht="12"/>
    <row r="234" s="2" customFormat="1" ht="12"/>
    <row r="235" s="2" customFormat="1" ht="12"/>
    <row r="236" s="2" customFormat="1" ht="12"/>
    <row r="237" s="2" customFormat="1" ht="12"/>
    <row r="238" s="2" customFormat="1" ht="12"/>
    <row r="239" s="2" customFormat="1" ht="12"/>
    <row r="240" s="2" customFormat="1" ht="12"/>
    <row r="241" s="2" customFormat="1" ht="12"/>
    <row r="242" s="2" customFormat="1" ht="12"/>
    <row r="243" s="2" customFormat="1" ht="12"/>
    <row r="244" s="2" customFormat="1" ht="12"/>
    <row r="245" s="2" customFormat="1" ht="12"/>
    <row r="246" s="2" customFormat="1" ht="12"/>
    <row r="247" s="2" customFormat="1" ht="12"/>
    <row r="248" s="2" customFormat="1" ht="12"/>
    <row r="249" s="2" customFormat="1" ht="12"/>
    <row r="250" s="2" customFormat="1" ht="12"/>
    <row r="251" s="2" customFormat="1" ht="12"/>
    <row r="252" s="2" customFormat="1" ht="12"/>
    <row r="253" s="2" customFormat="1" ht="12"/>
    <row r="254" s="2" customFormat="1" ht="12"/>
    <row r="255" s="2" customFormat="1" ht="12"/>
    <row r="256" s="2" customFormat="1" ht="12"/>
    <row r="257" s="2" customFormat="1" ht="12"/>
    <row r="258" s="2" customFormat="1" ht="12"/>
    <row r="259" s="2" customFormat="1" ht="12"/>
    <row r="260" s="2" customFormat="1" ht="12"/>
    <row r="261" s="2" customFormat="1" ht="12"/>
    <row r="262" s="2" customFormat="1" ht="12"/>
    <row r="263" s="2" customFormat="1" ht="12"/>
    <row r="264" s="2" customFormat="1" ht="12"/>
    <row r="265" s="2" customFormat="1" ht="12"/>
    <row r="266" s="2" customFormat="1" ht="12"/>
    <row r="267" s="2" customFormat="1" ht="12"/>
    <row r="268" s="2" customFormat="1" ht="12"/>
    <row r="269" s="2" customFormat="1" ht="12"/>
    <row r="270" s="2" customFormat="1" ht="12"/>
    <row r="271" s="2" customFormat="1" ht="12"/>
    <row r="272" s="2" customFormat="1" ht="12"/>
    <row r="273" s="2" customFormat="1" ht="12"/>
    <row r="274" s="2" customFormat="1" ht="12"/>
    <row r="275" s="2" customFormat="1" ht="12"/>
    <row r="276" s="2" customFormat="1" ht="12"/>
    <row r="277" s="2" customFormat="1" ht="12"/>
    <row r="278" s="2" customFormat="1" ht="12"/>
    <row r="279" s="2" customFormat="1" ht="12"/>
    <row r="280" s="2" customFormat="1" ht="12"/>
    <row r="281" s="2" customFormat="1" ht="12"/>
    <row r="282" s="2" customFormat="1" ht="12"/>
    <row r="283" s="2" customFormat="1" ht="12"/>
    <row r="284" s="2" customFormat="1" ht="12"/>
    <row r="285" s="2" customFormat="1" ht="12"/>
    <row r="286" s="2" customFormat="1" ht="12"/>
    <row r="287" s="2" customFormat="1" ht="12"/>
    <row r="288" s="2" customFormat="1" ht="12"/>
    <row r="289" s="2" customFormat="1" ht="12"/>
    <row r="290" s="2" customFormat="1" ht="12"/>
    <row r="291" s="2" customFormat="1" ht="12"/>
    <row r="292" s="2" customFormat="1" ht="12"/>
    <row r="293" s="2" customFormat="1" ht="12"/>
    <row r="294" s="2" customFormat="1" ht="12"/>
    <row r="295" s="2" customFormat="1" ht="12"/>
    <row r="296" s="2" customFormat="1" ht="12"/>
    <row r="297" s="2" customFormat="1" ht="12"/>
    <row r="298" s="2" customFormat="1" ht="12"/>
    <row r="299" s="2" customFormat="1" ht="12"/>
    <row r="300" s="2" customFormat="1" ht="12"/>
    <row r="301" s="2" customFormat="1" ht="12"/>
    <row r="302" s="2" customFormat="1" ht="12"/>
    <row r="303" s="2" customFormat="1" ht="12"/>
    <row r="304" s="2" customFormat="1" ht="12"/>
    <row r="305" s="2" customFormat="1" ht="12"/>
    <row r="306" s="2" customFormat="1" ht="12"/>
    <row r="307" s="2" customFormat="1" ht="12"/>
    <row r="308" s="2" customFormat="1" ht="12"/>
    <row r="309" s="2" customFormat="1" ht="12"/>
    <row r="310" s="2" customFormat="1" ht="12"/>
    <row r="311" s="2" customFormat="1" ht="12"/>
    <row r="312" s="2" customFormat="1" ht="12"/>
    <row r="313" s="2" customFormat="1" ht="12"/>
    <row r="314" s="2" customFormat="1" ht="12"/>
    <row r="315" s="2" customFormat="1" ht="12"/>
    <row r="316" s="2" customFormat="1" ht="12"/>
    <row r="317" s="2" customFormat="1" ht="12"/>
    <row r="318" s="2" customFormat="1" ht="12"/>
    <row r="319" s="2" customFormat="1" ht="12"/>
    <row r="320" s="2" customFormat="1" ht="12"/>
    <row r="321" s="2" customFormat="1" ht="12"/>
    <row r="322" s="2" customFormat="1" ht="12"/>
    <row r="323" s="2" customFormat="1" ht="12"/>
    <row r="324" s="2" customFormat="1" ht="12"/>
    <row r="325" s="2" customFormat="1" ht="12"/>
    <row r="326" s="2" customFormat="1" ht="12"/>
    <row r="327" s="2" customFormat="1" ht="12"/>
    <row r="328" s="2" customFormat="1" ht="12"/>
    <row r="329" s="2" customFormat="1" ht="12"/>
    <row r="330" s="2" customFormat="1" ht="12"/>
    <row r="331" s="2" customFormat="1" ht="12"/>
    <row r="332" s="2" customFormat="1" ht="12"/>
    <row r="333" s="2" customFormat="1" ht="12"/>
    <row r="334" s="2" customFormat="1" ht="12"/>
    <row r="335" s="2" customFormat="1" ht="12"/>
    <row r="336" s="2" customFormat="1" ht="12"/>
    <row r="337" s="2" customFormat="1" ht="12"/>
    <row r="338" s="2" customFormat="1" ht="12"/>
    <row r="339" s="2" customFormat="1" ht="12"/>
    <row r="340" s="2" customFormat="1" ht="12"/>
    <row r="341" s="2" customFormat="1" ht="12"/>
    <row r="342" s="2" customFormat="1" ht="12"/>
    <row r="343" s="2" customFormat="1" ht="12"/>
    <row r="344" s="2" customFormat="1" ht="12"/>
    <row r="345" s="2" customFormat="1" ht="12"/>
    <row r="346" s="2" customFormat="1" ht="12"/>
    <row r="347" s="2" customFormat="1" ht="12"/>
    <row r="348" s="2" customFormat="1" ht="12"/>
    <row r="349" s="2" customFormat="1" ht="12"/>
    <row r="350" s="2" customFormat="1" ht="12"/>
    <row r="351" s="2" customFormat="1" ht="12"/>
    <row r="352" s="2" customFormat="1" ht="12"/>
    <row r="353" s="2" customFormat="1" ht="12"/>
    <row r="354" s="2" customFormat="1" ht="12"/>
    <row r="355" s="2" customFormat="1" ht="12"/>
    <row r="356" s="2" customFormat="1" ht="12"/>
    <row r="357" s="2" customFormat="1" ht="12"/>
    <row r="358" s="2" customFormat="1" ht="12"/>
    <row r="359" s="2" customFormat="1" ht="12"/>
    <row r="360" s="2" customFormat="1" ht="12"/>
    <row r="361" s="2" customFormat="1" ht="12"/>
    <row r="362" s="2" customFormat="1" ht="12"/>
    <row r="363" s="2" customFormat="1" ht="12"/>
    <row r="364" s="2" customFormat="1" ht="12"/>
    <row r="365" s="2" customFormat="1" ht="12"/>
    <row r="366" s="2" customFormat="1" ht="12"/>
    <row r="367" s="2" customFormat="1" ht="12"/>
    <row r="368" s="2" customFormat="1" ht="12"/>
    <row r="369" s="2" customFormat="1" ht="12"/>
    <row r="370" s="2" customFormat="1" ht="12"/>
    <row r="371" s="2" customFormat="1" ht="12"/>
    <row r="372" s="2" customFormat="1" ht="12"/>
    <row r="373" s="2" customFormat="1" ht="12"/>
    <row r="374" s="2" customFormat="1" ht="12"/>
    <row r="375" s="2" customFormat="1" ht="12"/>
    <row r="376" s="2" customFormat="1" ht="12"/>
    <row r="377" s="2" customFormat="1" ht="12"/>
    <row r="378" s="2" customFormat="1" ht="12"/>
    <row r="379" s="2" customFormat="1" ht="12"/>
    <row r="380" s="2" customFormat="1" ht="12"/>
    <row r="381" s="2" customFormat="1" ht="12"/>
    <row r="382" s="2" customFormat="1" ht="12"/>
    <row r="383" s="2" customFormat="1" ht="12"/>
    <row r="384" s="2" customFormat="1" ht="12"/>
    <row r="385" s="2" customFormat="1" ht="12"/>
    <row r="386" s="2" customFormat="1" ht="12"/>
    <row r="387" s="2" customFormat="1" ht="12"/>
    <row r="388" s="2" customFormat="1" ht="12"/>
    <row r="389" s="2" customFormat="1" ht="12"/>
    <row r="390" s="2" customFormat="1" ht="12"/>
    <row r="391" s="2" customFormat="1" ht="12"/>
    <row r="392" s="2" customFormat="1" ht="12"/>
    <row r="393" s="2" customFormat="1" ht="12"/>
    <row r="394" s="2" customFormat="1" ht="12"/>
    <row r="395" s="2" customFormat="1" ht="12"/>
    <row r="396" s="2" customFormat="1" ht="12"/>
    <row r="397" s="2" customFormat="1" ht="12"/>
    <row r="398" s="2" customFormat="1" ht="12"/>
    <row r="399" s="2" customFormat="1" ht="12"/>
    <row r="400" s="2" customFormat="1" ht="12"/>
    <row r="401" s="2" customFormat="1" ht="12"/>
    <row r="402" s="2" customFormat="1" ht="12"/>
    <row r="403" s="2" customFormat="1" ht="12"/>
    <row r="404" s="2" customFormat="1" ht="12"/>
    <row r="405" s="2" customFormat="1" ht="12"/>
    <row r="406" s="2" customFormat="1" ht="12"/>
    <row r="407" s="2" customFormat="1" ht="12"/>
    <row r="408" s="2" customFormat="1" ht="12"/>
    <row r="409" s="2" customFormat="1" ht="12"/>
    <row r="410" s="2" customFormat="1" ht="12"/>
    <row r="411" s="2" customFormat="1" ht="12"/>
    <row r="412" s="2" customFormat="1" ht="12"/>
    <row r="413" s="2" customFormat="1" ht="12"/>
    <row r="414" s="2" customFormat="1" ht="12"/>
    <row r="415" s="2" customFormat="1" ht="12"/>
    <row r="416" s="2" customFormat="1" ht="12"/>
    <row r="417" s="2" customFormat="1" ht="12"/>
    <row r="418" s="2" customFormat="1" ht="12"/>
    <row r="419" s="2" customFormat="1" ht="12"/>
    <row r="420" s="2" customFormat="1" ht="12"/>
    <row r="421" s="2" customFormat="1" ht="12"/>
    <row r="422" s="2" customFormat="1" ht="12"/>
    <row r="423" s="2" customFormat="1" ht="12"/>
    <row r="424" s="2" customFormat="1" ht="12"/>
    <row r="425" s="2" customFormat="1" ht="12"/>
    <row r="426" s="2" customFormat="1" ht="12"/>
    <row r="427" s="2" customFormat="1" ht="12"/>
    <row r="428" s="2" customFormat="1" ht="12"/>
    <row r="429" s="2" customFormat="1" ht="12"/>
    <row r="430" s="2" customFormat="1" ht="12"/>
    <row r="431" s="2" customFormat="1" ht="12"/>
    <row r="432" s="2" customFormat="1" ht="12"/>
    <row r="433" s="2" customFormat="1" ht="12"/>
    <row r="434" s="2" customFormat="1" ht="12"/>
    <row r="435" s="2" customFormat="1" ht="12"/>
    <row r="436" s="2" customFormat="1" ht="12"/>
    <row r="437" s="2" customFormat="1" ht="12"/>
    <row r="438" s="2" customFormat="1" ht="12"/>
    <row r="439" s="2" customFormat="1" ht="12"/>
    <row r="440" s="2" customFormat="1" ht="12"/>
    <row r="441" s="2" customFormat="1" ht="12"/>
    <row r="442" s="2" customFormat="1" ht="12"/>
    <row r="443" s="2" customFormat="1" ht="12"/>
    <row r="444" s="2" customFormat="1" ht="12"/>
    <row r="445" s="2" customFormat="1" ht="12"/>
    <row r="446" s="2" customFormat="1" ht="12"/>
    <row r="447" s="2" customFormat="1" ht="12"/>
    <row r="448" s="2" customFormat="1" ht="12"/>
    <row r="449" s="2" customFormat="1" ht="12"/>
    <row r="450" s="2" customFormat="1" ht="12"/>
    <row r="451" s="2" customFormat="1" ht="12"/>
    <row r="452" s="2" customFormat="1" ht="12"/>
    <row r="453" s="2" customFormat="1" ht="12"/>
    <row r="454" s="2" customFormat="1" ht="12"/>
    <row r="455" s="2" customFormat="1" ht="12"/>
    <row r="456" s="2" customFormat="1" ht="12"/>
    <row r="457" s="2" customFormat="1" ht="12"/>
    <row r="458" s="2" customFormat="1" ht="12"/>
    <row r="459" s="2" customFormat="1" ht="12"/>
    <row r="460" s="2" customFormat="1" ht="12"/>
    <row r="461" s="2" customFormat="1" ht="12"/>
    <row r="462" s="2" customFormat="1" ht="12"/>
    <row r="463" s="2" customFormat="1" ht="12"/>
    <row r="464" s="2" customFormat="1" ht="12"/>
    <row r="465" s="2" customFormat="1" ht="12"/>
    <row r="466" s="2" customFormat="1" ht="12"/>
    <row r="467" s="2" customFormat="1" ht="12"/>
    <row r="468" s="2" customFormat="1" ht="12"/>
    <row r="469" s="2" customFormat="1" ht="12"/>
    <row r="470" s="2" customFormat="1" ht="12"/>
    <row r="471" s="2" customFormat="1" ht="12"/>
    <row r="472" s="2" customFormat="1" ht="12"/>
    <row r="473" s="2" customFormat="1" ht="12"/>
    <row r="474" s="2" customFormat="1" ht="12"/>
    <row r="475" s="2" customFormat="1" ht="12"/>
    <row r="476" s="2" customFormat="1" ht="12"/>
    <row r="477" s="2" customFormat="1" ht="12"/>
    <row r="478" s="2" customFormat="1" ht="12"/>
    <row r="479" s="2" customFormat="1" ht="12"/>
    <row r="480" s="2" customFormat="1" ht="12"/>
    <row r="481" s="2" customFormat="1" ht="12"/>
    <row r="482" s="2" customFormat="1" ht="12"/>
    <row r="483" s="2" customFormat="1" ht="12"/>
    <row r="484" s="2" customFormat="1" ht="12"/>
    <row r="485" s="2" customFormat="1" ht="12"/>
    <row r="486" s="2" customFormat="1" ht="12"/>
    <row r="487" s="2" customFormat="1" ht="12"/>
    <row r="488" s="2" customFormat="1" ht="12"/>
    <row r="489" s="2" customFormat="1" ht="12"/>
    <row r="490" s="2" customFormat="1" ht="12"/>
    <row r="491" s="2" customFormat="1" ht="12"/>
    <row r="492" s="2" customFormat="1" ht="12"/>
    <row r="493" s="2" customFormat="1" ht="12"/>
    <row r="494" s="2" customFormat="1" ht="12"/>
    <row r="495" s="2" customFormat="1" ht="12"/>
    <row r="496" s="2" customFormat="1" ht="12"/>
    <row r="497" s="2" customFormat="1" ht="12"/>
    <row r="498" s="2" customFormat="1" ht="12"/>
    <row r="499" s="2" customFormat="1" ht="12"/>
    <row r="500" s="2" customFormat="1" ht="12"/>
    <row r="501" s="2" customFormat="1" ht="12"/>
    <row r="502" s="2" customFormat="1" ht="12"/>
    <row r="503" s="2" customFormat="1" ht="12"/>
    <row r="504" s="2" customFormat="1" ht="12"/>
    <row r="505" s="2" customFormat="1" ht="12"/>
    <row r="506" s="2" customFormat="1" ht="12"/>
    <row r="507" s="2" customFormat="1" ht="12"/>
    <row r="508" s="2" customFormat="1" ht="12"/>
    <row r="509" s="2" customFormat="1" ht="12"/>
    <row r="510" s="2" customFormat="1" ht="12"/>
    <row r="511" s="2" customFormat="1" ht="12"/>
    <row r="512" s="2" customFormat="1" ht="12"/>
    <row r="513" s="2" customFormat="1" ht="12"/>
    <row r="514" s="2" customFormat="1" ht="12"/>
    <row r="515" s="2" customFormat="1" ht="12"/>
    <row r="516" s="2" customFormat="1" ht="12"/>
    <row r="517" s="2" customFormat="1" ht="12"/>
    <row r="518" s="2" customFormat="1" ht="12"/>
    <row r="519" s="2" customFormat="1" ht="12"/>
    <row r="520" s="2" customFormat="1" ht="12"/>
    <row r="521" s="2" customFormat="1" ht="12"/>
    <row r="522" s="2" customFormat="1" ht="12"/>
    <row r="523" s="2" customFormat="1" ht="12"/>
    <row r="524" s="2" customFormat="1" ht="12"/>
    <row r="525" s="2" customFormat="1" ht="12"/>
    <row r="526" s="2" customFormat="1" ht="12"/>
    <row r="527" s="2" customFormat="1" ht="12"/>
    <row r="528" s="2" customFormat="1" ht="12"/>
    <row r="529" s="2" customFormat="1" ht="12"/>
    <row r="530" s="2" customFormat="1" ht="12"/>
    <row r="531" s="2" customFormat="1" ht="12"/>
    <row r="532" s="2" customFormat="1" ht="12"/>
    <row r="533" s="2" customFormat="1" ht="12"/>
    <row r="534" s="2" customFormat="1" ht="12"/>
    <row r="535" s="2" customFormat="1" ht="12"/>
    <row r="536" s="2" customFormat="1" ht="12"/>
    <row r="537" s="2" customFormat="1" ht="12"/>
    <row r="538" s="2" customFormat="1" ht="12"/>
    <row r="539" s="2" customFormat="1" ht="12"/>
    <row r="540" s="2" customFormat="1" ht="12"/>
    <row r="541" s="2" customFormat="1" ht="12"/>
    <row r="542" s="2" customFormat="1" ht="12"/>
    <row r="543" s="2" customFormat="1" ht="12"/>
    <row r="544" s="2" customFormat="1" ht="12"/>
    <row r="545" s="2" customFormat="1" ht="12"/>
    <row r="546" s="2" customFormat="1" ht="12"/>
    <row r="547" s="2" customFormat="1" ht="12"/>
    <row r="548" s="2" customFormat="1" ht="12"/>
    <row r="549" s="2" customFormat="1" ht="12"/>
    <row r="550" s="2" customFormat="1" ht="12"/>
    <row r="551" s="2" customFormat="1" ht="12"/>
    <row r="552" s="2" customFormat="1" ht="12"/>
    <row r="553" s="2" customFormat="1" ht="12"/>
    <row r="554" s="2" customFormat="1" ht="12"/>
    <row r="555" s="2" customFormat="1" ht="12"/>
    <row r="556" s="2" customFormat="1" ht="12"/>
    <row r="557" s="2" customFormat="1" ht="12"/>
    <row r="558" s="2" customFormat="1" ht="12"/>
    <row r="559" s="2" customFormat="1" ht="12"/>
    <row r="560" s="2" customFormat="1" ht="12"/>
    <row r="561" s="2" customFormat="1" ht="12"/>
    <row r="562" s="2" customFormat="1" ht="12"/>
    <row r="563" s="2" customFormat="1" ht="12"/>
    <row r="564" s="2" customFormat="1" ht="12"/>
    <row r="565" s="2" customFormat="1" ht="12"/>
    <row r="566" s="2" customFormat="1" ht="12"/>
    <row r="567" s="2" customFormat="1" ht="12"/>
    <row r="568" s="2" customFormat="1" ht="12"/>
    <row r="569" s="2" customFormat="1" ht="12"/>
    <row r="570" s="2" customFormat="1" ht="12"/>
    <row r="571" s="2" customFormat="1" ht="12"/>
    <row r="572" s="2" customFormat="1" ht="12"/>
  </sheetData>
  <sheetProtection sheet="1" objects="1" scenarios="1"/>
  <mergeCells count="5">
    <mergeCell ref="B3:D3"/>
    <mergeCell ref="B6:F6"/>
    <mergeCell ref="B7:F22"/>
    <mergeCell ref="B25:F25"/>
    <mergeCell ref="B26:F32"/>
  </mergeCells>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70"/>
  <sheetViews>
    <sheetView showGridLines="0" zoomScale="135" zoomScaleNormal="135" workbookViewId="0">
      <pane ySplit="3" topLeftCell="A4" activePane="bottomLeft" state="frozen"/>
      <selection activeCell="B141" sqref="B141"/>
      <selection pane="bottomLeft" activeCell="D25" sqref="D25"/>
    </sheetView>
  </sheetViews>
  <sheetFormatPr baseColWidth="10" defaultColWidth="8.83203125" defaultRowHeight="15"/>
  <cols>
    <col min="1" max="1" width="1.1640625" style="10" customWidth="1"/>
    <col min="2" max="3" width="28.83203125" style="10" customWidth="1"/>
    <col min="4" max="4" width="130.83203125" style="11" customWidth="1"/>
    <col min="5" max="5" width="12.83203125" style="11" customWidth="1"/>
    <col min="6" max="6" width="12.83203125" style="10" customWidth="1"/>
    <col min="7" max="1024" width="8.83203125" style="10"/>
  </cols>
  <sheetData>
    <row r="1" spans="2:7" ht="48" customHeight="1">
      <c r="B1" s="12"/>
      <c r="C1" s="12"/>
      <c r="D1" s="11" t="s">
        <v>2</v>
      </c>
    </row>
    <row r="2" spans="2:7" ht="2.25" customHeight="1"/>
    <row r="3" spans="2:7" s="13" customFormat="1" ht="69" customHeight="1">
      <c r="B3" s="151" t="s">
        <v>3</v>
      </c>
      <c r="C3" s="151"/>
      <c r="D3" s="151"/>
      <c r="E3" s="14"/>
      <c r="F3" s="15"/>
      <c r="G3" s="15"/>
    </row>
    <row r="4" spans="2:7" s="13" customFormat="1" ht="4" customHeight="1">
      <c r="B4" s="16"/>
      <c r="C4" s="16"/>
      <c r="E4" s="10"/>
      <c r="F4" s="10"/>
    </row>
    <row r="5" spans="2:7" s="17" customFormat="1" ht="14">
      <c r="B5" s="18" t="s">
        <v>4</v>
      </c>
      <c r="C5" s="19"/>
      <c r="D5" s="20"/>
    </row>
    <row r="6" spans="2:7" s="17" customFormat="1" ht="16" customHeight="1">
      <c r="B6" s="21" t="s">
        <v>5</v>
      </c>
      <c r="C6" s="22" t="s">
        <v>6</v>
      </c>
      <c r="D6" s="22" t="s">
        <v>7</v>
      </c>
    </row>
    <row r="7" spans="2:7" s="17" customFormat="1" ht="16" customHeight="1">
      <c r="B7" s="152" t="s">
        <v>8</v>
      </c>
      <c r="C7" s="152"/>
      <c r="D7" s="152"/>
    </row>
    <row r="8" spans="2:7" s="17" customFormat="1" ht="25" customHeight="1">
      <c r="B8" s="23" t="s">
        <v>9</v>
      </c>
      <c r="C8" s="24" t="s">
        <v>483</v>
      </c>
      <c r="D8" s="25" t="s">
        <v>10</v>
      </c>
    </row>
    <row r="9" spans="2:7" s="17" customFormat="1" ht="16" customHeight="1">
      <c r="B9" s="152" t="s">
        <v>11</v>
      </c>
      <c r="C9" s="152"/>
      <c r="D9" s="152"/>
    </row>
    <row r="10" spans="2:7" s="17" customFormat="1" ht="25" customHeight="1">
      <c r="B10" s="23" t="s">
        <v>12</v>
      </c>
      <c r="C10" s="24" t="s">
        <v>483</v>
      </c>
      <c r="D10" s="25" t="s">
        <v>425</v>
      </c>
    </row>
    <row r="11" spans="2:7" s="17" customFormat="1" ht="25" customHeight="1">
      <c r="B11" s="23" t="s">
        <v>9</v>
      </c>
      <c r="C11" s="24" t="s">
        <v>483</v>
      </c>
      <c r="D11" s="25" t="s">
        <v>424</v>
      </c>
    </row>
    <row r="12" spans="2:7" s="26" customFormat="1" ht="16" customHeight="1">
      <c r="B12" s="152" t="s">
        <v>361</v>
      </c>
      <c r="C12" s="152"/>
      <c r="D12" s="152"/>
      <c r="E12" s="27"/>
    </row>
    <row r="13" spans="2:7" s="17" customFormat="1" ht="25" customHeight="1">
      <c r="B13" s="23" t="s">
        <v>9</v>
      </c>
      <c r="C13" s="24" t="s">
        <v>483</v>
      </c>
      <c r="D13" s="25" t="s">
        <v>423</v>
      </c>
    </row>
    <row r="14" spans="2:7" s="17" customFormat="1" ht="25" customHeight="1">
      <c r="B14" s="23" t="s">
        <v>13</v>
      </c>
      <c r="C14" s="24" t="s">
        <v>483</v>
      </c>
      <c r="D14" s="25" t="s">
        <v>426</v>
      </c>
    </row>
    <row r="15" spans="2:7" s="17" customFormat="1" ht="25" customHeight="1">
      <c r="B15" s="23" t="s">
        <v>14</v>
      </c>
      <c r="C15" s="24" t="s">
        <v>483</v>
      </c>
      <c r="D15" s="25" t="s">
        <v>427</v>
      </c>
    </row>
    <row r="16" spans="2:7" s="28" customFormat="1" ht="16" customHeight="1">
      <c r="B16" s="153" t="s">
        <v>15</v>
      </c>
      <c r="C16" s="153"/>
      <c r="D16" s="153"/>
      <c r="E16" s="29"/>
    </row>
    <row r="17" spans="2:5" s="17" customFormat="1" ht="25" customHeight="1">
      <c r="B17" s="23" t="s">
        <v>9</v>
      </c>
      <c r="C17" s="24" t="s">
        <v>483</v>
      </c>
      <c r="D17" s="25" t="s">
        <v>428</v>
      </c>
    </row>
    <row r="18" spans="2:5" s="17" customFormat="1" ht="25" customHeight="1">
      <c r="B18" s="23" t="s">
        <v>16</v>
      </c>
      <c r="C18" s="24" t="s">
        <v>483</v>
      </c>
      <c r="D18" s="25" t="s">
        <v>429</v>
      </c>
    </row>
    <row r="19" spans="2:5" s="17" customFormat="1" ht="25" customHeight="1">
      <c r="B19" s="30" t="s">
        <v>17</v>
      </c>
      <c r="C19" s="31" t="s">
        <v>483</v>
      </c>
      <c r="D19" s="32" t="s">
        <v>18</v>
      </c>
    </row>
    <row r="20" spans="2:5" s="28" customFormat="1" ht="12">
      <c r="D20" s="29"/>
      <c r="E20" s="29"/>
    </row>
    <row r="21" spans="2:5" s="28" customFormat="1" ht="12">
      <c r="B21" s="125" t="s">
        <v>440</v>
      </c>
      <c r="D21" s="29"/>
      <c r="E21" s="29"/>
    </row>
    <row r="22" spans="2:5" s="28" customFormat="1" ht="12">
      <c r="D22" s="29"/>
      <c r="E22" s="29"/>
    </row>
    <row r="23" spans="2:5" s="28" customFormat="1" ht="12">
      <c r="D23" s="29"/>
      <c r="E23" s="29"/>
    </row>
    <row r="24" spans="2:5" s="28" customFormat="1" ht="12">
      <c r="D24" s="29"/>
      <c r="E24" s="29"/>
    </row>
    <row r="25" spans="2:5" s="28" customFormat="1" ht="12">
      <c r="D25" s="29"/>
      <c r="E25" s="29"/>
    </row>
    <row r="26" spans="2:5" s="28" customFormat="1" ht="12">
      <c r="D26" s="29"/>
      <c r="E26" s="29"/>
    </row>
    <row r="27" spans="2:5" s="28" customFormat="1" ht="12">
      <c r="D27" s="29"/>
      <c r="E27" s="29"/>
    </row>
    <row r="28" spans="2:5" s="28" customFormat="1" ht="12">
      <c r="D28" s="29"/>
      <c r="E28" s="29"/>
    </row>
    <row r="29" spans="2:5" s="28" customFormat="1" ht="12">
      <c r="D29" s="29"/>
      <c r="E29" s="29"/>
    </row>
    <row r="30" spans="2:5" s="28" customFormat="1" ht="12">
      <c r="D30" s="29"/>
      <c r="E30" s="29"/>
    </row>
    <row r="31" spans="2:5" s="28" customFormat="1" ht="12">
      <c r="D31" s="29"/>
      <c r="E31" s="29"/>
    </row>
    <row r="32" spans="2:5" s="33" customFormat="1" ht="12">
      <c r="D32" s="34"/>
      <c r="E32" s="34"/>
    </row>
    <row r="33" spans="2:5" s="33" customFormat="1" ht="12">
      <c r="D33" s="34"/>
      <c r="E33" s="34"/>
    </row>
    <row r="34" spans="2:5" s="33" customFormat="1" ht="12">
      <c r="D34" s="34"/>
      <c r="E34" s="34"/>
    </row>
    <row r="35" spans="2:5" s="33" customFormat="1" ht="12">
      <c r="D35" s="34"/>
      <c r="E35" s="34"/>
    </row>
    <row r="36" spans="2:5" s="33" customFormat="1" ht="12">
      <c r="D36" s="34"/>
      <c r="E36" s="34"/>
    </row>
    <row r="37" spans="2:5" s="33" customFormat="1" ht="12">
      <c r="D37" s="34"/>
      <c r="E37" s="34"/>
    </row>
    <row r="38" spans="2:5" s="33" customFormat="1" ht="12">
      <c r="D38" s="34"/>
      <c r="E38" s="34"/>
    </row>
    <row r="39" spans="2:5" s="33" customFormat="1" ht="12">
      <c r="D39" s="34"/>
      <c r="E39" s="34"/>
    </row>
    <row r="40" spans="2:5" s="33" customFormat="1" ht="12">
      <c r="D40" s="34"/>
      <c r="E40" s="34"/>
    </row>
    <row r="41" spans="2:5" s="33" customFormat="1" ht="12">
      <c r="D41" s="34"/>
      <c r="E41" s="34"/>
    </row>
    <row r="42" spans="2:5" s="33" customFormat="1" ht="12">
      <c r="D42" s="34"/>
      <c r="E42" s="34"/>
    </row>
    <row r="43" spans="2:5" s="33" customFormat="1" ht="12">
      <c r="D43" s="34"/>
      <c r="E43" s="11"/>
    </row>
    <row r="44" spans="2:5" s="33" customFormat="1" ht="12">
      <c r="D44" s="34"/>
      <c r="E44" s="11"/>
    </row>
    <row r="45" spans="2:5" s="33" customFormat="1" ht="12">
      <c r="D45" s="34"/>
      <c r="E45" s="11"/>
    </row>
    <row r="46" spans="2:5">
      <c r="B46" s="33"/>
      <c r="C46" s="33"/>
      <c r="D46" s="34"/>
    </row>
    <row r="47" spans="2:5">
      <c r="B47" s="33"/>
      <c r="C47" s="33"/>
      <c r="D47" s="34"/>
    </row>
    <row r="48" spans="2:5">
      <c r="B48" s="33"/>
      <c r="C48" s="33"/>
      <c r="D48" s="34"/>
    </row>
    <row r="49" spans="2:4">
      <c r="B49" s="33"/>
      <c r="C49" s="33"/>
      <c r="D49" s="34"/>
    </row>
    <row r="50" spans="2:4">
      <c r="B50" s="33"/>
      <c r="C50" s="33"/>
      <c r="D50" s="34"/>
    </row>
    <row r="51" spans="2:4">
      <c r="B51" s="33"/>
      <c r="C51" s="33"/>
      <c r="D51" s="34"/>
    </row>
    <row r="52" spans="2:4">
      <c r="B52" s="33"/>
      <c r="C52" s="33"/>
      <c r="D52" s="34"/>
    </row>
    <row r="53" spans="2:4">
      <c r="B53" s="33"/>
      <c r="C53" s="33"/>
      <c r="D53" s="34"/>
    </row>
    <row r="54" spans="2:4">
      <c r="B54" s="33"/>
      <c r="C54" s="33"/>
      <c r="D54" s="34"/>
    </row>
    <row r="55" spans="2:4">
      <c r="B55" s="33"/>
      <c r="C55" s="33"/>
      <c r="D55" s="34"/>
    </row>
    <row r="56" spans="2:4">
      <c r="B56" s="33"/>
      <c r="C56" s="33"/>
      <c r="D56" s="34"/>
    </row>
    <row r="57" spans="2:4">
      <c r="B57" s="33"/>
      <c r="C57" s="33"/>
      <c r="D57" s="34"/>
    </row>
    <row r="58" spans="2:4">
      <c r="B58" s="33"/>
      <c r="C58" s="33"/>
      <c r="D58" s="34"/>
    </row>
    <row r="59" spans="2:4">
      <c r="B59" s="33"/>
      <c r="C59" s="33"/>
      <c r="D59" s="34"/>
    </row>
    <row r="60" spans="2:4">
      <c r="B60" s="33"/>
      <c r="C60" s="33"/>
      <c r="D60" s="34"/>
    </row>
    <row r="61" spans="2:4">
      <c r="B61" s="33"/>
      <c r="C61" s="33"/>
      <c r="D61" s="34"/>
    </row>
    <row r="62" spans="2:4">
      <c r="B62" s="33"/>
      <c r="C62" s="33"/>
      <c r="D62" s="34"/>
    </row>
    <row r="63" spans="2:4">
      <c r="B63" s="33"/>
      <c r="C63" s="33"/>
      <c r="D63" s="34"/>
    </row>
    <row r="64" spans="2:4">
      <c r="B64" s="33"/>
      <c r="C64" s="33"/>
      <c r="D64" s="34"/>
    </row>
    <row r="65" spans="2:4">
      <c r="B65" s="33"/>
      <c r="C65" s="33"/>
      <c r="D65" s="34"/>
    </row>
    <row r="66" spans="2:4">
      <c r="B66" s="33"/>
      <c r="C66" s="33"/>
      <c r="D66" s="34"/>
    </row>
    <row r="67" spans="2:4">
      <c r="B67" s="33"/>
      <c r="C67" s="33"/>
      <c r="D67" s="34"/>
    </row>
    <row r="68" spans="2:4">
      <c r="B68" s="33"/>
      <c r="C68" s="33"/>
      <c r="D68" s="34"/>
    </row>
    <row r="69" spans="2:4">
      <c r="B69" s="33"/>
      <c r="C69" s="33"/>
      <c r="D69" s="34"/>
    </row>
    <row r="70" spans="2:4">
      <c r="B70" s="33"/>
      <c r="C70" s="33"/>
      <c r="D70" s="34"/>
    </row>
  </sheetData>
  <sheetProtection sheet="1" objects="1" scenarios="1"/>
  <mergeCells count="5">
    <mergeCell ref="B3:D3"/>
    <mergeCell ref="B7:D7"/>
    <mergeCell ref="B9:D9"/>
    <mergeCell ref="B12:D12"/>
    <mergeCell ref="B16:D16"/>
  </mergeCells>
  <conditionalFormatting sqref="C8">
    <cfRule type="expression" dxfId="144" priority="13">
      <formula>LEN(C8)&gt;40</formula>
    </cfRule>
    <cfRule type="expression" dxfId="143" priority="14">
      <formula>LEN(C8)&lt;8</formula>
    </cfRule>
  </conditionalFormatting>
  <conditionalFormatting sqref="C10">
    <cfRule type="expression" dxfId="142" priority="1">
      <formula>LEN($C$10)=0</formula>
    </cfRule>
  </conditionalFormatting>
  <conditionalFormatting sqref="C10:C11">
    <cfRule type="expression" dxfId="141" priority="9">
      <formula>AND(LEN(C10)&gt;0,LEN(C10)&lt;8)</formula>
    </cfRule>
  </conditionalFormatting>
  <conditionalFormatting sqref="C11">
    <cfRule type="expression" dxfId="140" priority="2">
      <formula>LEN($C$11)=0</formula>
    </cfRule>
  </conditionalFormatting>
  <conditionalFormatting sqref="C13">
    <cfRule type="expression" dxfId="139" priority="3">
      <formula>LEN($C$13)=0</formula>
    </cfRule>
  </conditionalFormatting>
  <conditionalFormatting sqref="C13:C14">
    <cfRule type="expression" dxfId="138" priority="10" stopIfTrue="1">
      <formula>AND(LEN(C13)&gt;0,LEN(C13)&lt;8)</formula>
    </cfRule>
  </conditionalFormatting>
  <conditionalFormatting sqref="C14">
    <cfRule type="expression" dxfId="137" priority="4" stopIfTrue="1">
      <formula>LEN($C$14)=0</formula>
    </cfRule>
  </conditionalFormatting>
  <conditionalFormatting sqref="C15">
    <cfRule type="expression" dxfId="136" priority="5">
      <formula>LEN($C$15)=0</formula>
    </cfRule>
    <cfRule type="expression" dxfId="135" priority="15" stopIfTrue="1">
      <formula>AND(LEN(C15)&gt;0,LEN(C15)&lt;12)</formula>
    </cfRule>
  </conditionalFormatting>
  <conditionalFormatting sqref="C17">
    <cfRule type="expression" dxfId="134" priority="6" stopIfTrue="1">
      <formula>LEN($C$17)=0</formula>
    </cfRule>
    <cfRule type="expression" dxfId="133" priority="12" stopIfTrue="1">
      <formula>AND(LEN(C17)&gt;0,LEN(C17)&lt;8)</formula>
    </cfRule>
  </conditionalFormatting>
  <conditionalFormatting sqref="C18">
    <cfRule type="expression" dxfId="132" priority="7" stopIfTrue="1">
      <formula>LEN($C$18)=0</formula>
    </cfRule>
    <cfRule type="expression" dxfId="131" priority="17" stopIfTrue="1">
      <formula>AND(LEN(C18)&gt;0,LEN(C18)&lt;8)</formula>
    </cfRule>
  </conditionalFormatting>
  <conditionalFormatting sqref="C19">
    <cfRule type="expression" dxfId="130" priority="18">
      <formula>LEN(C19)&lt;12</formula>
    </cfRule>
  </conditionalFormatting>
  <dataValidations count="3">
    <dataValidation type="textLength" allowBlank="1" showInputMessage="1" showErrorMessage="1" errorTitle="Password Length Error" error="Password must be minimum of 12 and maximum 255 characters length" promptTitle="Password Policy" prompt="At least 12 characters_x000a_At least one lower-case letter_x000a_At least one upper-case letter_x000a_At least one digit_x000a_At least one special char_x000a_At least five different char_x000a_NO three same consecutive chars_x000a_NOT a dictionary word_x000a_NOT more than four monotonic char sequence" sqref="C13:C15" xr:uid="{00000000-0002-0000-0100-000000000000}">
      <formula1>12</formula1>
      <formula2>255</formula2>
    </dataValidation>
    <dataValidation type="textLength" allowBlank="1" showInputMessage="1" showErrorMessage="1" errorTitle="Password Length Error" error="Password must be minimum of 8 and maximum 20 characters length" promptTitle="Password Policy" prompt="8-20 character length, atleast one Uppercase, lowercase, number &amp; at least one of the following supported special characters @!#$%?^" sqref="C10:C11" xr:uid="{00000000-0002-0000-0100-000002000000}">
      <formula1>8</formula1>
      <formula2>20</formula2>
    </dataValidation>
    <dataValidation type="textLength" allowBlank="1" showInputMessage="1" showErrorMessage="1" errorTitle="Password Length Error" error="Password must be minimum of 15 and maximum 20 characters length" promptTitle="Password Policy" prompt="15-20 character length_x000a_At least one lower-case letter_x000a_At least one upper-case letter_x000a_At least one digit_x000a_At least one special char_x000a_At least five different char_x000a_NO three same consecutive chars_x000a_NOT a dictionary word_x000a_NOT more than four monotonic char sequence" sqref="C17:C19" xr:uid="{00000000-0002-0000-0100-000003000000}">
      <formula1>15</formula1>
      <formula2>20</formula2>
    </dataValidation>
  </dataValidations>
  <printOptions horizontalCentered="1"/>
  <pageMargins left="0.5" right="0.5" top="0.5" bottom="0.5" header="0.51180555555555496" footer="0.25"/>
  <pageSetup firstPageNumber="0" orientation="portrait" horizontalDpi="300" verticalDpi="300"/>
  <headerFooter>
    <oddFooter>&amp;L&amp;8http://www.vertex42.com/ExcelTemplates/spring-cleaning-checklist.html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57"/>
  <sheetViews>
    <sheetView topLeftCell="B1" zoomScale="130" zoomScaleNormal="130" workbookViewId="0">
      <pane ySplit="4" topLeftCell="A5" activePane="bottomLeft" state="frozen"/>
      <selection activeCell="B141" sqref="B141"/>
      <selection pane="bottomLeft" activeCell="I34" sqref="I34"/>
    </sheetView>
  </sheetViews>
  <sheetFormatPr baseColWidth="10" defaultColWidth="12.33203125" defaultRowHeight="15"/>
  <cols>
    <col min="1" max="1" width="1.1640625" style="35" customWidth="1"/>
    <col min="2" max="2" width="26.5" style="36" customWidth="1"/>
    <col min="3" max="3" width="7.33203125" style="36" customWidth="1"/>
    <col min="4" max="4" width="33.5" style="36" customWidth="1"/>
    <col min="5" max="6" width="16.83203125" style="36" customWidth="1"/>
    <col min="7" max="7" width="6.33203125" style="36" customWidth="1"/>
    <col min="8" max="8" width="2.33203125" style="35" customWidth="1"/>
    <col min="9" max="12" width="26.6640625" style="36" customWidth="1"/>
    <col min="13" max="13" width="51.83203125" style="35" customWidth="1"/>
    <col min="14" max="16" width="27.6640625" style="35" customWidth="1"/>
    <col min="17" max="29" width="12.33203125" style="35"/>
    <col min="30" max="1024" width="12.33203125" style="36"/>
  </cols>
  <sheetData>
    <row r="1" spans="1:29" s="35" customFormat="1" ht="48" customHeight="1">
      <c r="M1" s="37"/>
      <c r="N1" s="37"/>
      <c r="O1" s="37"/>
      <c r="P1" s="37"/>
    </row>
    <row r="2" spans="1:29" s="38" customFormat="1" ht="2.25" customHeight="1">
      <c r="D2" s="39"/>
      <c r="E2" s="40"/>
      <c r="F2" s="40"/>
    </row>
    <row r="3" spans="1:29" s="38" customFormat="1" ht="60" customHeight="1">
      <c r="B3" s="154" t="s">
        <v>19</v>
      </c>
      <c r="C3" s="154"/>
      <c r="D3" s="154"/>
      <c r="E3" s="154"/>
      <c r="F3" s="154"/>
      <c r="G3" s="154"/>
      <c r="H3" s="154"/>
      <c r="I3" s="154"/>
      <c r="J3" s="154"/>
      <c r="K3" s="154"/>
      <c r="L3" s="154"/>
    </row>
    <row r="4" spans="1:29" s="17" customFormat="1" ht="4" customHeight="1">
      <c r="A4" s="41"/>
      <c r="B4" s="41"/>
      <c r="C4" s="41"/>
      <c r="D4" s="42"/>
      <c r="E4" s="42"/>
      <c r="F4" s="42"/>
      <c r="G4" s="41"/>
      <c r="H4" s="41"/>
      <c r="I4" s="41"/>
      <c r="J4" s="41"/>
      <c r="K4" s="41"/>
      <c r="L4" s="38"/>
      <c r="M4" s="38"/>
      <c r="N4" s="41"/>
      <c r="O4" s="41"/>
      <c r="P4" s="41"/>
      <c r="Q4" s="41"/>
      <c r="R4" s="41"/>
      <c r="S4" s="41"/>
      <c r="T4" s="41"/>
      <c r="U4" s="41"/>
      <c r="V4" s="41"/>
      <c r="W4" s="41"/>
      <c r="X4" s="41"/>
      <c r="Y4" s="41"/>
      <c r="Z4" s="41"/>
      <c r="AA4" s="41"/>
      <c r="AB4" s="41"/>
    </row>
    <row r="5" spans="1:29" s="44" customFormat="1" ht="16" customHeight="1" thickBot="1">
      <c r="A5" s="37"/>
      <c r="B5" s="155" t="s">
        <v>20</v>
      </c>
      <c r="C5" s="155"/>
      <c r="D5" s="155"/>
      <c r="E5" s="155"/>
      <c r="F5" s="155"/>
      <c r="G5" s="155"/>
      <c r="H5" s="43"/>
      <c r="I5" s="156" t="s">
        <v>21</v>
      </c>
      <c r="J5" s="156"/>
      <c r="K5" s="156"/>
      <c r="L5" s="156"/>
      <c r="M5" s="37"/>
      <c r="N5" s="37"/>
      <c r="O5" s="37"/>
      <c r="P5" s="37"/>
      <c r="Q5" s="37"/>
      <c r="R5" s="37"/>
      <c r="S5" s="37"/>
      <c r="T5" s="37"/>
      <c r="U5" s="37"/>
      <c r="V5" s="37"/>
      <c r="W5" s="37"/>
      <c r="X5" s="37"/>
      <c r="Y5" s="37"/>
      <c r="Z5" s="37"/>
      <c r="AA5" s="37"/>
      <c r="AB5" s="37"/>
      <c r="AC5" s="37"/>
    </row>
    <row r="6" spans="1:29" s="44" customFormat="1" ht="16" customHeight="1">
      <c r="A6" s="37"/>
      <c r="B6" s="45" t="s">
        <v>22</v>
      </c>
      <c r="C6" s="46" t="s">
        <v>23</v>
      </c>
      <c r="D6" s="46" t="s">
        <v>449</v>
      </c>
      <c r="E6" s="46" t="s">
        <v>24</v>
      </c>
      <c r="F6" s="46" t="s">
        <v>25</v>
      </c>
      <c r="G6" s="47" t="s">
        <v>26</v>
      </c>
      <c r="H6" s="48"/>
      <c r="I6" s="49" t="s">
        <v>509</v>
      </c>
      <c r="J6" s="50" t="s">
        <v>479</v>
      </c>
      <c r="K6" s="50" t="s">
        <v>480</v>
      </c>
      <c r="L6" s="51" t="s">
        <v>481</v>
      </c>
      <c r="M6" s="37"/>
      <c r="N6" s="37"/>
      <c r="O6" s="37"/>
      <c r="P6" s="37"/>
      <c r="Q6" s="37"/>
      <c r="R6" s="37"/>
      <c r="S6" s="37"/>
      <c r="T6" s="37"/>
      <c r="U6" s="37"/>
      <c r="V6" s="37"/>
      <c r="W6" s="37"/>
      <c r="X6" s="37"/>
      <c r="Y6" s="37"/>
      <c r="Z6" s="37"/>
      <c r="AA6" s="37"/>
      <c r="AB6" s="37"/>
      <c r="AC6" s="37"/>
    </row>
    <row r="7" spans="1:29" s="44" customFormat="1" ht="16" customHeight="1">
      <c r="A7" s="37"/>
      <c r="B7" s="52" t="s">
        <v>394</v>
      </c>
      <c r="C7" s="121">
        <v>10</v>
      </c>
      <c r="D7" s="121" t="s">
        <v>446</v>
      </c>
      <c r="E7" s="58" t="s">
        <v>472</v>
      </c>
      <c r="F7" s="58" t="s">
        <v>492</v>
      </c>
      <c r="G7" s="59">
        <v>9000</v>
      </c>
      <c r="H7" s="55"/>
      <c r="I7" s="56" t="s">
        <v>484</v>
      </c>
      <c r="J7" s="53" t="s">
        <v>485</v>
      </c>
      <c r="K7" s="53" t="s">
        <v>486</v>
      </c>
      <c r="L7" s="57" t="s">
        <v>487</v>
      </c>
      <c r="M7" s="37"/>
      <c r="N7" s="37"/>
      <c r="O7" s="37"/>
      <c r="P7" s="37"/>
      <c r="Q7" s="37"/>
      <c r="R7" s="37"/>
      <c r="S7" s="37"/>
      <c r="T7" s="37"/>
      <c r="U7" s="37"/>
      <c r="V7" s="37"/>
      <c r="W7" s="37"/>
      <c r="X7" s="37"/>
      <c r="Y7" s="37"/>
      <c r="Z7" s="37"/>
      <c r="AA7" s="37"/>
      <c r="AB7" s="37"/>
      <c r="AC7" s="37"/>
    </row>
    <row r="8" spans="1:29" s="44" customFormat="1" ht="16" customHeight="1">
      <c r="A8" s="37"/>
      <c r="B8" s="52" t="s">
        <v>27</v>
      </c>
      <c r="C8" s="53" t="s">
        <v>495</v>
      </c>
      <c r="D8" s="127" t="s">
        <v>445</v>
      </c>
      <c r="E8" s="53" t="s">
        <v>472</v>
      </c>
      <c r="F8" s="53" t="s">
        <v>492</v>
      </c>
      <c r="G8" s="54">
        <v>9000</v>
      </c>
      <c r="H8" s="55"/>
      <c r="I8" s="52" t="s">
        <v>29</v>
      </c>
      <c r="J8" s="58" t="s">
        <v>475</v>
      </c>
      <c r="K8" s="60" t="s">
        <v>30</v>
      </c>
      <c r="L8" s="61" t="s">
        <v>476</v>
      </c>
      <c r="M8" s="37"/>
      <c r="N8" s="37"/>
      <c r="O8" s="37"/>
      <c r="P8" s="37"/>
      <c r="Q8" s="37"/>
      <c r="R8" s="37"/>
      <c r="S8" s="37"/>
      <c r="T8" s="37"/>
      <c r="U8" s="37"/>
      <c r="V8" s="37"/>
      <c r="W8" s="37"/>
      <c r="X8" s="37"/>
      <c r="Y8" s="37"/>
      <c r="Z8" s="37"/>
      <c r="AA8" s="37"/>
      <c r="AB8" s="37"/>
      <c r="AC8" s="37"/>
    </row>
    <row r="9" spans="1:29" s="44" customFormat="1" ht="16" customHeight="1" thickBot="1">
      <c r="A9" s="37"/>
      <c r="B9" s="52" t="s">
        <v>28</v>
      </c>
      <c r="C9" s="58" t="s">
        <v>496</v>
      </c>
      <c r="D9" s="121" t="s">
        <v>448</v>
      </c>
      <c r="E9" s="58" t="s">
        <v>473</v>
      </c>
      <c r="F9" s="58" t="s">
        <v>493</v>
      </c>
      <c r="G9" s="59">
        <v>9000</v>
      </c>
      <c r="H9" s="55"/>
      <c r="I9" s="62" t="s">
        <v>32</v>
      </c>
      <c r="J9" s="58" t="s">
        <v>478</v>
      </c>
      <c r="K9" s="63" t="s">
        <v>33</v>
      </c>
      <c r="L9" s="58" t="s">
        <v>477</v>
      </c>
      <c r="M9" s="37"/>
      <c r="N9" s="37"/>
      <c r="O9" s="37"/>
      <c r="P9" s="37"/>
      <c r="Q9" s="37"/>
      <c r="R9" s="37"/>
      <c r="S9" s="37"/>
      <c r="T9" s="37"/>
      <c r="U9" s="37"/>
      <c r="V9" s="37"/>
      <c r="W9" s="37"/>
      <c r="X9" s="37"/>
      <c r="Y9" s="37"/>
      <c r="Z9" s="37"/>
      <c r="AA9" s="37"/>
      <c r="AB9" s="37"/>
      <c r="AC9" s="37"/>
    </row>
    <row r="10" spans="1:29" s="44" customFormat="1" ht="16" customHeight="1">
      <c r="A10" s="37"/>
      <c r="B10" s="52" t="s">
        <v>31</v>
      </c>
      <c r="C10" s="58" t="s">
        <v>497</v>
      </c>
      <c r="D10" s="121" t="s">
        <v>447</v>
      </c>
      <c r="E10" s="58" t="s">
        <v>474</v>
      </c>
      <c r="F10" s="58" t="s">
        <v>494</v>
      </c>
      <c r="G10" s="59">
        <v>9000</v>
      </c>
      <c r="H10" s="55"/>
      <c r="I10"/>
      <c r="J10" s="64"/>
      <c r="K10" s="64"/>
      <c r="L10"/>
      <c r="M10" s="37"/>
      <c r="N10" s="37"/>
      <c r="O10" s="37"/>
      <c r="P10" s="37"/>
      <c r="Q10" s="37"/>
      <c r="R10" s="37"/>
      <c r="S10" s="37"/>
      <c r="T10" s="37"/>
      <c r="U10" s="37"/>
      <c r="V10" s="37"/>
      <c r="W10" s="37"/>
      <c r="X10" s="37"/>
      <c r="Y10" s="37"/>
      <c r="Z10" s="37"/>
      <c r="AA10" s="37"/>
      <c r="AB10" s="37"/>
      <c r="AC10" s="37"/>
    </row>
    <row r="11" spans="1:29" s="44" customFormat="1" ht="16" customHeight="1">
      <c r="A11" s="37"/>
      <c r="B11" s="35"/>
      <c r="C11" s="35"/>
      <c r="D11" s="35"/>
      <c r="E11" s="35"/>
      <c r="F11" s="35"/>
      <c r="G11" s="35"/>
      <c r="H11" s="55"/>
      <c r="I11" s="64"/>
      <c r="J11" s="64"/>
      <c r="K11" s="64"/>
      <c r="L11" s="64"/>
      <c r="M11" s="37"/>
      <c r="N11" s="37"/>
      <c r="O11" s="37"/>
      <c r="P11" s="37"/>
      <c r="Q11" s="37"/>
      <c r="R11" s="37"/>
      <c r="S11" s="37"/>
      <c r="T11" s="37"/>
      <c r="U11" s="37"/>
      <c r="V11" s="37"/>
      <c r="W11" s="37"/>
      <c r="X11" s="37"/>
      <c r="Y11" s="37"/>
      <c r="Z11" s="37"/>
      <c r="AA11" s="37"/>
      <c r="AB11" s="37"/>
      <c r="AC11" s="37"/>
    </row>
    <row r="12" spans="1:29" s="37" customFormat="1" ht="16" customHeight="1">
      <c r="B12" s="159" t="s">
        <v>41</v>
      </c>
      <c r="C12" s="159"/>
      <c r="D12" s="159"/>
      <c r="E12" s="160" t="s">
        <v>34</v>
      </c>
      <c r="F12" s="160"/>
      <c r="G12" s="35"/>
      <c r="I12" s="65" t="s">
        <v>35</v>
      </c>
      <c r="J12" s="66" t="s">
        <v>36</v>
      </c>
      <c r="K12" s="67" t="s">
        <v>53</v>
      </c>
      <c r="L12" s="35"/>
      <c r="M12" s="35"/>
      <c r="N12" s="35"/>
      <c r="O12" s="35"/>
      <c r="P12" s="35"/>
    </row>
    <row r="13" spans="1:29">
      <c r="B13" s="162" t="s">
        <v>459</v>
      </c>
      <c r="C13" s="162"/>
      <c r="D13" s="162"/>
      <c r="E13" s="163" t="s">
        <v>458</v>
      </c>
      <c r="F13" s="163"/>
      <c r="G13" s="35"/>
      <c r="I13" s="45" t="s">
        <v>38</v>
      </c>
      <c r="J13" s="157" t="s">
        <v>39</v>
      </c>
      <c r="K13" s="157"/>
      <c r="L13" s="158" t="s">
        <v>40</v>
      </c>
      <c r="M13" s="158"/>
    </row>
    <row r="14" spans="1:29" ht="16" customHeight="1">
      <c r="B14" s="162" t="s">
        <v>44</v>
      </c>
      <c r="C14" s="162"/>
      <c r="D14" s="162"/>
      <c r="E14" s="163" t="s">
        <v>45</v>
      </c>
      <c r="F14" s="163"/>
      <c r="G14" s="35"/>
      <c r="I14" s="68" t="s">
        <v>42</v>
      </c>
      <c r="J14" s="167" t="s">
        <v>43</v>
      </c>
      <c r="K14" s="167"/>
      <c r="L14" s="168" t="s">
        <v>374</v>
      </c>
      <c r="M14" s="169"/>
    </row>
    <row r="15" spans="1:29" ht="16" customHeight="1">
      <c r="B15" s="162" t="s">
        <v>46</v>
      </c>
      <c r="C15" s="162"/>
      <c r="D15" s="162"/>
      <c r="E15" s="164">
        <v>9000</v>
      </c>
      <c r="F15" s="165"/>
      <c r="G15" s="35"/>
      <c r="I15" s="68" t="str">
        <f>IF(AND(I6&lt;&gt;"n/a",I6&lt;&gt;""),I6,I7)</f>
        <v>vcf42-esx01</v>
      </c>
      <c r="J15" s="166"/>
      <c r="K15" s="166"/>
      <c r="L15" s="161"/>
      <c r="M15" s="161"/>
    </row>
    <row r="16" spans="1:29" ht="16" customHeight="1">
      <c r="B16" s="173" t="s">
        <v>408</v>
      </c>
      <c r="C16" s="174"/>
      <c r="D16" s="175"/>
      <c r="E16" s="171" t="s">
        <v>409</v>
      </c>
      <c r="F16" s="172"/>
      <c r="G16" s="35"/>
      <c r="I16" s="68" t="str">
        <f>IF(AND(J6&lt;&gt;"n/a",J6&lt;&gt;""),J6,J7)</f>
        <v>vcf42-esx02</v>
      </c>
      <c r="J16" s="166"/>
      <c r="K16" s="166"/>
      <c r="L16" s="161"/>
      <c r="M16" s="161"/>
    </row>
    <row r="17" spans="2:13" ht="16" customHeight="1">
      <c r="B17" s="159" t="s">
        <v>47</v>
      </c>
      <c r="C17" s="159"/>
      <c r="D17" s="159"/>
      <c r="E17" s="160" t="s">
        <v>34</v>
      </c>
      <c r="F17" s="160"/>
      <c r="G17" s="35"/>
      <c r="I17" s="68" t="str">
        <f>IF(AND(K6&lt;&gt;"n/a",K6&lt;&gt;""),K6,K7)</f>
        <v>vcf42-esx03</v>
      </c>
      <c r="J17" s="166"/>
      <c r="K17" s="166"/>
      <c r="L17" s="161"/>
      <c r="M17" s="161"/>
    </row>
    <row r="18" spans="2:13" ht="16" customHeight="1">
      <c r="B18" s="162" t="s">
        <v>430</v>
      </c>
      <c r="C18" s="162"/>
      <c r="D18" s="162"/>
      <c r="E18" s="164" t="s">
        <v>48</v>
      </c>
      <c r="F18" s="164"/>
      <c r="G18" s="35"/>
      <c r="H18" s="69"/>
      <c r="I18" s="70" t="str">
        <f>IF(AND(L6&lt;&gt;"n/a",L6&lt;&gt;""),L6,L7)</f>
        <v>vcf42-esx04</v>
      </c>
      <c r="J18" s="176"/>
      <c r="K18" s="176"/>
      <c r="L18" s="177"/>
      <c r="M18" s="177"/>
    </row>
    <row r="19" spans="2:13" ht="16" customHeight="1">
      <c r="B19" s="173" t="s">
        <v>410</v>
      </c>
      <c r="C19" s="174"/>
      <c r="D19" s="175"/>
      <c r="E19" s="179" t="s">
        <v>48</v>
      </c>
      <c r="F19" s="180"/>
      <c r="G19" s="35"/>
      <c r="H19" s="69"/>
      <c r="I19" s="35"/>
      <c r="J19" s="35"/>
      <c r="K19" s="35"/>
      <c r="L19" s="35"/>
    </row>
    <row r="20" spans="2:13" ht="16" customHeight="1">
      <c r="B20" s="162" t="s">
        <v>49</v>
      </c>
      <c r="C20" s="162"/>
      <c r="D20" s="162"/>
      <c r="E20" s="164" t="s">
        <v>50</v>
      </c>
      <c r="F20" s="164"/>
      <c r="G20" s="35"/>
      <c r="I20" s="156" t="str">
        <f>IF(K24="No","NSX Host Overlay Network - DHCP","NSX Host Overlay Network - Static IP Pool in NSX")</f>
        <v>NSX Host Overlay Network - Static IP Pool in NSX</v>
      </c>
      <c r="J20" s="156"/>
      <c r="K20" s="156"/>
      <c r="L20" s="156"/>
    </row>
    <row r="21" spans="2:13" s="35" customFormat="1" ht="16" customHeight="1">
      <c r="B21" s="181" t="s">
        <v>52</v>
      </c>
      <c r="C21" s="181"/>
      <c r="D21" s="181"/>
      <c r="E21" s="182">
        <v>9000</v>
      </c>
      <c r="F21" s="182"/>
    </row>
    <row r="22" spans="2:13" s="35" customFormat="1" ht="16" customHeight="1">
      <c r="I22" s="71" t="s">
        <v>51</v>
      </c>
      <c r="J22" s="72">
        <v>13</v>
      </c>
    </row>
    <row r="23" spans="2:13" s="35" customFormat="1" ht="16" customHeight="1">
      <c r="B23" s="74" t="s">
        <v>54</v>
      </c>
      <c r="C23" s="74"/>
      <c r="D23" s="74"/>
      <c r="E23" s="184" t="s">
        <v>55</v>
      </c>
      <c r="F23" s="184"/>
    </row>
    <row r="24" spans="2:13" s="35" customFormat="1" ht="12">
      <c r="B24" s="178" t="str">
        <f>IF(E23="Profile-1",Lookup_Lists!C2,IF(E23="Profile-2",IF(OR(E16="Overlay/VLAN",E16="Overlay"),Lookup_Lists!C3,Lookup_Lists!C4),IF(E23="Profile-3",Lookup_Lists!C5,)))</f>
        <v>vSphere Distributed Switch = One (1)          /          Physical NICs = Two (2) or  Four (4)
Primary vDS - sfo-m01-cluster-001-vds-001
     -  Traffic for Management, vMotion, vSAN, Host Overlay - e.g. vmnic0,vmnic1</v>
      </c>
      <c r="C24" s="178"/>
      <c r="D24" s="178"/>
      <c r="E24" s="178"/>
      <c r="F24" s="178"/>
      <c r="I24" s="183" t="s">
        <v>362</v>
      </c>
      <c r="J24" s="183"/>
      <c r="K24" s="73" t="s">
        <v>37</v>
      </c>
    </row>
    <row r="25" spans="2:13" s="35" customFormat="1" ht="16" customHeight="1">
      <c r="B25" s="178"/>
      <c r="C25" s="178"/>
      <c r="D25" s="178"/>
      <c r="E25" s="178"/>
      <c r="F25" s="178"/>
      <c r="I25" s="75" t="s">
        <v>56</v>
      </c>
      <c r="J25" s="170" t="s">
        <v>57</v>
      </c>
      <c r="K25" s="170"/>
    </row>
    <row r="26" spans="2:13" s="35" customFormat="1" ht="12">
      <c r="B26" s="178"/>
      <c r="C26" s="178"/>
      <c r="D26" s="178"/>
      <c r="E26" s="178"/>
      <c r="F26" s="178"/>
      <c r="I26" s="76" t="s">
        <v>58</v>
      </c>
      <c r="J26" s="170" t="s">
        <v>59</v>
      </c>
      <c r="K26" s="170"/>
    </row>
    <row r="27" spans="2:13" s="35" customFormat="1" ht="12">
      <c r="B27" s="178"/>
      <c r="C27" s="178"/>
      <c r="D27" s="178"/>
      <c r="E27" s="178"/>
      <c r="F27" s="178"/>
      <c r="I27" s="76" t="s">
        <v>24</v>
      </c>
      <c r="J27" s="77" t="s">
        <v>501</v>
      </c>
      <c r="K27" s="78" t="s">
        <v>25</v>
      </c>
      <c r="L27" s="79" t="s">
        <v>504</v>
      </c>
    </row>
    <row r="28" spans="2:13" s="35" customFormat="1" ht="13" thickBot="1">
      <c r="B28" s="178"/>
      <c r="C28" s="178"/>
      <c r="D28" s="178"/>
      <c r="E28" s="178"/>
      <c r="F28" s="178"/>
      <c r="I28" s="80" t="s">
        <v>363</v>
      </c>
      <c r="J28" s="81" t="s">
        <v>502</v>
      </c>
      <c r="K28" s="82" t="s">
        <v>364</v>
      </c>
      <c r="L28" s="83" t="s">
        <v>503</v>
      </c>
    </row>
    <row r="29" spans="2:13" s="35" customFormat="1" ht="12">
      <c r="B29" s="178"/>
      <c r="C29" s="178"/>
      <c r="D29" s="178"/>
      <c r="E29" s="178"/>
      <c r="F29" s="178"/>
    </row>
    <row r="30" spans="2:13" s="35" customFormat="1" ht="12">
      <c r="B30" s="178"/>
      <c r="C30" s="178"/>
      <c r="D30" s="178"/>
      <c r="E30" s="178"/>
      <c r="F30" s="178"/>
      <c r="I30" s="84"/>
    </row>
    <row r="31" spans="2:13" s="35" customFormat="1" ht="12">
      <c r="I31" s="124" t="str">
        <f>IF(AND(E23="Profile-1",E18&lt;&gt;"n/a"),"Set the 'Secondary vSphere Distributed Switch -Name' value to n/a","")</f>
        <v/>
      </c>
    </row>
    <row r="32" spans="2:13" s="35" customFormat="1" ht="12">
      <c r="B32" s="126" t="s">
        <v>431</v>
      </c>
    </row>
    <row r="33" spans="9:10" s="35" customFormat="1" ht="12">
      <c r="I33" s="124" t="str">
        <f>IF(AND(E23="Profile-3",OR(E16="Overlay/VLAN",E16="Overlay")),"The Secondary vSphere Distributed Switch should be used for Overlay traffic","")</f>
        <v/>
      </c>
    </row>
    <row r="34" spans="9:10" s="35" customFormat="1" ht="12">
      <c r="I34" s="124" t="str">
        <f>IF(AND(OR(E16="VLAN",E16="n/a"),OR(E19="VLAN",E19="n/a")),"At least one vSphere Distributed Switch must be used for Overlay traffic","")</f>
        <v/>
      </c>
    </row>
    <row r="35" spans="9:10" s="35" customFormat="1" ht="12">
      <c r="I35" s="124"/>
      <c r="J35" s="84"/>
    </row>
    <row r="36" spans="9:10" s="35" customFormat="1" ht="12">
      <c r="I36" s="84"/>
      <c r="J36" s="84"/>
    </row>
    <row r="37" spans="9:10" s="35" customFormat="1" ht="12"/>
    <row r="38" spans="9:10" s="35" customFormat="1" ht="12"/>
    <row r="39" spans="9:10" s="35" customFormat="1" ht="12"/>
    <row r="40" spans="9:10" s="35" customFormat="1" ht="12"/>
    <row r="41" spans="9:10" s="35" customFormat="1" ht="12"/>
    <row r="42" spans="9:10" s="35" customFormat="1" ht="12"/>
    <row r="43" spans="9:10" s="35" customFormat="1" ht="12"/>
    <row r="44" spans="9:10" s="35" customFormat="1" ht="12"/>
    <row r="45" spans="9:10" s="35" customFormat="1" ht="12"/>
    <row r="46" spans="9:10" s="35" customFormat="1" ht="12"/>
    <row r="47" spans="9:10" s="35" customFormat="1" ht="12"/>
    <row r="48" spans="9:10" s="35" customFormat="1" ht="12"/>
    <row r="49" s="35" customFormat="1" ht="12"/>
    <row r="50" s="35" customFormat="1" ht="12"/>
    <row r="51" s="35" customFormat="1" ht="12"/>
    <row r="52" s="35" customFormat="1" ht="12"/>
    <row r="53" s="35" customFormat="1" ht="12"/>
    <row r="54" s="35" customFormat="1" ht="12"/>
    <row r="55" s="35" customFormat="1" ht="12"/>
    <row r="56" s="35" customFormat="1" ht="12"/>
    <row r="57" s="35" customFormat="1" ht="12"/>
    <row r="58" s="35" customFormat="1" ht="12"/>
    <row r="59" s="35" customFormat="1" ht="12"/>
    <row r="60" s="35" customFormat="1" ht="12"/>
    <row r="61" s="35" customFormat="1" ht="12"/>
    <row r="62" s="35" customFormat="1" ht="12"/>
    <row r="63" s="35" customFormat="1" ht="12"/>
    <row r="64" s="35" customFormat="1" ht="12"/>
    <row r="65" s="35" customFormat="1" ht="12"/>
    <row r="66" s="35" customFormat="1" ht="12"/>
    <row r="67" s="35" customFormat="1" ht="12"/>
    <row r="68" s="35" customFormat="1" ht="12"/>
    <row r="69" s="35" customFormat="1" ht="12"/>
    <row r="70" s="35" customFormat="1" ht="12"/>
    <row r="71" s="35" customFormat="1" ht="12"/>
    <row r="72" s="35" customFormat="1" ht="12"/>
    <row r="73" s="35" customFormat="1" ht="12"/>
    <row r="74" s="35" customFormat="1" ht="12"/>
    <row r="75" s="35" customFormat="1" ht="12"/>
    <row r="76" s="35" customFormat="1" ht="12"/>
    <row r="77" s="35" customFormat="1" ht="12"/>
    <row r="78" s="35" customFormat="1" ht="12"/>
    <row r="79" s="35" customFormat="1" ht="12"/>
    <row r="80" s="35" customFormat="1" ht="12"/>
    <row r="81" s="35" customFormat="1" ht="12"/>
    <row r="82" s="35" customFormat="1" ht="12"/>
    <row r="83" s="35" customFormat="1" ht="12"/>
    <row r="84" s="35" customFormat="1" ht="12"/>
    <row r="85" s="35" customFormat="1" ht="12"/>
    <row r="86" s="35" customFormat="1" ht="12"/>
    <row r="87" s="35" customFormat="1" ht="12"/>
    <row r="88" s="35" customFormat="1" ht="12"/>
    <row r="89" s="35" customFormat="1" ht="12"/>
    <row r="90" s="35" customFormat="1" ht="12"/>
    <row r="91" s="35" customFormat="1" ht="12"/>
    <row r="92" s="35" customFormat="1" ht="12"/>
    <row r="93" s="35" customFormat="1" ht="12"/>
    <row r="94" s="35" customFormat="1" ht="12"/>
    <row r="95" s="35" customFormat="1" ht="12"/>
    <row r="96" s="35" customFormat="1" ht="12"/>
    <row r="97" s="35" customFormat="1" ht="12"/>
    <row r="98" s="35" customFormat="1" ht="12"/>
    <row r="99" s="35" customFormat="1" ht="12"/>
    <row r="100" s="35" customFormat="1" ht="12"/>
    <row r="101" s="35" customFormat="1" ht="12"/>
    <row r="102" s="35" customFormat="1" ht="12"/>
    <row r="103" s="35" customFormat="1" ht="12"/>
    <row r="104" s="35" customFormat="1" ht="12"/>
    <row r="105" s="35" customFormat="1" ht="12"/>
    <row r="106" s="35" customFormat="1" ht="12"/>
    <row r="107" s="35" customFormat="1" ht="12"/>
    <row r="108" s="35" customFormat="1" ht="12"/>
    <row r="109" s="35" customFormat="1" ht="12"/>
    <row r="110" s="35" customFormat="1" ht="12"/>
    <row r="111" s="35" customFormat="1" ht="12"/>
    <row r="112" s="35" customFormat="1" ht="12"/>
    <row r="113" s="35" customFormat="1" ht="12"/>
    <row r="114" s="35" customFormat="1" ht="12"/>
    <row r="115" s="35" customFormat="1" ht="12"/>
    <row r="116" s="35" customFormat="1" ht="12"/>
    <row r="117" s="35" customFormat="1" ht="12"/>
    <row r="118" s="35" customFormat="1" ht="12"/>
    <row r="119" s="35" customFormat="1" ht="12"/>
    <row r="120" s="35" customFormat="1" ht="12"/>
    <row r="121" s="35" customFormat="1" ht="12"/>
    <row r="122" s="35" customFormat="1" ht="12"/>
    <row r="123" s="35" customFormat="1" ht="12"/>
    <row r="124" s="35" customFormat="1" ht="12"/>
    <row r="125" s="35" customFormat="1" ht="12"/>
    <row r="126" s="35" customFormat="1" ht="12"/>
    <row r="127" s="35" customFormat="1" ht="12"/>
    <row r="128" s="35" customFormat="1" ht="12"/>
    <row r="129" s="35" customFormat="1" ht="12"/>
    <row r="130" s="35" customFormat="1" ht="12"/>
    <row r="131" s="35" customFormat="1" ht="12"/>
    <row r="132" s="35" customFormat="1" ht="12"/>
    <row r="133" s="35" customFormat="1" ht="12"/>
    <row r="134" s="35" customFormat="1" ht="12"/>
    <row r="135" s="35" customFormat="1" ht="12"/>
    <row r="136" s="35" customFormat="1" ht="12"/>
    <row r="137" s="35" customFormat="1" ht="12"/>
    <row r="138" s="35" customFormat="1" ht="12"/>
    <row r="139" s="35" customFormat="1" ht="12"/>
    <row r="140" s="35" customFormat="1" ht="12"/>
    <row r="141" s="35" customFormat="1" ht="12"/>
    <row r="142" s="35" customFormat="1" ht="12"/>
    <row r="143" s="35" customFormat="1" ht="12"/>
    <row r="144" s="35" customFormat="1" ht="12"/>
    <row r="145" spans="2:7" s="35" customFormat="1" ht="12"/>
    <row r="146" spans="2:7" s="35" customFormat="1" ht="12"/>
    <row r="147" spans="2:7" s="35" customFormat="1" ht="12"/>
    <row r="148" spans="2:7" s="35" customFormat="1" ht="12"/>
    <row r="149" spans="2:7" s="35" customFormat="1" ht="12"/>
    <row r="150" spans="2:7" s="35" customFormat="1" ht="12"/>
    <row r="151" spans="2:7" s="35" customFormat="1" ht="12"/>
    <row r="152" spans="2:7" s="35" customFormat="1" ht="12"/>
    <row r="153" spans="2:7" s="35" customFormat="1" ht="12"/>
    <row r="154" spans="2:7" s="35" customFormat="1" ht="12"/>
    <row r="155" spans="2:7" s="35" customFormat="1" ht="12">
      <c r="B155" s="36"/>
      <c r="C155" s="36"/>
      <c r="D155" s="36"/>
      <c r="E155" s="36"/>
      <c r="F155" s="36"/>
      <c r="G155" s="36"/>
    </row>
    <row r="156" spans="2:7" s="35" customFormat="1" ht="12">
      <c r="B156" s="36"/>
      <c r="C156" s="36"/>
      <c r="D156" s="36"/>
      <c r="E156" s="36"/>
      <c r="F156" s="36"/>
      <c r="G156" s="36"/>
    </row>
    <row r="157" spans="2:7" s="35" customFormat="1" ht="12">
      <c r="B157" s="36"/>
      <c r="C157" s="36"/>
      <c r="D157" s="36"/>
      <c r="E157" s="36"/>
      <c r="F157" s="36"/>
      <c r="G157" s="36"/>
    </row>
  </sheetData>
  <sheetProtection sheet="1" objects="1" scenarios="1"/>
  <mergeCells count="41">
    <mergeCell ref="L17:M17"/>
    <mergeCell ref="J18:K18"/>
    <mergeCell ref="L18:M18"/>
    <mergeCell ref="B24:F30"/>
    <mergeCell ref="J26:K26"/>
    <mergeCell ref="B18:D18"/>
    <mergeCell ref="E18:F18"/>
    <mergeCell ref="I20:L20"/>
    <mergeCell ref="B20:D20"/>
    <mergeCell ref="E20:F20"/>
    <mergeCell ref="B19:D19"/>
    <mergeCell ref="E19:F19"/>
    <mergeCell ref="B21:D21"/>
    <mergeCell ref="E21:F21"/>
    <mergeCell ref="I24:J24"/>
    <mergeCell ref="E23:F23"/>
    <mergeCell ref="J25:K25"/>
    <mergeCell ref="B17:D17"/>
    <mergeCell ref="E17:F17"/>
    <mergeCell ref="E16:F16"/>
    <mergeCell ref="B16:D16"/>
    <mergeCell ref="J17:K17"/>
    <mergeCell ref="J16:K16"/>
    <mergeCell ref="L16:M16"/>
    <mergeCell ref="B13:D13"/>
    <mergeCell ref="E13:F13"/>
    <mergeCell ref="E15:F15"/>
    <mergeCell ref="J15:K15"/>
    <mergeCell ref="B15:D15"/>
    <mergeCell ref="J14:K14"/>
    <mergeCell ref="L14:M14"/>
    <mergeCell ref="L15:M15"/>
    <mergeCell ref="B14:D14"/>
    <mergeCell ref="E14:F14"/>
    <mergeCell ref="B3:L3"/>
    <mergeCell ref="B5:G5"/>
    <mergeCell ref="I5:L5"/>
    <mergeCell ref="J13:K13"/>
    <mergeCell ref="L13:M13"/>
    <mergeCell ref="B12:D12"/>
    <mergeCell ref="E12:F12"/>
  </mergeCells>
  <conditionalFormatting sqref="B17:F21">
    <cfRule type="expression" dxfId="129" priority="113">
      <formula>$E$23="Profile-1"</formula>
    </cfRule>
  </conditionalFormatting>
  <conditionalFormatting sqref="C8:D8">
    <cfRule type="expression" dxfId="128" priority="16" stopIfTrue="1">
      <formula>IF($E$23="Profile-3",AND(OR($B$16="Overlay/VLAN",$B$16="Overlay")))</formula>
    </cfRule>
  </conditionalFormatting>
  <conditionalFormatting sqref="E8:E10">
    <cfRule type="notContainsText" dxfId="127" priority="51" operator="notContains" text="/">
      <formula>ISERROR(SEARCH("/",E8))</formula>
    </cfRule>
  </conditionalFormatting>
  <conditionalFormatting sqref="E16">
    <cfRule type="expression" dxfId="126" priority="23">
      <formula>IF($E$22="Profile-1",AND($E$15="VLAN"))</formula>
    </cfRule>
    <cfRule type="expression" dxfId="125" priority="24">
      <formula>IF($E$22&lt;&gt;"Profile-1",AND($E$18="VLAN",$E$15="VLAN"))</formula>
    </cfRule>
    <cfRule type="expression" dxfId="124" priority="25">
      <formula>IF($E$22="Profile-1",AND($E$15="n/a"))</formula>
    </cfRule>
    <cfRule type="expression" dxfId="123" priority="26">
      <formula>IF(AND(OR($E$15="Overlay/VLAN",$E$15="Overlay")),(OR($E$18="Overlay/VLAN",$E$18="Overlay")))</formula>
    </cfRule>
    <cfRule type="expression" dxfId="122" priority="27">
      <formula>IF($E$22="Profile-3",AND(OR($E$15="Overlay/VLAN",$E$15="Overlay")))</formula>
    </cfRule>
    <cfRule type="containsBlanks" dxfId="121" priority="28">
      <formula>LEN(TRIM(E16))=0</formula>
    </cfRule>
  </conditionalFormatting>
  <conditionalFormatting sqref="E19">
    <cfRule type="expression" dxfId="120" priority="33" stopIfTrue="1">
      <formula>IF(AND(OR($E$16="Overlay/VLAN",$E$16="Overlay")),(OR($E$19="Overlay/VLAN",$E$19="Overlay")))</formula>
    </cfRule>
  </conditionalFormatting>
  <conditionalFormatting sqref="E8:F9">
    <cfRule type="expression" dxfId="119" priority="13">
      <formula>LEN(TRIM(E8))=0</formula>
    </cfRule>
  </conditionalFormatting>
  <conditionalFormatting sqref="E13:F15">
    <cfRule type="expression" dxfId="118" priority="6">
      <formula>LEN(TRIM(E13))=0</formula>
    </cfRule>
    <cfRule type="expression" dxfId="117" priority="90" stopIfTrue="1">
      <formula>AND(E13&lt;&gt;"n/a",IF(E13=E18, TRUE, FALSE))</formula>
    </cfRule>
  </conditionalFormatting>
  <conditionalFormatting sqref="E18:F18">
    <cfRule type="expression" dxfId="116" priority="146" stopIfTrue="1">
      <formula>LEN(TRIM(E18))=0</formula>
    </cfRule>
  </conditionalFormatting>
  <conditionalFormatting sqref="E19:F19">
    <cfRule type="expression" dxfId="115" priority="29">
      <formula>IF($E$23&lt;&gt;"Profile-1",AND($E$19="VLAN",$E$16="VLAN"))</formula>
    </cfRule>
    <cfRule type="expression" dxfId="114" priority="32">
      <formula>IF($E$23&lt;&gt;"Profile-1",AND($E$19="VLAN",$E$16="VLAN"))</formula>
    </cfRule>
    <cfRule type="expression" dxfId="113" priority="35" stopIfTrue="1">
      <formula>IF($E$23="Profile-3",AND($E$18="n/a"))</formula>
    </cfRule>
    <cfRule type="expression" dxfId="112" priority="36">
      <formula>IF($E$23="Profile-2",AND($E$19="n/a"))</formula>
    </cfRule>
    <cfRule type="expression" dxfId="111" priority="37">
      <formula>IF($E$23="Profile-1",AND($E$19&lt;&gt;"n/a"))</formula>
    </cfRule>
    <cfRule type="containsBlanks" dxfId="110" priority="152" stopIfTrue="1">
      <formula>LEN(TRIM(E19))=0</formula>
    </cfRule>
  </conditionalFormatting>
  <conditionalFormatting sqref="E21:F21">
    <cfRule type="expression" dxfId="109" priority="95">
      <formula>LEN(TRIM(E21))=0</formula>
    </cfRule>
  </conditionalFormatting>
  <conditionalFormatting sqref="E23:F23">
    <cfRule type="expression" dxfId="108" priority="102">
      <formula>IF($E$23="Profile-3",AND($E$18="n/a"))</formula>
    </cfRule>
    <cfRule type="expression" dxfId="107" priority="103">
      <formula>IF($E$23="Profile-2",AND($E$18="n/a"))</formula>
    </cfRule>
    <cfRule type="expression" dxfId="106" priority="104">
      <formula>IF($E$23="Profile-1",AND($E$18&lt;&gt;"n/a"))</formula>
    </cfRule>
  </conditionalFormatting>
  <conditionalFormatting sqref="E8:G8">
    <cfRule type="containsText" dxfId="105" priority="14" operator="containsText" text="n/a">
      <formula>NOT(ISERROR(SEARCH("n/a",E8)))</formula>
    </cfRule>
  </conditionalFormatting>
  <conditionalFormatting sqref="F7:F8">
    <cfRule type="expression" dxfId="104" priority="98">
      <formula>#REF!="TRUE"</formula>
    </cfRule>
  </conditionalFormatting>
  <conditionalFormatting sqref="F7:F10">
    <cfRule type="containsText" dxfId="103" priority="20" operator="containsText" text="n/a">
      <formula>NOT(ISERROR(SEARCH("n/a",F7)))</formula>
    </cfRule>
    <cfRule type="expression" dxfId="102" priority="21">
      <formula>IF(LEN(F7)-LEN(SUBSTITUTE(F7,".",""))=3,0,1)</formula>
    </cfRule>
  </conditionalFormatting>
  <conditionalFormatting sqref="F7:G10">
    <cfRule type="expression" dxfId="101" priority="19">
      <formula>LEN(TRIM(F7))=0</formula>
    </cfRule>
  </conditionalFormatting>
  <conditionalFormatting sqref="G7:G10">
    <cfRule type="cellIs" dxfId="100" priority="22" operator="lessThan">
      <formula>1500</formula>
    </cfRule>
  </conditionalFormatting>
  <conditionalFormatting sqref="G22">
    <cfRule type="expression" dxfId="99" priority="88">
      <formula>IF(ISNUMBER(FIND(".",G22)),IF((FIND(".",G22)-1)&gt;15,0,0),IF((LEN(G22))&gt;15,0,0))</formula>
    </cfRule>
  </conditionalFormatting>
  <conditionalFormatting sqref="I6:I7">
    <cfRule type="expression" dxfId="98" priority="2">
      <formula>AND($I$6="n/a",$I$7="n/a")</formula>
    </cfRule>
  </conditionalFormatting>
  <conditionalFormatting sqref="I7">
    <cfRule type="expression" dxfId="97" priority="9">
      <formula>AND(I7&lt;&gt;"n/a",COUNTIF($I$7:$L$7,I7)&gt;1)</formula>
    </cfRule>
    <cfRule type="expression" dxfId="96" priority="65" stopIfTrue="1">
      <formula>AND(I6="n/a",IF(LEN(I7)-LEN(SUBSTITUTE(I7,".",""))=3,0,1))</formula>
    </cfRule>
  </conditionalFormatting>
  <conditionalFormatting sqref="I25:K26 I27:L28">
    <cfRule type="expression" dxfId="95" priority="107">
      <formula>$K$24="No"</formula>
    </cfRule>
  </conditionalFormatting>
  <conditionalFormatting sqref="I6:L6">
    <cfRule type="expression" dxfId="94" priority="10" stopIfTrue="1">
      <formula>IF(I6&lt;&gt;"n/a",COUNTIF($I$6:$P$6,I6)&gt;1)</formula>
    </cfRule>
    <cfRule type="expression" dxfId="93" priority="60">
      <formula>AND(I7="n/a",I6="n/a")</formula>
    </cfRule>
  </conditionalFormatting>
  <conditionalFormatting sqref="I13:M18">
    <cfRule type="expression" dxfId="92" priority="87">
      <formula>$K$12="No"</formula>
    </cfRule>
  </conditionalFormatting>
  <conditionalFormatting sqref="J6:J7">
    <cfRule type="expression" dxfId="91" priority="3" stopIfTrue="1">
      <formula>AND($J$6="n/a",$J$7="n/a")</formula>
    </cfRule>
  </conditionalFormatting>
  <conditionalFormatting sqref="J7">
    <cfRule type="expression" dxfId="90" priority="64">
      <formula>AND(J7&lt;&gt;"n/a",COUNTIF(I7:P7,J7)&gt;1)</formula>
    </cfRule>
    <cfRule type="expression" dxfId="89" priority="67">
      <formula>AND(J6="n/a",J7&lt;&gt;"n/a",IF(LEN(J7)-LEN(SUBSTITUTE(J7,".",""))=3,0,1))</formula>
    </cfRule>
  </conditionalFormatting>
  <conditionalFormatting sqref="J8:J9 L8:L9 J14:M18">
    <cfRule type="expression" dxfId="88" priority="57">
      <formula>LEN(TRIM(J8))=0</formula>
    </cfRule>
  </conditionalFormatting>
  <conditionalFormatting sqref="J8:J9">
    <cfRule type="containsText" dxfId="87" priority="75" operator="containsText" text="n/a">
      <formula>NOT(ISERROR(SEARCH("n/a",J8)))</formula>
    </cfRule>
  </conditionalFormatting>
  <conditionalFormatting sqref="K6:K7">
    <cfRule type="expression" dxfId="86" priority="4" stopIfTrue="1">
      <formula>AND($K$6="n/a",$K$7="n/a")</formula>
    </cfRule>
  </conditionalFormatting>
  <conditionalFormatting sqref="K7">
    <cfRule type="expression" dxfId="85" priority="7">
      <formula>AND(K7&lt;&gt;"n/a",COUNTIF($I$7:$L$7,K7)&gt;1)</formula>
    </cfRule>
  </conditionalFormatting>
  <conditionalFormatting sqref="K7:L7">
    <cfRule type="expression" dxfId="84" priority="69">
      <formula>AND(K6="n/a",IF(LEN(K7)-LEN(SUBSTITUTE(K7,".",""))=3,0,1))</formula>
    </cfRule>
  </conditionalFormatting>
  <conditionalFormatting sqref="L6:L7">
    <cfRule type="expression" dxfId="83" priority="5">
      <formula>AND($L$6="n/a",$L$7="n/a")</formula>
    </cfRule>
  </conditionalFormatting>
  <conditionalFormatting sqref="L8:L9">
    <cfRule type="containsText" dxfId="82" priority="79" operator="containsText" text="n/a">
      <formula>NOT(ISERROR(SEARCH("n/a",L8)))</formula>
    </cfRule>
  </conditionalFormatting>
  <dataValidations count="12">
    <dataValidation type="custom" allowBlank="1" showInputMessage="1" showErrorMessage="1" errorTitle="Invalid IP Address" error="Please enter a valid IP Address" sqref="I7 K7:L7 F7 F7:F10" xr:uid="{00000000-0002-0000-0200-000000000000}">
      <formula1>IF(ISNUMBER(VALUE(SUBSTITUTE(F7,".",""))),AND(--LEFT(F7,FIND(".",F7)-1)&lt;256,--MID(SUBSTITUTE(F7,".",REPT(" ",99)),99,99)&lt;256,--MID(SUBSTITUTE(F7,".",REPT(" ",99)),198,99)&lt;256,--RIGHT(SUBSTITUTE(F7,".",REPT(" ",99)),99)&lt;256),F7="n/a")</formula1>
    </dataValidation>
    <dataValidation type="custom" allowBlank="1" showInputMessage="1" showErrorMessage="1" errorTitle="Invalid IP Address " error="Please enter a valid IP Address" sqref="J7" xr:uid="{00000000-0002-0000-0200-000001000000}">
      <formula1>IF(ISNUMBER(VALUE(SUBSTITUTE(J7,".",""))),AND(--LEFT(J7,FIND(".",J7)-1)&lt;256,--MID(SUBSTITUTE(J7,".",REPT(" ",99)),99,99)&lt;256,--MID(SUBSTITUTE(J7,".",REPT(" ",99)),198,99)&lt;256,--RIGHT(SUBSTITUTE(J7,".",REPT(" ",99)),99)&lt;256),J7="n/a")</formula1>
    </dataValidation>
    <dataValidation type="list" allowBlank="1" showInputMessage="1" showErrorMessage="1" errorTitle="Invalid IP Address" error="Please enter a valid IP Address" promptTitle="Validate Thumbprints" prompt="Choosing not to validate the Security Thumbprints results in the initial connection to not be trusted, subsequent communication is then trusted. To ensure all communication including the initial connection is trusted provide the SSH and SSL" sqref="K12" xr:uid="{00000000-0002-0000-0200-000002000000}">
      <formula1>"Yes,No"</formula1>
      <formula2>0</formula2>
    </dataValidation>
    <dataValidation type="custom" allowBlank="1" showInputMessage="1" showErrorMessage="1" errorTitle="Invalid IP Address" error="Please enter a valid IP Address" promptTitle="SDDC-DPortGroup-vMotion" prompt="Provide inclusion range" sqref="L8 J8" xr:uid="{00000000-0002-0000-0200-000003000000}">
      <formula1>IF(ISNUMBER(VALUE(SUBSTITUTE(J8,".",""))),AND(--LEFT(J8,FIND(".",J8)-1)&lt;256,--MID(SUBSTITUTE(J8,".",REPT(" ",99)),99,99)&lt;256,--MID(SUBSTITUTE(J8,".",REPT(" ",99)),198,99)&lt;256,--RIGHT(SUBSTITUTE(J8,".",REPT(" ",99)),99)&lt;256),J8="n/a")</formula1>
    </dataValidation>
    <dataValidation allowBlank="1" showInputMessage="1" showErrorMessage="1" promptTitle="Hostname Length" prompt="The length of the ESXi hostname must not exceed 15 characters, this is to accomodate NetBIOS naming and allows for joining the system to an Active Directory Domain." sqref="I6:L6" xr:uid="{00000000-0002-0000-0200-000005000000}">
      <formula1>0</formula1>
      <formula2>0</formula2>
    </dataValidation>
    <dataValidation type="list" allowBlank="1" showInputMessage="1" showErrorMessage="1" sqref="E23:F23" xr:uid="{00000000-0002-0000-0200-000006000000}">
      <formula1>"Profile-1,Profile-2,Profile-3"</formula1>
      <formula2>0</formula2>
    </dataValidation>
    <dataValidation type="list" allowBlank="1" showInputMessage="1" showErrorMessage="1" sqref="K24" xr:uid="{00000000-0002-0000-0200-000007000000}">
      <formula1>"No,Yes"</formula1>
      <formula2>0</formula2>
    </dataValidation>
    <dataValidation type="whole" operator="greaterThanOrEqual" allowBlank="1" showInputMessage="1" showErrorMessage="1" errorTitle="Invalid MTU" error="Please add a MTU greater than or equal to 1500" sqref="G7:G10" xr:uid="{06EF7AC3-1D2F-4F7B-B6F7-3AFCA3095126}">
      <formula1>1500</formula1>
    </dataValidation>
    <dataValidation type="custom" allowBlank="1" showInputMessage="1" showErrorMessage="1" errorTitle="Invalid CIDR Notation" error="Please provide valid CIDR Notation (example: 172.16.11.0/24)!" sqref="E8:E10" xr:uid="{70C31164-5389-4EF5-AA44-037A613F30D2}">
      <formula1>ISNUMBER(VALUE(SUBSTITUTE(SUBSTITUTE(E8,".",""),"/","")))</formula1>
    </dataValidation>
    <dataValidation type="custom" allowBlank="1" showInputMessage="1" showErrorMessage="1" errorTitle="Invalid VLAN" error="Please enter a number!" sqref="J22 C8:C10" xr:uid="{4A9AF229-8A58-468D-8B54-F2032AEBDB5B}">
      <formula1>ISNUMBER(VALUE(C8))</formula1>
    </dataValidation>
    <dataValidation type="list" allowBlank="1" showInputMessage="1" showErrorMessage="1" sqref="E19:F19" xr:uid="{47C8C74A-E9D9-5040-AF5D-E0E0DD571B61}">
      <formula1>"n/a,Overlay/VLAN,Overlay,VLAN"</formula1>
    </dataValidation>
    <dataValidation type="list" allowBlank="1" showInputMessage="1" showErrorMessage="1" sqref="E16:F16" xr:uid="{6A8DE881-58B7-F949-BC31-3417F26B1949}">
      <formula1>"Overlay/VLAN,Overlay,VLAN,n/a"</formula1>
    </dataValidation>
  </dataValidations>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79"/>
  <sheetViews>
    <sheetView showGridLines="0" zoomScale="130" zoomScaleNormal="130" workbookViewId="0">
      <pane ySplit="4" topLeftCell="A25" activePane="bottomLeft" state="frozen"/>
      <selection activeCell="B141" sqref="B141"/>
      <selection pane="bottomLeft" activeCell="G42" sqref="G42"/>
    </sheetView>
  </sheetViews>
  <sheetFormatPr baseColWidth="10" defaultColWidth="9" defaultRowHeight="15"/>
  <cols>
    <col min="1" max="1" width="1.1640625" style="85" customWidth="1"/>
    <col min="2" max="2" width="3.33203125" style="85" customWidth="1"/>
    <col min="3" max="3" width="45.83203125" style="85" customWidth="1"/>
    <col min="4" max="4" width="1.6640625" style="85" customWidth="1"/>
    <col min="5" max="5" width="42.83203125" style="85" customWidth="1"/>
    <col min="6" max="6" width="16.83203125" style="85" customWidth="1"/>
    <col min="7" max="7" width="18.83203125" style="85" customWidth="1"/>
    <col min="8" max="8" width="2.83203125" style="85" customWidth="1"/>
    <col min="9" max="9" width="41.33203125" style="85" customWidth="1"/>
    <col min="10" max="10" width="16.83203125" style="85" customWidth="1"/>
    <col min="11" max="11" width="17.33203125" style="85" customWidth="1"/>
    <col min="12" max="1024" width="9" style="85"/>
  </cols>
  <sheetData>
    <row r="1" spans="2:11" ht="48" customHeight="1">
      <c r="B1" s="86"/>
      <c r="C1" s="87"/>
      <c r="E1" s="85" t="s">
        <v>2</v>
      </c>
    </row>
    <row r="2" spans="2:11" ht="3" customHeight="1">
      <c r="B2" s="86"/>
      <c r="C2" s="87"/>
    </row>
    <row r="3" spans="2:11" ht="60" customHeight="1">
      <c r="B3" s="206" t="s">
        <v>432</v>
      </c>
      <c r="C3" s="206"/>
      <c r="D3" s="206"/>
      <c r="E3" s="206"/>
      <c r="F3" s="206"/>
      <c r="G3" s="206"/>
      <c r="H3" s="206"/>
      <c r="I3" s="206"/>
      <c r="J3" s="206"/>
      <c r="K3" s="206"/>
    </row>
    <row r="4" spans="2:11" s="17" customFormat="1" ht="2.25" customHeight="1">
      <c r="B4" s="88"/>
      <c r="C4" s="88"/>
      <c r="I4" s="85"/>
      <c r="J4" s="85"/>
    </row>
    <row r="5" spans="2:11" s="17" customFormat="1" ht="17" customHeight="1">
      <c r="B5" s="89" t="s">
        <v>60</v>
      </c>
      <c r="C5" s="90"/>
      <c r="E5" s="91" t="s">
        <v>61</v>
      </c>
      <c r="F5" s="192" t="s">
        <v>34</v>
      </c>
      <c r="G5" s="192"/>
      <c r="H5" s="93"/>
      <c r="I5" s="94" t="s">
        <v>62</v>
      </c>
      <c r="J5" s="207" t="s">
        <v>34</v>
      </c>
      <c r="K5" s="207"/>
    </row>
    <row r="6" spans="2:11" s="17" customFormat="1" ht="12">
      <c r="B6" s="95" t="str">
        <f>IF((AND(F6&lt;&gt;"",F7&lt;&gt;"",J6&lt;&gt;"")),"✓","")</f>
        <v>✓</v>
      </c>
      <c r="C6" s="17" t="s">
        <v>63</v>
      </c>
      <c r="E6" s="96" t="s">
        <v>64</v>
      </c>
      <c r="F6" s="204" t="s">
        <v>499</v>
      </c>
      <c r="G6" s="204"/>
      <c r="H6" s="97"/>
      <c r="I6" s="96" t="s">
        <v>65</v>
      </c>
      <c r="J6" s="186" t="s">
        <v>488</v>
      </c>
      <c r="K6" s="186"/>
    </row>
    <row r="7" spans="2:11" s="17" customFormat="1" ht="15" customHeight="1">
      <c r="B7" s="95" t="str">
        <f>IF((AND(F8&lt;&gt;"",F9&lt;&gt;"")),"✓","")</f>
        <v>✓</v>
      </c>
      <c r="C7" s="17" t="s">
        <v>66</v>
      </c>
      <c r="E7" s="96" t="s">
        <v>67</v>
      </c>
      <c r="F7" s="204" t="s">
        <v>48</v>
      </c>
      <c r="G7" s="204"/>
      <c r="H7" s="88"/>
    </row>
    <row r="8" spans="2:11" s="17" customFormat="1" ht="15" customHeight="1">
      <c r="E8" s="96" t="s">
        <v>68</v>
      </c>
      <c r="F8" s="204" t="s">
        <v>491</v>
      </c>
      <c r="G8" s="204"/>
      <c r="H8" s="88"/>
      <c r="I8" s="205" t="s">
        <v>69</v>
      </c>
      <c r="J8" s="205"/>
      <c r="K8" s="98" t="s">
        <v>53</v>
      </c>
    </row>
    <row r="9" spans="2:11" s="17" customFormat="1" ht="15" customHeight="1">
      <c r="E9" s="96" t="s">
        <v>70</v>
      </c>
      <c r="F9" s="204" t="s">
        <v>48</v>
      </c>
      <c r="G9" s="204"/>
      <c r="H9" s="88"/>
      <c r="I9" s="205" t="s">
        <v>71</v>
      </c>
      <c r="J9" s="205"/>
      <c r="K9" s="98" t="s">
        <v>53</v>
      </c>
    </row>
    <row r="10" spans="2:11" s="17" customFormat="1" ht="18" customHeight="1">
      <c r="H10" s="88"/>
    </row>
    <row r="11" spans="2:11" s="17" customFormat="1" ht="17" customHeight="1">
      <c r="B11" s="89" t="s">
        <v>72</v>
      </c>
      <c r="C11" s="99"/>
      <c r="E11" s="118" t="s">
        <v>465</v>
      </c>
      <c r="F11" s="187" t="s">
        <v>53</v>
      </c>
      <c r="G11" s="188"/>
      <c r="H11" s="88"/>
      <c r="I11" s="209" t="str">
        <f>IF(F11="Yes","","If you select No for License Now, Cloud Builder deploys the VCF components in evaluation mode. After bring-up, you must switch to licensed mode by adding license keys in the SDDC Manager UI (component license keys) or vSphere Client (solution license key)")</f>
        <v>If you select No for License Now, Cloud Builder deploys the VCF components in evaluation mode. After bring-up, you must switch to licensed mode by adding license keys in the SDDC Manager UI (component license keys) or vSphere Client (solution license key)</v>
      </c>
      <c r="J11" s="209"/>
      <c r="K11" s="209"/>
    </row>
    <row r="12" spans="2:11" s="17" customFormat="1" ht="15" customHeight="1">
      <c r="B12" s="100" t="str">
        <f>IF((AND(esx_license_std&lt;&gt;"")),"✓","")</f>
        <v>✓</v>
      </c>
      <c r="C12" s="17" t="s">
        <v>73</v>
      </c>
      <c r="E12" s="96" t="s">
        <v>8</v>
      </c>
      <c r="F12" s="208" t="s">
        <v>508</v>
      </c>
      <c r="G12" s="208"/>
      <c r="H12" s="88"/>
      <c r="I12" s="209"/>
      <c r="J12" s="209"/>
      <c r="K12" s="209"/>
    </row>
    <row r="13" spans="2:11" s="17" customFormat="1" ht="15" customHeight="1">
      <c r="E13" s="96" t="s">
        <v>74</v>
      </c>
      <c r="F13" s="208" t="s">
        <v>505</v>
      </c>
      <c r="G13" s="208"/>
      <c r="H13" s="88"/>
      <c r="I13" s="209"/>
      <c r="J13" s="209"/>
      <c r="K13" s="209"/>
    </row>
    <row r="14" spans="2:11" s="17" customFormat="1" ht="15" customHeight="1">
      <c r="E14" s="96" t="s">
        <v>11</v>
      </c>
      <c r="F14" s="208" t="s">
        <v>507</v>
      </c>
      <c r="G14" s="208"/>
      <c r="H14" s="88"/>
      <c r="I14" s="209"/>
      <c r="J14" s="209"/>
      <c r="K14" s="209"/>
    </row>
    <row r="15" spans="2:11" s="17" customFormat="1" ht="15" customHeight="1">
      <c r="E15" s="96" t="s">
        <v>361</v>
      </c>
      <c r="F15" s="208" t="s">
        <v>506</v>
      </c>
      <c r="G15" s="208"/>
      <c r="H15" s="88"/>
    </row>
    <row r="16" spans="2:11" s="17" customFormat="1" ht="15" customHeight="1">
      <c r="H16" s="88"/>
    </row>
    <row r="17" spans="2:26" s="17" customFormat="1" ht="15" customHeight="1">
      <c r="E17" s="96" t="s">
        <v>11</v>
      </c>
      <c r="F17" s="92" t="s">
        <v>76</v>
      </c>
      <c r="G17" s="92" t="s">
        <v>77</v>
      </c>
      <c r="H17" s="88"/>
    </row>
    <row r="18" spans="2:26" s="17" customFormat="1" ht="17" customHeight="1">
      <c r="B18" s="89" t="s">
        <v>75</v>
      </c>
      <c r="C18" s="99"/>
      <c r="E18" s="96" t="s">
        <v>80</v>
      </c>
      <c r="F18" s="102" t="s">
        <v>437</v>
      </c>
      <c r="G18" s="103" t="s">
        <v>482</v>
      </c>
      <c r="H18" s="97"/>
      <c r="I18" s="101" t="s">
        <v>78</v>
      </c>
      <c r="J18" s="192" t="s">
        <v>34</v>
      </c>
      <c r="K18" s="192"/>
    </row>
    <row r="19" spans="2:26" s="17" customFormat="1" ht="15" customHeight="1">
      <c r="B19" s="95" t="str">
        <f>IF(Credentials!C8&lt;&gt;"","✓","")</f>
        <v>✓</v>
      </c>
      <c r="C19" s="17" t="s">
        <v>79</v>
      </c>
      <c r="E19" s="91" t="s">
        <v>81</v>
      </c>
      <c r="F19" s="102" t="s">
        <v>82</v>
      </c>
      <c r="H19" s="119"/>
      <c r="I19" s="96" t="s">
        <v>441</v>
      </c>
      <c r="J19" s="193" t="s">
        <v>457</v>
      </c>
      <c r="K19" s="193"/>
      <c r="M19" s="120" t="s">
        <v>403</v>
      </c>
    </row>
    <row r="20" spans="2:26" s="17" customFormat="1" ht="12">
      <c r="B20" s="100" t="str">
        <f>IF((AND(F18&lt;&gt;"")),"✓","")</f>
        <v>✓</v>
      </c>
      <c r="C20" s="17" t="s">
        <v>84</v>
      </c>
      <c r="E20" s="91" t="s">
        <v>85</v>
      </c>
      <c r="F20" s="24" t="s">
        <v>86</v>
      </c>
      <c r="H20" s="88"/>
      <c r="I20" s="96" t="s">
        <v>83</v>
      </c>
      <c r="J20" s="185" t="s">
        <v>37</v>
      </c>
      <c r="K20" s="185"/>
      <c r="M20" s="120" t="s">
        <v>402</v>
      </c>
    </row>
    <row r="21" spans="2:26" s="17" customFormat="1" ht="12">
      <c r="B21" s="100" t="str">
        <f>IF((AND(F23&lt;&gt;"",F24&lt;&gt;"",F26&lt;&gt;"")),"✓","")</f>
        <v>✓</v>
      </c>
      <c r="C21" s="17" t="s">
        <v>87</v>
      </c>
      <c r="H21" s="88"/>
      <c r="I21" s="96" t="s">
        <v>385</v>
      </c>
      <c r="J21" s="185" t="s">
        <v>37</v>
      </c>
      <c r="K21" s="185"/>
      <c r="M21" s="120"/>
    </row>
    <row r="22" spans="2:26" s="17" customFormat="1" ht="12">
      <c r="B22" s="100" t="str">
        <f>IF((AND(F30&lt;&gt;"",F31&lt;&gt;"",F32&lt;&gt;"")),"✓","")</f>
        <v>✓</v>
      </c>
      <c r="C22" s="17" t="s">
        <v>88</v>
      </c>
      <c r="E22" s="96" t="s">
        <v>89</v>
      </c>
      <c r="F22" s="192" t="s">
        <v>34</v>
      </c>
      <c r="G22" s="192"/>
      <c r="H22" s="88"/>
      <c r="I22" s="96" t="s">
        <v>388</v>
      </c>
      <c r="J22" s="186" t="s">
        <v>498</v>
      </c>
      <c r="K22" s="186"/>
    </row>
    <row r="23" spans="2:26" s="17" customFormat="1" ht="13" customHeight="1">
      <c r="B23" s="104" t="str">
        <f>IF(AND('Hosts and Networks'!E13&lt;&gt;"",'Hosts and Networks'!E14&lt;&gt;"",'Hosts and Networks'!E15&lt;&gt;""),"✓","")</f>
        <v>✓</v>
      </c>
      <c r="C23" s="17" t="s">
        <v>90</v>
      </c>
      <c r="E23" s="96" t="s">
        <v>444</v>
      </c>
      <c r="F23" s="193" t="s">
        <v>443</v>
      </c>
      <c r="G23" s="193"/>
      <c r="H23" s="88"/>
      <c r="I23" s="191" t="str">
        <f>IF(F25="No","You have disabled vLCM Cluster Image, as a result vSAN-ESA cannot be enabled and the value set in the Enable vSAN-ESA field will be ignored.",IF(AND(OR(J22="n/a",J22=""),J21="Yes"), M19&amp;M20,""))</f>
        <v/>
      </c>
      <c r="J23" s="191"/>
      <c r="K23" s="191"/>
    </row>
    <row r="24" spans="2:26" s="17" customFormat="1" ht="15" customHeight="1">
      <c r="B24" s="104" t="str">
        <f>IF(AND(J19&lt;&gt;"",J20&lt;&gt;""),"✓","")</f>
        <v>✓</v>
      </c>
      <c r="C24" s="17" t="s">
        <v>91</v>
      </c>
      <c r="E24" s="96" t="s">
        <v>442</v>
      </c>
      <c r="F24" s="193" t="s">
        <v>450</v>
      </c>
      <c r="G24" s="193"/>
      <c r="H24" s="88"/>
      <c r="I24" s="191"/>
      <c r="J24" s="191"/>
      <c r="K24" s="191"/>
      <c r="L24" s="88"/>
      <c r="M24" s="88"/>
      <c r="N24" s="88"/>
      <c r="O24" s="88"/>
      <c r="P24" s="88"/>
      <c r="Q24" s="88"/>
      <c r="R24" s="88"/>
      <c r="S24" s="88"/>
      <c r="T24" s="88"/>
      <c r="U24" s="88"/>
      <c r="V24" s="88"/>
      <c r="W24" s="88"/>
      <c r="X24" s="88"/>
      <c r="Y24" s="88"/>
      <c r="Z24" s="88"/>
    </row>
    <row r="25" spans="2:26" s="17" customFormat="1" ht="15" customHeight="1">
      <c r="E25" s="96" t="s">
        <v>376</v>
      </c>
      <c r="F25" s="187" t="s">
        <v>37</v>
      </c>
      <c r="G25" s="188"/>
      <c r="H25" s="88"/>
      <c r="I25" s="191"/>
      <c r="J25" s="191"/>
      <c r="K25" s="191"/>
      <c r="L25" s="88"/>
      <c r="M25" s="88"/>
      <c r="N25" s="88"/>
      <c r="O25" s="88"/>
      <c r="P25" s="88"/>
      <c r="Q25" s="88"/>
      <c r="R25" s="88"/>
      <c r="S25" s="88"/>
      <c r="T25" s="88"/>
      <c r="U25" s="88"/>
      <c r="V25" s="88"/>
      <c r="W25" s="88"/>
      <c r="X25" s="88"/>
      <c r="Y25" s="88"/>
      <c r="Z25" s="88"/>
    </row>
    <row r="26" spans="2:26" s="17" customFormat="1" ht="15" customHeight="1">
      <c r="E26" s="96" t="s">
        <v>92</v>
      </c>
      <c r="F26" s="194" t="s">
        <v>121</v>
      </c>
      <c r="G26" s="194"/>
      <c r="H26" s="88"/>
      <c r="I26" s="101" t="s">
        <v>397</v>
      </c>
      <c r="J26" s="187" t="s">
        <v>53</v>
      </c>
      <c r="K26" s="188"/>
      <c r="L26" s="88"/>
      <c r="M26" s="88"/>
      <c r="N26" s="88"/>
      <c r="O26" s="88"/>
      <c r="P26" s="88"/>
      <c r="Q26" s="88"/>
      <c r="R26" s="88"/>
      <c r="S26" s="88"/>
      <c r="T26" s="88"/>
      <c r="U26" s="88"/>
      <c r="V26" s="88"/>
      <c r="W26" s="88"/>
      <c r="X26" s="88"/>
      <c r="Y26" s="88"/>
      <c r="Z26" s="88"/>
    </row>
    <row r="27" spans="2:26" s="17" customFormat="1" ht="15" customHeight="1">
      <c r="H27" s="88"/>
      <c r="I27" s="96" t="s">
        <v>386</v>
      </c>
      <c r="J27" s="189" t="s">
        <v>48</v>
      </c>
      <c r="K27" s="190"/>
      <c r="L27" s="88"/>
      <c r="M27" s="88"/>
      <c r="N27" s="88"/>
      <c r="O27" s="88"/>
      <c r="P27" s="88"/>
      <c r="Q27" s="88"/>
      <c r="R27" s="88"/>
      <c r="S27" s="88"/>
      <c r="T27" s="88"/>
      <c r="U27" s="88"/>
      <c r="V27" s="88"/>
      <c r="W27" s="88"/>
      <c r="X27" s="88"/>
      <c r="Y27" s="88"/>
      <c r="Z27" s="88"/>
    </row>
    <row r="28" spans="2:26" s="17" customFormat="1" ht="15" customHeight="1">
      <c r="E28" s="96" t="s">
        <v>93</v>
      </c>
      <c r="F28" s="186" t="s">
        <v>461</v>
      </c>
      <c r="G28" s="186"/>
      <c r="H28" s="88"/>
      <c r="I28" s="96" t="s">
        <v>387</v>
      </c>
      <c r="J28" s="189" t="s">
        <v>48</v>
      </c>
      <c r="K28" s="190"/>
      <c r="L28" s="88"/>
      <c r="M28" s="88"/>
      <c r="N28" s="88"/>
      <c r="O28" s="88"/>
      <c r="P28" s="88"/>
      <c r="Q28" s="88"/>
      <c r="R28" s="88"/>
      <c r="S28" s="88"/>
      <c r="T28" s="88"/>
      <c r="U28" s="88"/>
      <c r="V28" s="88"/>
      <c r="W28" s="88"/>
      <c r="X28" s="88"/>
      <c r="Y28" s="88"/>
      <c r="Z28" s="88"/>
    </row>
    <row r="29" spans="2:26" s="17" customFormat="1" ht="15" customHeight="1">
      <c r="E29" s="96" t="s">
        <v>94</v>
      </c>
      <c r="F29" s="192" t="s">
        <v>34</v>
      </c>
      <c r="G29" s="192"/>
      <c r="H29" s="88"/>
      <c r="I29" s="96" t="s">
        <v>398</v>
      </c>
      <c r="J29" s="189" t="s">
        <v>48</v>
      </c>
      <c r="K29" s="190"/>
      <c r="L29" s="88"/>
      <c r="M29" s="88"/>
      <c r="N29" s="88"/>
      <c r="O29" s="88"/>
      <c r="P29" s="88"/>
      <c r="Q29" s="88"/>
      <c r="R29" s="88"/>
      <c r="S29" s="88"/>
      <c r="T29" s="88"/>
      <c r="U29" s="88"/>
      <c r="V29" s="88"/>
      <c r="W29" s="88"/>
      <c r="X29" s="88"/>
      <c r="Y29" s="88"/>
      <c r="Z29" s="88"/>
    </row>
    <row r="30" spans="2:26" s="17" customFormat="1" ht="15" customHeight="1">
      <c r="E30" s="96" t="s">
        <v>454</v>
      </c>
      <c r="F30" s="193" t="s">
        <v>451</v>
      </c>
      <c r="G30" s="193"/>
      <c r="H30" s="88"/>
      <c r="I30" s="96" t="s">
        <v>399</v>
      </c>
      <c r="J30" s="189" t="s">
        <v>48</v>
      </c>
      <c r="K30" s="190"/>
      <c r="L30" s="88"/>
      <c r="M30" s="88"/>
      <c r="N30" s="88"/>
      <c r="O30" s="88"/>
      <c r="P30" s="88"/>
      <c r="Q30" s="88"/>
      <c r="R30" s="88"/>
      <c r="S30" s="88"/>
      <c r="T30" s="88"/>
      <c r="U30" s="88"/>
      <c r="V30" s="88"/>
      <c r="W30" s="88"/>
      <c r="X30" s="88"/>
      <c r="Y30" s="88"/>
      <c r="Z30" s="88"/>
    </row>
    <row r="31" spans="2:26" s="17" customFormat="1" ht="15" customHeight="1">
      <c r="E31" s="96" t="s">
        <v>455</v>
      </c>
      <c r="F31" s="193" t="s">
        <v>452</v>
      </c>
      <c r="G31" s="193"/>
      <c r="H31" s="88"/>
      <c r="I31" s="96" t="s">
        <v>400</v>
      </c>
      <c r="J31" s="187" t="s">
        <v>421</v>
      </c>
      <c r="K31" s="188"/>
      <c r="L31" s="88"/>
      <c r="M31" s="88"/>
      <c r="N31" s="88"/>
      <c r="O31" s="88"/>
      <c r="P31" s="88"/>
      <c r="Q31" s="88"/>
      <c r="R31" s="88"/>
      <c r="S31" s="88"/>
      <c r="T31" s="88"/>
      <c r="U31" s="88"/>
      <c r="V31" s="88"/>
      <c r="W31" s="88"/>
      <c r="X31" s="88"/>
      <c r="Y31" s="88"/>
      <c r="Z31" s="88"/>
    </row>
    <row r="32" spans="2:26" s="17" customFormat="1" ht="15" customHeight="1">
      <c r="E32" s="96" t="s">
        <v>456</v>
      </c>
      <c r="F32" s="193" t="s">
        <v>453</v>
      </c>
      <c r="G32" s="193"/>
      <c r="H32" s="88"/>
      <c r="I32" s="201" t="s">
        <v>420</v>
      </c>
      <c r="J32" s="195" t="s">
        <v>48</v>
      </c>
      <c r="K32" s="196"/>
      <c r="L32" s="88"/>
      <c r="M32" s="88"/>
      <c r="N32" s="88"/>
      <c r="O32" s="88"/>
      <c r="P32" s="88"/>
      <c r="Q32" s="88"/>
      <c r="R32" s="88"/>
      <c r="S32" s="88"/>
      <c r="T32" s="88"/>
      <c r="U32" s="88"/>
      <c r="V32" s="88"/>
      <c r="W32" s="88"/>
      <c r="X32" s="88"/>
      <c r="Y32" s="88"/>
      <c r="Z32" s="88"/>
    </row>
    <row r="33" spans="2:21" s="17" customFormat="1" ht="42">
      <c r="E33" s="131" t="str">
        <f>IF(F28="Standard","You have selected the Standard Architecture, as a result VMware Cloud Builder will not create vSphere Resource Pools within the Management Domain","")</f>
        <v>You have selected the Standard Architecture, as a result VMware Cloud Builder will not create vSphere Resource Pools within the Management Domain</v>
      </c>
      <c r="F33" s="131"/>
      <c r="G33" s="131"/>
      <c r="H33" s="105"/>
      <c r="I33" s="202"/>
      <c r="J33" s="197"/>
      <c r="K33" s="198"/>
    </row>
    <row r="34" spans="2:21" s="17" customFormat="1" ht="15" customHeight="1">
      <c r="E34" s="131"/>
      <c r="F34" s="131"/>
      <c r="G34" s="131"/>
      <c r="H34" s="105"/>
      <c r="I34" s="203"/>
      <c r="J34" s="199"/>
      <c r="K34" s="200"/>
      <c r="L34" s="129" t="str">
        <f>CLEAN(J32)</f>
        <v>n/a</v>
      </c>
      <c r="M34" s="88"/>
      <c r="N34" s="88"/>
      <c r="O34" s="88"/>
      <c r="P34" s="88"/>
      <c r="Q34" s="88"/>
      <c r="R34" s="88"/>
      <c r="S34" s="88"/>
      <c r="T34" s="88"/>
      <c r="U34" s="88"/>
    </row>
    <row r="35" spans="2:21" s="17" customFormat="1" ht="15" customHeight="1">
      <c r="H35" s="105"/>
      <c r="I35" s="191" t="str">
        <f>IF(AND(J27="n/a",J28&lt;&gt;"n/a"),"Proxy port is specified, but proxy server is missing.",IF(AND(J27&lt;&gt;"n/a",J28="n/a"),"Proxy server is specified, but proxy port is missing.",IF(AND(OR(J27="n/a",J28="n/a"),OR(J29&lt;&gt;"n/a",J30&lt;&gt;"n/a",J26="Yes")),"Proxy server and port are mandatory.",IF(AND(J29&lt;&gt;"n/a",J30="n/a"),"Proxy username is specified, but proxy password is missing.",IF(AND(J29="n/a",J30&lt;&gt;"n/a"),"Proxy password is specified, but proxy username is missing.","")))))</f>
        <v/>
      </c>
      <c r="J35" s="191"/>
      <c r="K35" s="191"/>
      <c r="L35" s="88"/>
      <c r="M35" s="88"/>
      <c r="N35" s="88"/>
      <c r="O35" s="88"/>
      <c r="P35" s="88"/>
      <c r="Q35" s="88"/>
      <c r="R35" s="88"/>
      <c r="S35" s="88"/>
      <c r="T35" s="88"/>
      <c r="U35" s="88"/>
    </row>
    <row r="36" spans="2:21" s="17" customFormat="1" ht="15" customHeight="1">
      <c r="E36" s="134"/>
      <c r="F36" s="212"/>
      <c r="G36" s="212"/>
      <c r="H36" s="105"/>
      <c r="L36" s="88"/>
      <c r="M36" s="88"/>
      <c r="N36" s="88"/>
      <c r="O36" s="88"/>
      <c r="P36" s="88"/>
      <c r="Q36" s="88"/>
      <c r="R36" s="88"/>
      <c r="S36" s="88"/>
      <c r="T36" s="88"/>
      <c r="U36" s="88"/>
    </row>
    <row r="37" spans="2:21" s="17" customFormat="1" ht="16" customHeight="1">
      <c r="B37" s="89" t="s">
        <v>361</v>
      </c>
      <c r="C37" s="99"/>
      <c r="E37" s="132" t="s">
        <v>366</v>
      </c>
      <c r="F37" s="133" t="s">
        <v>76</v>
      </c>
      <c r="G37" s="133" t="s">
        <v>77</v>
      </c>
      <c r="H37" s="106" t="e">
        <f>MID(G40,FIND(".",G40,FIND(".",G40,FIND(".",G40)+1)+1)+1,LEN(G40)-FIND(".",G40,FIND(".",G40,FIND(".",G40)+1)+1))-(MID(G39,FIND(".",G39,FIND(".",G39,FIND(".",G39)+1)+1)+1,LEN(G39)-FIND(".",G39,FIND(".",G39,FIND(".",G39)+1)+1))-1)&lt;3</f>
        <v>#VALUE!</v>
      </c>
      <c r="L37" s="88"/>
      <c r="M37" s="88"/>
      <c r="N37" s="88"/>
      <c r="O37" s="88"/>
      <c r="P37" s="88"/>
      <c r="Q37" s="88"/>
      <c r="R37" s="88"/>
      <c r="S37" s="88"/>
      <c r="T37" s="88"/>
      <c r="U37" s="88"/>
    </row>
    <row r="38" spans="2:21" s="17" customFormat="1" ht="17" customHeight="1">
      <c r="B38" s="100" t="str">
        <f>IF(AND(F38&lt;&gt;"",F39&lt;&gt;"",F40&lt;&gt;"",F41&lt;&gt;"",G38&lt;&gt;"",G39&lt;&gt;"",G40&lt;&gt;"",G41&lt;&gt;""),"✓","")</f>
        <v>✓</v>
      </c>
      <c r="C38" s="17" t="s">
        <v>365</v>
      </c>
      <c r="E38" s="96" t="s">
        <v>367</v>
      </c>
      <c r="F38" s="102" t="s">
        <v>438</v>
      </c>
      <c r="G38" s="103" t="s">
        <v>489</v>
      </c>
      <c r="H38" s="106"/>
      <c r="L38" s="88"/>
      <c r="M38" s="88"/>
      <c r="N38" s="88"/>
      <c r="O38" s="88"/>
      <c r="P38" s="88"/>
      <c r="Q38" s="88"/>
      <c r="R38" s="88"/>
      <c r="S38" s="88"/>
      <c r="T38" s="88"/>
      <c r="U38" s="88"/>
    </row>
    <row r="39" spans="2:21" s="17" customFormat="1" ht="17" customHeight="1">
      <c r="E39" s="96" t="s">
        <v>368</v>
      </c>
      <c r="F39" s="102" t="s">
        <v>95</v>
      </c>
      <c r="G39" s="103" t="s">
        <v>490</v>
      </c>
      <c r="H39" s="106"/>
      <c r="L39" s="88"/>
      <c r="M39" s="88"/>
      <c r="N39" s="88"/>
      <c r="O39" s="88"/>
      <c r="P39" s="88"/>
      <c r="Q39" s="88"/>
      <c r="R39" s="88"/>
      <c r="S39" s="88"/>
      <c r="T39" s="88"/>
      <c r="U39" s="88"/>
    </row>
    <row r="40" spans="2:21" s="17" customFormat="1" ht="15" customHeight="1">
      <c r="E40" s="96" t="s">
        <v>369</v>
      </c>
      <c r="F40" s="102" t="s">
        <v>48</v>
      </c>
      <c r="G40" s="103" t="s">
        <v>48</v>
      </c>
      <c r="H40" s="106"/>
      <c r="L40" s="88"/>
      <c r="M40" s="88"/>
      <c r="N40" s="88"/>
      <c r="O40" s="88"/>
      <c r="P40" s="88"/>
      <c r="Q40" s="88"/>
      <c r="R40" s="88"/>
      <c r="S40" s="88"/>
      <c r="T40" s="88"/>
      <c r="U40" s="88"/>
    </row>
    <row r="41" spans="2:21" s="17" customFormat="1" ht="15" customHeight="1">
      <c r="E41" s="96" t="s">
        <v>370</v>
      </c>
      <c r="F41" s="102" t="s">
        <v>48</v>
      </c>
      <c r="G41" s="103" t="s">
        <v>48</v>
      </c>
      <c r="H41" s="106"/>
      <c r="L41" s="88"/>
      <c r="M41" s="88"/>
      <c r="N41" s="88"/>
      <c r="O41" s="88"/>
      <c r="P41" s="88"/>
      <c r="Q41" s="88"/>
      <c r="R41" s="88"/>
      <c r="S41" s="88"/>
      <c r="T41" s="88"/>
      <c r="U41" s="88"/>
    </row>
    <row r="42" spans="2:21" s="17" customFormat="1" ht="15" customHeight="1">
      <c r="E42" s="91" t="s">
        <v>371</v>
      </c>
      <c r="F42" s="102" t="s">
        <v>82</v>
      </c>
      <c r="H42" s="106"/>
      <c r="L42" s="88"/>
      <c r="M42" s="88"/>
      <c r="N42" s="88"/>
      <c r="O42" s="88"/>
      <c r="P42" s="88"/>
      <c r="Q42" s="88"/>
      <c r="R42" s="88"/>
      <c r="S42" s="88"/>
      <c r="T42" s="88"/>
      <c r="U42" s="88"/>
    </row>
    <row r="43" spans="2:21" s="17" customFormat="1" ht="15" customHeight="1">
      <c r="H43" s="88"/>
      <c r="L43" s="88"/>
      <c r="M43" s="88"/>
      <c r="N43" s="88"/>
      <c r="O43" s="88"/>
      <c r="P43" s="88"/>
      <c r="Q43" s="88"/>
      <c r="R43" s="88"/>
      <c r="S43" s="88"/>
      <c r="T43" s="88"/>
      <c r="U43" s="88"/>
    </row>
    <row r="44" spans="2:21" s="17" customFormat="1" ht="15" customHeight="1">
      <c r="E44" s="91" t="s">
        <v>15</v>
      </c>
      <c r="F44" s="192" t="s">
        <v>34</v>
      </c>
      <c r="G44" s="192"/>
      <c r="H44" s="85"/>
      <c r="L44" s="88"/>
      <c r="M44" s="88"/>
      <c r="N44" s="88"/>
      <c r="O44" s="88"/>
      <c r="P44" s="88"/>
      <c r="Q44" s="88"/>
      <c r="R44" s="88"/>
      <c r="S44" s="88"/>
      <c r="T44" s="88"/>
      <c r="U44" s="88"/>
    </row>
    <row r="45" spans="2:21" s="17" customFormat="1" ht="21" customHeight="1">
      <c r="B45" s="89" t="s">
        <v>15</v>
      </c>
      <c r="C45" s="99"/>
      <c r="D45" s="85"/>
      <c r="E45" s="96" t="s">
        <v>97</v>
      </c>
      <c r="F45" s="210" t="s">
        <v>439</v>
      </c>
      <c r="G45" s="210"/>
      <c r="H45" s="85"/>
      <c r="L45" s="88"/>
      <c r="M45" s="88"/>
      <c r="N45" s="88"/>
      <c r="O45" s="88"/>
      <c r="P45" s="88"/>
      <c r="Q45" s="88"/>
      <c r="R45" s="88"/>
      <c r="S45" s="88"/>
      <c r="T45" s="88"/>
      <c r="U45" s="88"/>
    </row>
    <row r="46" spans="2:21" ht="17" customHeight="1">
      <c r="B46" s="100" t="str">
        <f>IF((AND(F45&lt;&gt;"",F46&lt;&gt;"")),"✓","")</f>
        <v>✓</v>
      </c>
      <c r="C46" s="17" t="s">
        <v>96</v>
      </c>
      <c r="E46" s="96" t="s">
        <v>98</v>
      </c>
      <c r="F46" s="211" t="s">
        <v>500</v>
      </c>
      <c r="G46" s="211"/>
      <c r="L46" s="88"/>
      <c r="M46" s="88"/>
      <c r="N46" s="88"/>
      <c r="O46" s="88"/>
      <c r="P46" s="88"/>
      <c r="Q46" s="88"/>
      <c r="R46" s="88"/>
      <c r="S46" s="88"/>
      <c r="T46" s="88"/>
      <c r="U46" s="88"/>
    </row>
    <row r="47" spans="2:21" ht="14" customHeight="1">
      <c r="E47" s="96" t="s">
        <v>99</v>
      </c>
      <c r="F47" s="210" t="s">
        <v>460</v>
      </c>
      <c r="G47" s="210"/>
      <c r="L47" s="88"/>
      <c r="M47" s="88"/>
      <c r="N47" s="88"/>
      <c r="O47" s="88"/>
      <c r="P47" s="88"/>
      <c r="Q47" s="88"/>
      <c r="R47" s="88"/>
      <c r="S47" s="88"/>
      <c r="T47" s="88"/>
      <c r="U47" s="88"/>
    </row>
    <row r="48" spans="2:21" ht="14" customHeight="1">
      <c r="L48" s="88"/>
      <c r="M48" s="88"/>
      <c r="N48" s="88"/>
      <c r="O48" s="88"/>
      <c r="P48" s="88"/>
      <c r="Q48" s="88"/>
      <c r="R48" s="88"/>
      <c r="S48" s="88"/>
      <c r="T48" s="88"/>
      <c r="U48" s="88"/>
    </row>
    <row r="49" spans="5:21" ht="14" customHeight="1">
      <c r="E49" s="91" t="s">
        <v>434</v>
      </c>
      <c r="F49" s="193" t="s">
        <v>435</v>
      </c>
      <c r="G49" s="193"/>
      <c r="L49" s="88"/>
      <c r="M49" s="88"/>
      <c r="N49" s="88"/>
      <c r="O49" s="88"/>
      <c r="P49" s="88"/>
      <c r="Q49" s="88"/>
      <c r="R49" s="88"/>
      <c r="S49" s="88"/>
      <c r="T49" s="88"/>
      <c r="U49" s="88"/>
    </row>
    <row r="50" spans="5:21" ht="14" customHeight="1">
      <c r="L50" s="88"/>
      <c r="M50" s="88"/>
      <c r="N50" s="88"/>
      <c r="O50" s="88"/>
      <c r="P50" s="88"/>
      <c r="Q50" s="88"/>
      <c r="R50" s="88"/>
      <c r="S50" s="88"/>
      <c r="T50" s="88"/>
      <c r="U50" s="88"/>
    </row>
    <row r="51" spans="5:21" ht="14" customHeight="1">
      <c r="E51" s="128"/>
      <c r="L51" s="88"/>
      <c r="M51" s="88"/>
      <c r="N51" s="88"/>
      <c r="O51" s="88"/>
      <c r="P51" s="88"/>
      <c r="Q51" s="88"/>
      <c r="R51" s="88"/>
      <c r="S51" s="88"/>
      <c r="T51" s="88"/>
      <c r="U51" s="88"/>
    </row>
    <row r="52" spans="5:21">
      <c r="L52" s="88"/>
      <c r="M52" s="88"/>
      <c r="N52" s="88"/>
      <c r="O52" s="88"/>
      <c r="P52" s="88"/>
      <c r="Q52" s="88"/>
      <c r="R52" s="88"/>
      <c r="S52" s="88"/>
      <c r="T52" s="88"/>
      <c r="U52" s="88"/>
    </row>
    <row r="53" spans="5:21">
      <c r="L53" s="88"/>
      <c r="M53" s="88"/>
      <c r="N53" s="88"/>
      <c r="O53" s="88"/>
      <c r="P53" s="88"/>
      <c r="Q53" s="88"/>
      <c r="R53" s="88"/>
      <c r="S53" s="88"/>
      <c r="T53" s="88"/>
      <c r="U53" s="88"/>
    </row>
    <row r="54" spans="5:21">
      <c r="L54" s="88"/>
      <c r="M54" s="88"/>
      <c r="N54" s="88"/>
      <c r="O54" s="88"/>
      <c r="P54" s="88"/>
      <c r="Q54" s="88"/>
      <c r="R54" s="88"/>
      <c r="S54" s="88"/>
      <c r="T54" s="88"/>
      <c r="U54" s="88"/>
    </row>
    <row r="55" spans="5:21">
      <c r="L55" s="88"/>
      <c r="M55" s="88"/>
      <c r="N55" s="88"/>
      <c r="O55" s="88"/>
      <c r="P55" s="88"/>
      <c r="Q55" s="88"/>
      <c r="R55" s="88"/>
      <c r="S55" s="88"/>
      <c r="T55" s="88"/>
      <c r="U55" s="88"/>
    </row>
    <row r="56" spans="5:21">
      <c r="L56" s="88"/>
      <c r="M56" s="88"/>
      <c r="N56" s="88"/>
      <c r="O56" s="88"/>
      <c r="P56" s="88"/>
      <c r="Q56" s="88"/>
      <c r="R56" s="88"/>
      <c r="S56" s="88"/>
      <c r="T56" s="88"/>
      <c r="U56" s="88"/>
    </row>
    <row r="57" spans="5:21">
      <c r="L57" s="88"/>
      <c r="M57" s="88"/>
      <c r="N57" s="88"/>
      <c r="O57" s="88"/>
      <c r="P57" s="88"/>
      <c r="Q57" s="88"/>
      <c r="R57" s="88"/>
      <c r="S57" s="88"/>
      <c r="T57" s="88"/>
      <c r="U57" s="88"/>
    </row>
    <row r="58" spans="5:21">
      <c r="L58" s="88"/>
      <c r="M58" s="88"/>
      <c r="N58" s="88"/>
      <c r="O58" s="88"/>
      <c r="P58" s="88"/>
      <c r="Q58" s="88"/>
      <c r="R58" s="88"/>
      <c r="S58" s="88"/>
      <c r="T58" s="88"/>
      <c r="U58" s="88"/>
    </row>
    <row r="59" spans="5:21">
      <c r="L59" s="88"/>
      <c r="M59" s="88"/>
      <c r="N59" s="88"/>
      <c r="O59" s="88"/>
      <c r="P59" s="88"/>
      <c r="Q59" s="88"/>
      <c r="R59" s="88"/>
      <c r="S59" s="88"/>
      <c r="T59" s="88"/>
      <c r="U59" s="88"/>
    </row>
    <row r="60" spans="5:21">
      <c r="L60" s="88"/>
      <c r="M60" s="88"/>
      <c r="N60" s="88"/>
      <c r="O60" s="88"/>
      <c r="P60" s="88"/>
      <c r="Q60" s="88"/>
      <c r="R60" s="88"/>
      <c r="S60" s="88"/>
      <c r="T60" s="88"/>
      <c r="U60" s="88"/>
    </row>
    <row r="61" spans="5:21">
      <c r="L61" s="88"/>
      <c r="M61" s="88"/>
      <c r="N61" s="88"/>
      <c r="O61" s="88"/>
      <c r="P61" s="88"/>
      <c r="Q61" s="88"/>
      <c r="R61" s="88"/>
      <c r="S61" s="88"/>
      <c r="T61" s="88"/>
      <c r="U61" s="88"/>
    </row>
    <row r="62" spans="5:21">
      <c r="L62" s="88"/>
      <c r="M62" s="88"/>
      <c r="N62" s="88"/>
      <c r="O62" s="88"/>
      <c r="P62" s="88"/>
      <c r="Q62" s="88"/>
      <c r="R62" s="88"/>
      <c r="S62" s="88"/>
      <c r="T62" s="88"/>
      <c r="U62" s="88"/>
    </row>
    <row r="63" spans="5:21">
      <c r="L63" s="88"/>
      <c r="M63" s="88"/>
      <c r="N63" s="88"/>
      <c r="O63" s="88"/>
      <c r="P63" s="88"/>
      <c r="Q63" s="88"/>
      <c r="R63" s="88"/>
      <c r="S63" s="88"/>
      <c r="T63" s="88"/>
      <c r="U63" s="88"/>
    </row>
    <row r="64" spans="5:21">
      <c r="L64" s="88"/>
      <c r="M64" s="88"/>
      <c r="N64" s="88"/>
      <c r="O64" s="88"/>
      <c r="P64" s="88"/>
      <c r="Q64" s="88"/>
      <c r="R64" s="88"/>
      <c r="S64" s="88"/>
      <c r="T64" s="88"/>
      <c r="U64" s="88"/>
    </row>
    <row r="65" spans="12:21">
      <c r="L65" s="88"/>
      <c r="M65" s="88"/>
      <c r="N65" s="88"/>
      <c r="O65" s="88"/>
      <c r="P65" s="88"/>
      <c r="Q65" s="88"/>
      <c r="R65" s="88"/>
      <c r="S65" s="88"/>
      <c r="T65" s="88"/>
      <c r="U65" s="88"/>
    </row>
    <row r="66" spans="12:21">
      <c r="L66" s="88"/>
      <c r="M66" s="88"/>
      <c r="N66" s="88"/>
      <c r="O66" s="88"/>
      <c r="P66" s="88"/>
      <c r="Q66" s="88"/>
      <c r="R66" s="88"/>
      <c r="S66" s="88"/>
      <c r="T66" s="88"/>
      <c r="U66" s="88"/>
    </row>
    <row r="67" spans="12:21">
      <c r="L67" s="88"/>
      <c r="M67" s="88"/>
      <c r="N67" s="88"/>
      <c r="O67" s="88"/>
      <c r="P67" s="88"/>
      <c r="Q67" s="88"/>
      <c r="R67" s="88"/>
      <c r="S67" s="88"/>
      <c r="T67" s="88"/>
      <c r="U67" s="88"/>
    </row>
    <row r="68" spans="12:21">
      <c r="L68" s="88"/>
      <c r="M68" s="88"/>
      <c r="N68" s="88"/>
      <c r="O68" s="88"/>
      <c r="P68" s="88"/>
      <c r="Q68" s="88"/>
      <c r="R68" s="88"/>
      <c r="S68" s="88"/>
      <c r="T68" s="88"/>
      <c r="U68" s="88"/>
    </row>
    <row r="69" spans="12:21">
      <c r="L69" s="88"/>
      <c r="M69" s="88"/>
      <c r="N69" s="88"/>
      <c r="O69" s="88"/>
      <c r="P69" s="88"/>
      <c r="Q69" s="88"/>
      <c r="R69" s="88"/>
      <c r="S69" s="88"/>
      <c r="T69" s="88"/>
      <c r="U69" s="88"/>
    </row>
    <row r="70" spans="12:21">
      <c r="L70" s="88"/>
      <c r="M70" s="88"/>
      <c r="N70" s="88"/>
      <c r="O70" s="88"/>
      <c r="P70" s="88"/>
      <c r="Q70" s="88"/>
      <c r="R70" s="88"/>
      <c r="S70" s="88"/>
      <c r="T70" s="88"/>
      <c r="U70" s="88"/>
    </row>
    <row r="71" spans="12:21">
      <c r="L71" s="88"/>
      <c r="M71" s="88"/>
      <c r="N71" s="88"/>
      <c r="O71" s="88"/>
      <c r="P71" s="88"/>
      <c r="Q71" s="88"/>
      <c r="R71" s="88"/>
      <c r="S71" s="88"/>
      <c r="T71" s="88"/>
      <c r="U71" s="88"/>
    </row>
    <row r="72" spans="12:21">
      <c r="L72" s="88"/>
      <c r="M72" s="88"/>
      <c r="N72" s="88"/>
      <c r="O72" s="88"/>
      <c r="P72" s="88"/>
      <c r="Q72" s="88"/>
      <c r="R72" s="88"/>
      <c r="S72" s="88"/>
      <c r="T72" s="88"/>
      <c r="U72" s="88"/>
    </row>
    <row r="73" spans="12:21">
      <c r="L73" s="88"/>
      <c r="M73" s="88"/>
      <c r="N73" s="88"/>
      <c r="O73" s="88"/>
      <c r="P73" s="88"/>
      <c r="Q73" s="88"/>
      <c r="R73" s="88"/>
      <c r="S73" s="88"/>
      <c r="T73" s="88"/>
      <c r="U73" s="88"/>
    </row>
    <row r="74" spans="12:21">
      <c r="L74" s="88"/>
      <c r="M74" s="88"/>
      <c r="N74" s="88"/>
      <c r="O74" s="88"/>
      <c r="P74" s="88"/>
      <c r="Q74" s="88"/>
      <c r="R74" s="88"/>
      <c r="S74" s="88"/>
      <c r="T74" s="88"/>
      <c r="U74" s="88"/>
    </row>
    <row r="75" spans="12:21">
      <c r="L75" s="88"/>
      <c r="M75" s="88"/>
      <c r="N75" s="88"/>
      <c r="O75" s="88"/>
      <c r="P75" s="88"/>
      <c r="Q75" s="88"/>
      <c r="R75" s="88"/>
      <c r="S75" s="88"/>
      <c r="T75" s="88"/>
      <c r="U75" s="88"/>
    </row>
    <row r="76" spans="12:21">
      <c r="L76" s="88"/>
      <c r="M76" s="88"/>
      <c r="N76" s="88"/>
      <c r="O76" s="88"/>
      <c r="P76" s="88"/>
      <c r="Q76" s="88"/>
      <c r="R76" s="88"/>
      <c r="S76" s="88"/>
      <c r="T76" s="88"/>
      <c r="U76" s="88"/>
    </row>
    <row r="77" spans="12:21">
      <c r="L77" s="88"/>
      <c r="M77" s="88"/>
      <c r="N77" s="88"/>
      <c r="O77" s="88"/>
      <c r="P77" s="88"/>
      <c r="Q77" s="88"/>
      <c r="R77" s="88"/>
      <c r="S77" s="88"/>
      <c r="T77" s="88"/>
      <c r="U77" s="88"/>
    </row>
    <row r="78" spans="12:21">
      <c r="L78" s="88"/>
      <c r="M78" s="88"/>
      <c r="N78" s="88"/>
      <c r="O78" s="88"/>
      <c r="P78" s="88"/>
      <c r="Q78" s="88"/>
      <c r="R78" s="88"/>
      <c r="S78" s="88"/>
      <c r="T78" s="88"/>
      <c r="U78" s="88"/>
    </row>
    <row r="79" spans="12:21">
      <c r="L79" s="88"/>
      <c r="M79" s="88"/>
      <c r="N79" s="88"/>
      <c r="O79" s="88"/>
      <c r="P79" s="88"/>
      <c r="Q79" s="88"/>
      <c r="R79" s="88"/>
      <c r="S79" s="88"/>
      <c r="T79" s="88"/>
      <c r="U79" s="88"/>
    </row>
  </sheetData>
  <sheetProtection sheet="1" objects="1" scenarios="1"/>
  <mergeCells count="47">
    <mergeCell ref="F47:G47"/>
    <mergeCell ref="F49:G49"/>
    <mergeCell ref="F31:G31"/>
    <mergeCell ref="F32:G32"/>
    <mergeCell ref="F44:G44"/>
    <mergeCell ref="F45:G45"/>
    <mergeCell ref="F46:G46"/>
    <mergeCell ref="F36:G36"/>
    <mergeCell ref="F15:G15"/>
    <mergeCell ref="F11:G11"/>
    <mergeCell ref="J18:K18"/>
    <mergeCell ref="J19:K19"/>
    <mergeCell ref="J20:K20"/>
    <mergeCell ref="F12:G12"/>
    <mergeCell ref="F13:G13"/>
    <mergeCell ref="F14:G14"/>
    <mergeCell ref="I11:K14"/>
    <mergeCell ref="B3:K3"/>
    <mergeCell ref="F5:G5"/>
    <mergeCell ref="J5:K5"/>
    <mergeCell ref="F6:G6"/>
    <mergeCell ref="J6:K6"/>
    <mergeCell ref="F7:G7"/>
    <mergeCell ref="F8:G8"/>
    <mergeCell ref="I8:J8"/>
    <mergeCell ref="F9:G9"/>
    <mergeCell ref="I9:J9"/>
    <mergeCell ref="I35:K35"/>
    <mergeCell ref="J30:K30"/>
    <mergeCell ref="J31:K31"/>
    <mergeCell ref="F22:G22"/>
    <mergeCell ref="F23:G23"/>
    <mergeCell ref="F24:G24"/>
    <mergeCell ref="F26:G26"/>
    <mergeCell ref="F25:G25"/>
    <mergeCell ref="F28:G28"/>
    <mergeCell ref="F29:G29"/>
    <mergeCell ref="F30:G30"/>
    <mergeCell ref="J32:K34"/>
    <mergeCell ref="I32:I34"/>
    <mergeCell ref="J29:K29"/>
    <mergeCell ref="J21:K21"/>
    <mergeCell ref="J22:K22"/>
    <mergeCell ref="J26:K26"/>
    <mergeCell ref="J27:K27"/>
    <mergeCell ref="J28:K28"/>
    <mergeCell ref="I23:K25"/>
  </mergeCells>
  <conditionalFormatting sqref="B5:B7 B18:B24 B37:B38 B45:B46 B50:B306">
    <cfRule type="cellIs" dxfId="81" priority="55" operator="equal">
      <formula>"✓"</formula>
    </cfRule>
  </conditionalFormatting>
  <conditionalFormatting sqref="B11:B12">
    <cfRule type="cellIs" dxfId="80" priority="111" operator="equal">
      <formula>"✓"</formula>
    </cfRule>
  </conditionalFormatting>
  <conditionalFormatting sqref="E28">
    <cfRule type="expression" dxfId="79" priority="107">
      <formula>#REF!="Standard"</formula>
    </cfRule>
  </conditionalFormatting>
  <conditionalFormatting sqref="E12:G15">
    <cfRule type="expression" dxfId="78" priority="32" stopIfTrue="1">
      <formula>$F$11="No"</formula>
    </cfRule>
  </conditionalFormatting>
  <conditionalFormatting sqref="E29:G32">
    <cfRule type="expression" dxfId="77" priority="106">
      <formula>$F$28="Standard"</formula>
    </cfRule>
  </conditionalFormatting>
  <conditionalFormatting sqref="F6">
    <cfRule type="containsText" dxfId="76" priority="73" operator="containsText" text="n/a">
      <formula>NOT(ISERROR(SEARCH("n/a",F6)))</formula>
    </cfRule>
  </conditionalFormatting>
  <conditionalFormatting sqref="F6:F7">
    <cfRule type="expression" dxfId="75" priority="60">
      <formula>IF(LEN(F6)-LEN(SUBSTITUTE(F6,".",""))=3,0,1)</formula>
    </cfRule>
  </conditionalFormatting>
  <conditionalFormatting sqref="F6:F9">
    <cfRule type="expression" dxfId="74" priority="58">
      <formula>LEN(TRIM(F6))=0</formula>
    </cfRule>
  </conditionalFormatting>
  <conditionalFormatting sqref="F7">
    <cfRule type="containsText" dxfId="73" priority="59" operator="containsText" text="n/a">
      <formula>NOT(ISERROR(SEARCH("n/a",F7)))</formula>
    </cfRule>
  </conditionalFormatting>
  <conditionalFormatting sqref="F9">
    <cfRule type="containsText" dxfId="72" priority="71" operator="containsText" text="n/a">
      <formula>NOT(ISERROR(SEARCH("n/a",F9)))</formula>
    </cfRule>
  </conditionalFormatting>
  <conditionalFormatting sqref="F12:F15">
    <cfRule type="expression" dxfId="71" priority="108">
      <formula>IF(#REF!="",0,1)</formula>
    </cfRule>
    <cfRule type="duplicateValues" dxfId="70" priority="133" stopIfTrue="1"/>
    <cfRule type="expression" dxfId="69" priority="134">
      <formula>LEN(TRIM(F12))=0</formula>
    </cfRule>
  </conditionalFormatting>
  <conditionalFormatting sqref="F18">
    <cfRule type="expression" dxfId="68" priority="6" stopIfTrue="1">
      <formula>$F$18="n/a"</formula>
    </cfRule>
    <cfRule type="expression" dxfId="67" priority="57" stopIfTrue="1">
      <formula>LEN(TRIM(F18))=0</formula>
    </cfRule>
  </conditionalFormatting>
  <conditionalFormatting sqref="F23:F24">
    <cfRule type="expression" dxfId="66" priority="62" stopIfTrue="1">
      <formula>LEN(TRIM(F23))=0</formula>
    </cfRule>
  </conditionalFormatting>
  <conditionalFormatting sqref="F38">
    <cfRule type="expression" dxfId="65" priority="5">
      <formula>$F$38="n/a"</formula>
    </cfRule>
    <cfRule type="expression" dxfId="64" priority="18" stopIfTrue="1">
      <formula>AND($F$38&lt;&gt;"n/a",IF($F$38&lt;&gt;"n/a",COUNTIF($F$38:$F$41,$F$38)&gt;1))</formula>
    </cfRule>
  </conditionalFormatting>
  <conditionalFormatting sqref="F39">
    <cfRule type="expression" dxfId="63" priority="4">
      <formula>$F$39="n/a"</formula>
    </cfRule>
    <cfRule type="expression" dxfId="62" priority="19" stopIfTrue="1">
      <formula>AND($F$39&lt;&gt;"n/a",IF($F$39&lt;&gt;"n/a",COUNTIF($F$38:$F$41,$F$39)&gt;1))</formula>
    </cfRule>
  </conditionalFormatting>
  <conditionalFormatting sqref="F40">
    <cfRule type="expression" dxfId="61" priority="3">
      <formula>$F$40="n/a"</formula>
    </cfRule>
    <cfRule type="expression" dxfId="60" priority="20" stopIfTrue="1">
      <formula>AND($F$40&lt;&gt;"n/a",IF($F$40&lt;&gt;"n/a",COUNTIF($F$38:$F$41,$F$40)&gt;1))</formula>
    </cfRule>
  </conditionalFormatting>
  <conditionalFormatting sqref="F41">
    <cfRule type="expression" dxfId="59" priority="2">
      <formula>$F$41="n/a"</formula>
    </cfRule>
    <cfRule type="expression" dxfId="58" priority="23">
      <formula>AND($F$41&lt;&gt;"n/a",IF($F$41&lt;&gt;"n/a",COUNTIF($F$38:$F$41,$F$41)&gt;1))</formula>
    </cfRule>
  </conditionalFormatting>
  <conditionalFormatting sqref="F45">
    <cfRule type="expression" dxfId="57" priority="1">
      <formula>$F$45="n/a"</formula>
    </cfRule>
  </conditionalFormatting>
  <conditionalFormatting sqref="F18:G18">
    <cfRule type="expression" dxfId="56" priority="24">
      <formula>AND($F$18="n/a",$G$18="n/a")</formula>
    </cfRule>
  </conditionalFormatting>
  <conditionalFormatting sqref="F30:G30">
    <cfRule type="expression" dxfId="55" priority="80">
      <formula>LEN(TRIM(F30))=0</formula>
    </cfRule>
  </conditionalFormatting>
  <conditionalFormatting sqref="F38:G38">
    <cfRule type="expression" dxfId="54" priority="10" stopIfTrue="1">
      <formula>AND($F$38="n/a",$G$38="n/a")</formula>
    </cfRule>
  </conditionalFormatting>
  <conditionalFormatting sqref="F38:G41">
    <cfRule type="expression" dxfId="53" priority="64">
      <formula>LEN(TRIM(F38))=0</formula>
    </cfRule>
  </conditionalFormatting>
  <conditionalFormatting sqref="F39:G39">
    <cfRule type="expression" dxfId="52" priority="11">
      <formula>AND($F$39="n/a",$G$39="n/a")</formula>
    </cfRule>
  </conditionalFormatting>
  <conditionalFormatting sqref="F40:G40">
    <cfRule type="expression" dxfId="51" priority="12">
      <formula>AND($F$40="n/a",$G$40="n/a")</formula>
    </cfRule>
  </conditionalFormatting>
  <conditionalFormatting sqref="F41:G41">
    <cfRule type="expression" dxfId="50" priority="13" stopIfTrue="1">
      <formula>AND($F$41="n/a",$G$41="n/a")</formula>
    </cfRule>
  </conditionalFormatting>
  <conditionalFormatting sqref="F45:G46">
    <cfRule type="expression" dxfId="49" priority="9" stopIfTrue="1">
      <formula>AND($F$45="n/a",$F$46="n/a")</formula>
    </cfRule>
  </conditionalFormatting>
  <conditionalFormatting sqref="F46:G46">
    <cfRule type="expression" dxfId="48" priority="83" stopIfTrue="1">
      <formula>AND($F$46&lt;&gt;"n/a",IF(LEN(F46)-LEN(SUBSTITUTE(F46,".",""))=3,0,1))</formula>
    </cfRule>
    <cfRule type="expression" dxfId="47" priority="85" stopIfTrue="1">
      <formula>LEN(TRIM(F46))=0</formula>
    </cfRule>
  </conditionalFormatting>
  <conditionalFormatting sqref="F49:G49">
    <cfRule type="expression" dxfId="46" priority="8">
      <formula>LEN(TRIM(F49))=0</formula>
    </cfRule>
    <cfRule type="containsText" dxfId="45" priority="68" stopIfTrue="1" operator="containsText" text="n/a">
      <formula>NOT(ISERROR(SEARCH("n/a",F49)))</formula>
    </cfRule>
  </conditionalFormatting>
  <conditionalFormatting sqref="G18">
    <cfRule type="expression" dxfId="44" priority="86" stopIfTrue="1">
      <formula>AND($G$18&lt;&gt;"n/a",IF(LEN(G18)-LEN(SUBSTITUTE(G18,".",""))=3,0,1))</formula>
    </cfRule>
  </conditionalFormatting>
  <conditionalFormatting sqref="G38">
    <cfRule type="expression" dxfId="43" priority="14">
      <formula>AND($G$38&lt;&gt;"n/a",IF($G$38&lt;&gt;"n/a",COUNTIF($G$38:$G$41,$G$38)&gt;1))</formula>
    </cfRule>
  </conditionalFormatting>
  <conditionalFormatting sqref="G39">
    <cfRule type="expression" dxfId="42" priority="15" stopIfTrue="1">
      <formula>AND($G$39&lt;&gt;"n/a",IF($G$39&lt;&gt;"n/a",COUNTIF($G$38:$G$41,$G$39)&gt;1))</formula>
    </cfRule>
  </conditionalFormatting>
  <conditionalFormatting sqref="G40">
    <cfRule type="expression" dxfId="41" priority="16">
      <formula>AND($G$40&lt;&gt;"n/a",IF($G$40&lt;&gt;"n/a",COUNTIF($G$38:$G$41,$G$40)&gt;1))</formula>
    </cfRule>
  </conditionalFormatting>
  <conditionalFormatting sqref="G41">
    <cfRule type="expression" dxfId="40" priority="17">
      <formula>AND($G$41&lt;&gt;"n/a",IF($G$41&lt;&gt;"n/a",COUNTIF($G$38:$G$41,$G$41)&gt;1))</formula>
    </cfRule>
  </conditionalFormatting>
  <conditionalFormatting sqref="J22">
    <cfRule type="expression" dxfId="39" priority="42">
      <formula>LEN(TRIM(J22))=0</formula>
    </cfRule>
  </conditionalFormatting>
  <conditionalFormatting sqref="J27">
    <cfRule type="expression" dxfId="38" priority="31">
      <formula>AND($J$27="n/a",OR($J$28&lt;&gt;"n/a",$J$29&lt;&gt;"n/a",$J$30&lt;&gt;"n/a"))</formula>
    </cfRule>
  </conditionalFormatting>
  <conditionalFormatting sqref="J28">
    <cfRule type="expression" dxfId="37" priority="33" stopIfTrue="1">
      <formula>AND($J$28="n/a",OR($J$27&lt;&gt;"n/a",$J$29&lt;&gt;"n/a",$J$30&lt;&gt;"n/a"))</formula>
    </cfRule>
  </conditionalFormatting>
  <conditionalFormatting sqref="J29">
    <cfRule type="expression" dxfId="36" priority="35" stopIfTrue="1">
      <formula>AND(OR($J$29="n/a",$J$29=""),$J$30&lt;&gt;"n/a",$J$30&lt;&gt;"")</formula>
    </cfRule>
  </conditionalFormatting>
  <conditionalFormatting sqref="J30">
    <cfRule type="expression" dxfId="35" priority="34">
      <formula>AND($J$29&lt;&gt;"n/a",$J$29&lt;&gt;"",OR($J$30="n/a",$J$30=""))</formula>
    </cfRule>
  </conditionalFormatting>
  <conditionalFormatting sqref="J32">
    <cfRule type="expression" dxfId="34" priority="27">
      <formula>$J$26="No"</formula>
    </cfRule>
  </conditionalFormatting>
  <conditionalFormatting sqref="J6:K6">
    <cfRule type="containsText" dxfId="33" priority="76" operator="containsText" text="n/a">
      <formula>NOT(ISERROR(SEARCH("n/a",J6)))</formula>
    </cfRule>
    <cfRule type="expression" dxfId="32" priority="77">
      <formula>LEN(TRIM(J6))=0</formula>
    </cfRule>
  </conditionalFormatting>
  <conditionalFormatting sqref="J19:K19">
    <cfRule type="top10" dxfId="31" priority="78" rank="10"/>
  </conditionalFormatting>
  <conditionalFormatting sqref="J20:K20">
    <cfRule type="expression" dxfId="30" priority="160" stopIfTrue="1">
      <formula>AND($F$25="Yes",$J$21="Yes")</formula>
    </cfRule>
  </conditionalFormatting>
  <conditionalFormatting sqref="J21:K22">
    <cfRule type="expression" dxfId="29" priority="29">
      <formula>$F$25="No"</formula>
    </cfRule>
  </conditionalFormatting>
  <conditionalFormatting sqref="J22:K22">
    <cfRule type="expression" dxfId="28" priority="40" stopIfTrue="1">
      <formula>$J$21="No"</formula>
    </cfRule>
    <cfRule type="containsText" dxfId="27" priority="41" operator="containsText" text="n/a">
      <formula>NOT(ISERROR(SEARCH("n/a",J22)))</formula>
    </cfRule>
  </conditionalFormatting>
  <conditionalFormatting sqref="J27:K28">
    <cfRule type="expression" dxfId="26" priority="37" stopIfTrue="1">
      <formula>AND($J$27="n/a",$J$28="n/a",$J$26="Yes")</formula>
    </cfRule>
  </conditionalFormatting>
  <conditionalFormatting sqref="J27:K31">
    <cfRule type="expression" dxfId="25" priority="53">
      <formula>$J$26="No"</formula>
    </cfRule>
  </conditionalFormatting>
  <conditionalFormatting sqref="J32:K34">
    <cfRule type="expression" dxfId="24" priority="25" stopIfTrue="1">
      <formula>$J$31="HTTP"</formula>
    </cfRule>
  </conditionalFormatting>
  <dataValidations count="18">
    <dataValidation type="custom" allowBlank="1" showInputMessage="1" showErrorMessage="1" errorTitle="Invalid IP Address" error="Please enter a valid IP Address" sqref="F6:F7 G18 G37:G41 F46:G46" xr:uid="{00000000-0002-0000-0300-000001000000}">
      <formula1>IF(ISNUMBER(VALUE(SUBSTITUTE(F6,".",""))),AND(--LEFT(F6,FIND(".",F6)-1)&lt;256,--MID(SUBSTITUTE(F6,".",REPT(" ",99)),99,99)&lt;256,--MID(SUBSTITUTE(F6,".",REPT(" ",99)),198,99)&lt;256,--RIGHT(SUBSTITUTE(F6,".",REPT(" ",99)),99)&lt;256),F6="n/a")</formula1>
      <formula2>0</formula2>
    </dataValidation>
    <dataValidation type="list" allowBlank="1" showInputMessage="1" showErrorMessage="1" sqref="F19" xr:uid="{00000000-0002-0000-0300-000002000000}">
      <formula1>"tiny,small,medium,large,xlarge"</formula1>
      <formula2>0</formula2>
    </dataValidation>
    <dataValidation type="list" allowBlank="1" showInputMessage="1" showErrorMessage="1" errorTitle="Invalid IP Address" error="Please enter a valid IP Address" sqref="J20:J21" xr:uid="{00000000-0002-0000-0300-000003000000}">
      <formula1>"Yes,No"</formula1>
      <formula2>0</formula2>
    </dataValidation>
    <dataValidation type="list" allowBlank="1" showInputMessage="1" showErrorMessage="1" promptTitle="FIPS" prompt="Setting value to YES instructs Cloud Builder to enable FIPS Security Mode on SDDC Manager." sqref="K9" xr:uid="{00000000-0002-0000-0300-000005000000}">
      <formula1>"Yes,No"</formula1>
      <formula2>0</formula2>
    </dataValidation>
    <dataValidation allowBlank="1" showInputMessage="1" showErrorMessage="1" promptTitle="NTP Server" prompt="Input value can be either an IP Address (e.g. 172.16.11.253) or an FQDN (e.g. time.vmware.com)" sqref="F8:F9" xr:uid="{00000000-0002-0000-0300-000006000000}">
      <formula1>0</formula1>
      <formula2>0</formula2>
    </dataValidation>
    <dataValidation allowBlank="1" showInputMessage="1" errorTitle="Invalid IP Address" error="Please enter a valid IP Address" sqref="F47:G47" xr:uid="{00000000-0002-0000-0300-000007000000}">
      <formula1>0</formula1>
      <formula2>0</formula2>
    </dataValidation>
    <dataValidation allowBlank="1" showInputMessage="1" showErrorMessage="1" promptTitle="Hostname Length" prompt="The length of the vCenter Server hostname must not exceed 15 characters, this is to accomodate NetBIOS naming and allows for joining the system to an Active Directory Domain." sqref="F18" xr:uid="{00000000-0002-0000-0300-000008000000}">
      <formula1>0</formula1>
      <formula2>0</formula2>
    </dataValidation>
    <dataValidation type="list" allowBlank="1" showInputMessage="1" showErrorMessage="1" sqref="F42" xr:uid="{00000000-0002-0000-0300-000009000000}">
      <formula1>"small,medium,large,xlarge"</formula1>
    </dataValidation>
    <dataValidation type="list" allowBlank="1" showInputMessage="1" showErrorMessage="1" sqref="F20" xr:uid="{00000000-0002-0000-0300-00000A000000}">
      <formula1>"default,large,xlarge"</formula1>
      <formula2>0</formula2>
    </dataValidation>
    <dataValidation type="list" allowBlank="1" showInputMessage="1" showErrorMessage="1" sqref="F28:G28" xr:uid="{00000000-0002-0000-0300-00000B000000}">
      <formula1>"Standard,Consolidated"</formula1>
      <formula2>0</formula2>
    </dataValidation>
    <dataValidation type="list" allowBlank="1" showInputMessage="1" showErrorMessage="1" promptTitle="CEIP" prompt="Setting value to YES instructs Cloud Builder to enable VMware Customer Experience Improvement Program (&quot;CEIP&quot;) for vCenter Server, vSAN, NSX-T Date Center." sqref="K8" xr:uid="{00000000-0002-0000-0300-00000C000000}">
      <formula1>"Yes,No"</formula1>
      <formula2>0</formula2>
    </dataValidation>
    <dataValidation type="list" allowBlank="1" showInputMessage="1" showErrorMessage="1" sqref="F11:G11 F25:G25 J26:K26" xr:uid="{50FA5053-7A29-4A7C-98E3-F65233DEEA13}">
      <formula1>"Yes, No"</formula1>
    </dataValidation>
    <dataValidation type="custom" allowBlank="1" showInputMessage="1" showErrorMessage="1" errorTitle="Invalid License Action" error="If you have selected No for License Now you cannot add license keys. If you have selected Yes, please enter a valid license key_x000a_xxxxx-xxxxx-xxxxx-xxxxx-xxxxx" sqref="F12:G12" xr:uid="{CF20B692-6121-45D2-BB15-6671B1F62C65}">
      <formula1>AND(F11="Yes",EXACT(F12,UPPER(F12)),LEN(F12)=29,6=FIND("-",F12),12=FIND("-",F12,FIND("-",F12)+1),18=FIND("-",F12,FIND("-",F12,FIND("-",F12)+1)+1),24=FIND("-",F12,FIND("-",F12,FIND("-",F12,FIND("-",F12)+1)+1)+1))</formula1>
    </dataValidation>
    <dataValidation type="custom" allowBlank="1" showInputMessage="1" showErrorMessage="1" errorTitle="Invalid License Key" error="If you are using VCF Subscription you cannot add license keys. If you are not using VCF Subscription, please enter a valid license key_x000a_xxxxx-xxxxx-xxxxx-xxxxx-xxxxx" sqref="F13:G13" xr:uid="{0F6EE357-C114-48BB-8240-86C35712C648}">
      <formula1>AND(F11="Yes",EXACT(F13,UPPER(F13)),LEN(F13)=29,6=FIND("-",F13),12=FIND("-",F13,FIND("-",F13)+1),18=FIND("-",F13,FIND("-",F13,FIND("-",F13)+1)+1),24=FIND("-",F13,FIND("-",F13,FIND("-",F13,FIND("-",F13)+1)+1)+1))</formula1>
    </dataValidation>
    <dataValidation type="custom" allowBlank="1" showInputMessage="1" showErrorMessage="1" errorTitle="Invalid License Key" error="If you have selected No for License Now you cannot add license keys. If you have selected Yes, please enter a valid license key_x000a_xxxxx-xxxxx-xxxxx-xxxxx-xxxxx" sqref="F15:G15" xr:uid="{70B9735C-B0BA-496B-8868-6A96F7924539}">
      <formula1>AND(F11="Yes",EXACT(F15,UPPER(F15)),LEN(F15)=29,6=FIND("-",F15),12=FIND("-",F15,FIND("-",F15)+1),18=FIND("-",F15,FIND("-",F15,FIND("-",F15)+1)+1),24=FIND("-",F15,FIND("-",F15,FIND("-",F15,FIND("-",F15)+1)+1)+1))</formula1>
    </dataValidation>
    <dataValidation type="custom" operator="greaterThan" allowBlank="1" showInputMessage="1" showErrorMessage="1" errorTitle="Invalid Port Number" error="Please, enter a valid port number." sqref="J28" xr:uid="{1CF674D9-874F-6D41-A15D-B474C08FB8FF}">
      <formula1>OR(ISNUMBER(J28),J28="n/a",)</formula1>
    </dataValidation>
    <dataValidation type="list" allowBlank="1" showInputMessage="1" showErrorMessage="1" sqref="J31" xr:uid="{9C0923EA-962C-E444-8171-AF5810CE501C}">
      <formula1>"HTTP, HTTPS"</formula1>
    </dataValidation>
    <dataValidation type="custom" allowBlank="1" showInputMessage="1" showErrorMessage="1" errorTitle="Invalid License Key" error="If you have selected No for License Now you cannot add license keys. If you have selected Yes, please enter a valid license key_x000a_xxxxx-xxxxx-xxxxx-xxxxx-xxxxx" sqref="F14:G14" xr:uid="{B85399B9-C4F4-B246-B0BF-CCA9CB918C73}">
      <formula1>AND(F11="Yes",EXACT(F14,UPPER(F14)),LEN(F14)=29,6=FIND("-",F14),12=FIND("-",F14,FIND("-",F14)+1),18=FIND("-",F14,FIND("-",F14,FIND("-",F14)+1)+1),24=FIND("-",F14,FIND("-",F14,FIND("-",F14,FIND("-",F14)+1)+1)+1))</formula1>
    </dataValidation>
  </dataValidations>
  <printOptions horizontalCentered="1"/>
  <pageMargins left="0.5" right="0.5" top="0.5" bottom="0.5" header="0.51180555555555496" footer="0.25"/>
  <pageSetup firstPageNumber="0" orientation="portrait" horizontalDpi="300" verticalDpi="300" r:id="rId1"/>
  <headerFooter>
    <oddFooter>&amp;L&amp;8http://www.vertex42.com/ExcelTemplates/spring-cleaning-checklist.html</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D5D594-10CD-D146-BC8C-D014D7CD24F4}">
          <x14:formula1>
            <xm:f>Lookup_Lists!$A$2:$A$102</xm:f>
          </x14:formula1>
          <xm:sqref>F26:G26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83A0D-8449-414F-B4E6-B4F1B6AE4BAE}">
  <dimension ref="A1:ALX50"/>
  <sheetViews>
    <sheetView tabSelected="1" zoomScale="130" zoomScaleNormal="130" workbookViewId="0">
      <selection activeCell="E25" activeCellId="1" sqref="F25 E25"/>
    </sheetView>
  </sheetViews>
  <sheetFormatPr baseColWidth="10" defaultColWidth="9" defaultRowHeight="15"/>
  <cols>
    <col min="1" max="1" width="1.1640625" style="85" customWidth="1"/>
    <col min="2" max="2" width="3.33203125" style="85" customWidth="1"/>
    <col min="3" max="3" width="45.83203125" style="85" customWidth="1"/>
    <col min="4" max="4" width="1.6640625" style="85" customWidth="1"/>
    <col min="5" max="5" width="42.83203125" style="85" customWidth="1"/>
    <col min="6" max="6" width="43.1640625" style="85" customWidth="1"/>
    <col min="7" max="7" width="9" style="85"/>
    <col min="8" max="8" width="24.83203125" style="85" customWidth="1"/>
    <col min="9" max="9" width="77.5" style="85" customWidth="1"/>
    <col min="10" max="1012" width="9" style="85"/>
  </cols>
  <sheetData>
    <row r="1" spans="2:9" ht="111" customHeight="1">
      <c r="B1" s="86"/>
      <c r="C1" s="87"/>
      <c r="E1" s="85" t="s">
        <v>2</v>
      </c>
    </row>
    <row r="2" spans="2:9" s="17" customFormat="1" ht="4" customHeight="1">
      <c r="B2" s="88"/>
      <c r="C2" s="88"/>
    </row>
    <row r="3" spans="2:9" s="17" customFormat="1" ht="17" customHeight="1">
      <c r="B3" s="89" t="s">
        <v>510</v>
      </c>
      <c r="C3" s="90"/>
      <c r="E3" s="91" t="s">
        <v>61</v>
      </c>
      <c r="F3" s="213" t="s">
        <v>34</v>
      </c>
      <c r="H3" s="101" t="s">
        <v>540</v>
      </c>
      <c r="I3" s="213" t="s">
        <v>34</v>
      </c>
    </row>
    <row r="4" spans="2:9" s="17" customFormat="1" ht="12">
      <c r="C4" s="17" t="s">
        <v>511</v>
      </c>
      <c r="E4" s="96" t="s">
        <v>512</v>
      </c>
      <c r="F4" s="102" t="s">
        <v>512</v>
      </c>
      <c r="H4" s="96" t="s">
        <v>539</v>
      </c>
      <c r="I4" s="102" t="s">
        <v>541</v>
      </c>
    </row>
    <row r="5" spans="2:9" s="17" customFormat="1" ht="15" customHeight="1">
      <c r="E5" s="96" t="s">
        <v>513</v>
      </c>
      <c r="F5" s="102" t="s">
        <v>514</v>
      </c>
      <c r="H5" s="96" t="s">
        <v>538</v>
      </c>
      <c r="I5" s="216" t="s">
        <v>542</v>
      </c>
    </row>
    <row r="6" spans="2:9" s="17" customFormat="1" ht="15" customHeight="1">
      <c r="E6" s="96" t="s">
        <v>515</v>
      </c>
      <c r="F6" s="102" t="s">
        <v>516</v>
      </c>
    </row>
    <row r="7" spans="2:9" s="17" customFormat="1" ht="15" customHeight="1">
      <c r="E7" s="96" t="s">
        <v>517</v>
      </c>
      <c r="F7" s="102" t="s">
        <v>518</v>
      </c>
    </row>
    <row r="8" spans="2:9" s="17" customFormat="1" ht="18" customHeight="1"/>
    <row r="9" spans="2:9" s="17" customFormat="1" ht="17" customHeight="1">
      <c r="B9" s="89" t="s">
        <v>519</v>
      </c>
      <c r="C9" s="90"/>
      <c r="E9" s="91" t="s">
        <v>520</v>
      </c>
      <c r="F9" s="213" t="s">
        <v>34</v>
      </c>
    </row>
    <row r="10" spans="2:9" s="17" customFormat="1" ht="12">
      <c r="C10" s="17" t="s">
        <v>511</v>
      </c>
      <c r="E10" s="96" t="s">
        <v>521</v>
      </c>
      <c r="F10" s="102" t="s">
        <v>534</v>
      </c>
    </row>
    <row r="11" spans="2:9" s="17" customFormat="1" ht="15" customHeight="1">
      <c r="E11" s="96" t="s">
        <v>76</v>
      </c>
      <c r="F11" s="102" t="s">
        <v>535</v>
      </c>
    </row>
    <row r="12" spans="2:9" s="17" customFormat="1" ht="15" customHeight="1">
      <c r="E12" s="96" t="s">
        <v>522</v>
      </c>
      <c r="F12" s="135" t="s">
        <v>536</v>
      </c>
    </row>
    <row r="13" spans="2:9" s="17" customFormat="1" ht="15" customHeight="1">
      <c r="E13" s="96" t="s">
        <v>523</v>
      </c>
      <c r="F13" s="135" t="s">
        <v>533</v>
      </c>
    </row>
    <row r="14" spans="2:9" s="17" customFormat="1" ht="15" customHeight="1">
      <c r="E14" s="96" t="s">
        <v>524</v>
      </c>
      <c r="F14" s="135" t="s">
        <v>483</v>
      </c>
    </row>
    <row r="15" spans="2:9" s="17" customFormat="1" ht="15" customHeight="1">
      <c r="E15" s="96" t="s">
        <v>525</v>
      </c>
      <c r="F15" s="135" t="s">
        <v>483</v>
      </c>
    </row>
    <row r="16" spans="2:9" s="17" customFormat="1" ht="18" customHeight="1"/>
    <row r="17" spans="1:9" s="17" customFormat="1" ht="17" customHeight="1">
      <c r="B17" s="89" t="s">
        <v>526</v>
      </c>
      <c r="C17" s="90"/>
      <c r="E17" s="91" t="s">
        <v>527</v>
      </c>
      <c r="F17" s="213" t="s">
        <v>34</v>
      </c>
    </row>
    <row r="18" spans="1:9" s="17" customFormat="1" ht="15" customHeight="1">
      <c r="E18" s="96" t="s">
        <v>528</v>
      </c>
      <c r="F18" s="215">
        <v>12</v>
      </c>
    </row>
    <row r="19" spans="1:9" s="17" customFormat="1" ht="15" customHeight="1">
      <c r="E19" s="96" t="s">
        <v>529</v>
      </c>
      <c r="F19" s="214">
        <v>78</v>
      </c>
    </row>
    <row r="20" spans="1:9" s="17" customFormat="1" ht="15" customHeight="1">
      <c r="E20" s="96" t="s">
        <v>530</v>
      </c>
      <c r="F20" s="214">
        <v>32</v>
      </c>
    </row>
    <row r="21" spans="1:9" s="17" customFormat="1" ht="15" customHeight="1">
      <c r="E21" s="96" t="str">
        <f>IF('[2]Deploy Parameters'!J21 = "Yes", "ESA Disk 1", "Caching Disk")</f>
        <v>ESA Disk 1</v>
      </c>
      <c r="F21" s="214">
        <v>500</v>
      </c>
    </row>
    <row r="22" spans="1:9" ht="14" customHeight="1">
      <c r="A22" s="17"/>
      <c r="B22" s="17"/>
      <c r="C22" s="17"/>
      <c r="E22" s="96" t="str">
        <f>IF('[2]Deploy Parameters'!J21="Yes","ESA Disk 2","CapacityDisk")</f>
        <v>ESA Disk 2</v>
      </c>
      <c r="F22" s="214">
        <v>500</v>
      </c>
      <c r="G22" s="88"/>
      <c r="H22" s="88"/>
      <c r="I22" s="88"/>
    </row>
    <row r="23" spans="1:9">
      <c r="E23" s="96" t="s">
        <v>531</v>
      </c>
      <c r="F23" s="102" t="s">
        <v>532</v>
      </c>
      <c r="G23" s="88"/>
      <c r="H23" s="88"/>
      <c r="I23" s="88"/>
    </row>
    <row r="24" spans="1:9">
      <c r="E24" s="96" t="s">
        <v>537</v>
      </c>
      <c r="F24" s="102" t="s">
        <v>532</v>
      </c>
      <c r="G24" s="88"/>
      <c r="H24" s="88"/>
      <c r="I24" s="88"/>
    </row>
    <row r="25" spans="1:9">
      <c r="E25" s="96" t="s">
        <v>543</v>
      </c>
      <c r="F25" s="135" t="s">
        <v>544</v>
      </c>
      <c r="G25" s="88"/>
      <c r="H25" s="88"/>
      <c r="I25" s="88"/>
    </row>
    <row r="26" spans="1:9">
      <c r="G26" s="88"/>
      <c r="H26" s="88"/>
      <c r="I26" s="88"/>
    </row>
    <row r="27" spans="1:9">
      <c r="G27" s="88"/>
      <c r="H27" s="88"/>
      <c r="I27" s="88"/>
    </row>
    <row r="28" spans="1:9">
      <c r="G28" s="88"/>
      <c r="H28" s="88"/>
      <c r="I28" s="88"/>
    </row>
    <row r="29" spans="1:9">
      <c r="G29" s="88"/>
      <c r="H29" s="88"/>
      <c r="I29" s="88"/>
    </row>
    <row r="30" spans="1:9">
      <c r="G30" s="88"/>
      <c r="H30" s="88"/>
      <c r="I30" s="88"/>
    </row>
    <row r="31" spans="1:9">
      <c r="G31" s="88"/>
      <c r="H31" s="88"/>
      <c r="I31" s="88"/>
    </row>
    <row r="32" spans="1:9">
      <c r="G32" s="88"/>
      <c r="H32" s="88"/>
      <c r="I32" s="88"/>
    </row>
    <row r="33" spans="7:9">
      <c r="G33" s="88"/>
      <c r="H33" s="88"/>
      <c r="I33" s="88"/>
    </row>
    <row r="34" spans="7:9">
      <c r="G34" s="88"/>
      <c r="H34" s="88"/>
      <c r="I34" s="88"/>
    </row>
    <row r="35" spans="7:9">
      <c r="G35" s="88"/>
      <c r="H35" s="88"/>
      <c r="I35" s="88"/>
    </row>
    <row r="36" spans="7:9">
      <c r="G36" s="88"/>
      <c r="H36" s="88"/>
      <c r="I36" s="88"/>
    </row>
    <row r="37" spans="7:9">
      <c r="G37" s="88"/>
      <c r="H37" s="88"/>
      <c r="I37" s="88"/>
    </row>
    <row r="38" spans="7:9">
      <c r="G38" s="88"/>
      <c r="H38" s="88"/>
      <c r="I38" s="88"/>
    </row>
    <row r="39" spans="7:9">
      <c r="G39" s="88"/>
      <c r="H39" s="88"/>
      <c r="I39" s="88"/>
    </row>
    <row r="40" spans="7:9">
      <c r="G40" s="88"/>
      <c r="H40" s="88"/>
      <c r="I40" s="88"/>
    </row>
    <row r="41" spans="7:9">
      <c r="G41" s="88"/>
      <c r="H41" s="88"/>
      <c r="I41" s="88"/>
    </row>
    <row r="42" spans="7:9">
      <c r="G42" s="88"/>
      <c r="H42" s="88"/>
      <c r="I42" s="88"/>
    </row>
    <row r="43" spans="7:9">
      <c r="G43" s="88"/>
      <c r="H43" s="88"/>
      <c r="I43" s="88"/>
    </row>
    <row r="44" spans="7:9">
      <c r="G44" s="88"/>
      <c r="H44" s="88"/>
      <c r="I44" s="88"/>
    </row>
    <row r="45" spans="7:9">
      <c r="G45" s="88"/>
      <c r="H45" s="88"/>
      <c r="I45" s="88"/>
    </row>
    <row r="46" spans="7:9">
      <c r="G46" s="88"/>
      <c r="H46" s="88"/>
      <c r="I46" s="88"/>
    </row>
    <row r="47" spans="7:9">
      <c r="G47" s="88"/>
      <c r="H47" s="88"/>
      <c r="I47" s="88"/>
    </row>
    <row r="48" spans="7:9">
      <c r="G48" s="88"/>
      <c r="H48" s="88"/>
      <c r="I48" s="88"/>
    </row>
    <row r="49" spans="7:9">
      <c r="G49" s="88"/>
      <c r="H49" s="88"/>
      <c r="I49" s="88"/>
    </row>
    <row r="50" spans="7:9">
      <c r="G50" s="88"/>
      <c r="H50" s="88"/>
      <c r="I50" s="88"/>
    </row>
  </sheetData>
  <sheetProtection sheet="1" objects="1" scenarios="1"/>
  <conditionalFormatting sqref="B9 B23:B278">
    <cfRule type="cellIs" dxfId="23" priority="17" operator="equal">
      <formula>"✓"</formula>
    </cfRule>
  </conditionalFormatting>
  <conditionalFormatting sqref="F12:F15">
    <cfRule type="expression" dxfId="22" priority="18">
      <formula>LEN(TRIM(F12))=0</formula>
    </cfRule>
  </conditionalFormatting>
  <conditionalFormatting sqref="F12:F15">
    <cfRule type="containsText" dxfId="21" priority="19" operator="containsText" text="n/a">
      <formula>NOT(ISERROR(SEARCH("n/a",F12)))</formula>
    </cfRule>
  </conditionalFormatting>
  <conditionalFormatting sqref="B3">
    <cfRule type="cellIs" dxfId="20" priority="16" operator="equal">
      <formula>"✓"</formula>
    </cfRule>
  </conditionalFormatting>
  <conditionalFormatting sqref="F10 F18:F22">
    <cfRule type="expression" dxfId="19" priority="15" stopIfTrue="1">
      <formula>LEN(TRIM(F10))=0</formula>
    </cfRule>
  </conditionalFormatting>
  <conditionalFormatting sqref="F11">
    <cfRule type="expression" dxfId="18" priority="14" stopIfTrue="1">
      <formula>LEN(TRIM(F11))=0</formula>
    </cfRule>
  </conditionalFormatting>
  <conditionalFormatting sqref="F4:F7">
    <cfRule type="expression" dxfId="17" priority="13" stopIfTrue="1">
      <formula>LEN(TRIM(F4))=0</formula>
    </cfRule>
  </conditionalFormatting>
  <conditionalFormatting sqref="F13">
    <cfRule type="expression" dxfId="16" priority="12" stopIfTrue="1">
      <formula>LEN(TRIM(F13))=0</formula>
    </cfRule>
  </conditionalFormatting>
  <conditionalFormatting sqref="B17">
    <cfRule type="cellIs" dxfId="15" priority="11" operator="equal">
      <formula>"✓"</formula>
    </cfRule>
  </conditionalFormatting>
  <conditionalFormatting sqref="F23">
    <cfRule type="expression" dxfId="14" priority="10" stopIfTrue="1">
      <formula>LEN(TRIM(F23))=0</formula>
    </cfRule>
  </conditionalFormatting>
  <conditionalFormatting sqref="F24">
    <cfRule type="expression" dxfId="13" priority="9" stopIfTrue="1">
      <formula>LEN(TRIM(F24))=0</formula>
    </cfRule>
  </conditionalFormatting>
  <conditionalFormatting sqref="I4">
    <cfRule type="top10" dxfId="5" priority="163" rank="10"/>
  </conditionalFormatting>
  <conditionalFormatting sqref="I5">
    <cfRule type="expression" dxfId="4" priority="164" stopIfTrue="1">
      <formula>AND($F$25="Yes",#REF!="Yes")</formula>
    </cfRule>
  </conditionalFormatting>
  <conditionalFormatting sqref="F25">
    <cfRule type="expression" dxfId="1" priority="1">
      <formula>LEN(TRIM(F25))=0</formula>
    </cfRule>
  </conditionalFormatting>
  <conditionalFormatting sqref="F25">
    <cfRule type="containsText" dxfId="0" priority="2" operator="containsText" text="n/a">
      <formula>NOT(ISERROR(SEARCH("n/a",F25)))</formula>
    </cfRule>
  </conditionalFormatting>
  <dataValidations count="2">
    <dataValidation type="custom" allowBlank="1" showInputMessage="1" showErrorMessage="1" errorTitle="Invalid IP Address" error="Please enter a valid IP Address" sqref="F12 F14:F15 F25" xr:uid="{A79F5E7F-BD04-0249-95DB-7CB38A82AFCF}">
      <formula1>IF(ISNUMBER(VALUE(SUBSTITUTE(F12,".",""))),AND(--LEFT(F12,FIND(".",F12)-1)&lt;256,--MID(SUBSTITUTE(F12,".",REPT(" ",99)),99,99)&lt;256,--MID(SUBSTITUTE(F12,".",REPT(" ",99)),198,99)&lt;256,--RIGHT(SUBSTITUTE(F12,".",REPT(" ",99)),99)&lt;256),F12="n/a")</formula1>
      <formula2>0</formula2>
    </dataValidation>
    <dataValidation type="list" allowBlank="1" showInputMessage="1" showErrorMessage="1" errorTitle="Invalid IP Address" error="Please enter a valid IP Address" sqref="I5" xr:uid="{FD72CECC-10AD-2141-A78A-78A50F01E807}">
      <formula1>"Yes,No"</formula1>
      <formula2>0</formula2>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5"/>
  <sheetViews>
    <sheetView topLeftCell="A5" zoomScaleNormal="100" workbookViewId="0">
      <selection activeCell="A22" sqref="A22:A23"/>
    </sheetView>
  </sheetViews>
  <sheetFormatPr baseColWidth="10" defaultColWidth="11.5" defaultRowHeight="15"/>
  <cols>
    <col min="1" max="1" width="21.1640625" customWidth="1"/>
    <col min="3" max="3" width="86.33203125" customWidth="1"/>
  </cols>
  <sheetData>
    <row r="1" spans="1:3">
      <c r="A1" s="107" t="s">
        <v>100</v>
      </c>
      <c r="C1" s="107" t="s">
        <v>101</v>
      </c>
    </row>
    <row r="2" spans="1:3" ht="64">
      <c r="A2" t="s">
        <v>48</v>
      </c>
      <c r="C2" s="108" t="str">
        <f>"vSphere Distributed Switch = One (1)          /          Physical NICs = Two (2) or  Four (4)
Primary vDS - "&amp;vds_primary_name&amp;"
     -  Traffic for Management, vMotion, vSAN, Host Overlay - e.g. "&amp;vds_primary_vmnics&amp;""</f>
        <v>vSphere Distributed Switch = One (1)          /          Physical NICs = Two (2) or  Four (4)
Primary vDS - sfo-m01-cluster-001-vds-001
     -  Traffic for Management, vMotion, vSAN, Host Overlay - e.g. vmnic0,vmnic1</v>
      </c>
    </row>
    <row r="3" spans="1:3" ht="112">
      <c r="A3" t="s">
        <v>102</v>
      </c>
      <c r="C3" s="108" t="str">
        <f>"vSphere Distributed Switch = Two (2)          /          Physical NICs = Four (4)
Primary vDS - "&amp;vds_primary_name&amp;"
     - Traffic for Management,  vMotion, Host Overlay - e.g. "&amp;vds_primary_vmnics&amp;"
Secondary vDS - "&amp;vds_secondary_name&amp;"
     - Traffic for vSAN - e.g. "&amp;vds_secondary_vmnics</f>
        <v>vSphere Distributed Switch = Two (2)          /          Physical NICs = Four (4)
Primary vDS - sfo-m01-cluster-001-vds-001
     - Traffic for Management,  vMotion, Host Overlay - e.g. vmnic0,vmnic1
Secondary vDS - n/a
     - Traffic for vSAN - e.g. vmnic2,vmnic3</v>
      </c>
    </row>
    <row r="4" spans="1:3" ht="112">
      <c r="A4" t="s">
        <v>103</v>
      </c>
      <c r="C4" s="108" t="s">
        <v>104</v>
      </c>
    </row>
    <row r="5" spans="1:3" ht="112">
      <c r="A5" t="s">
        <v>105</v>
      </c>
      <c r="C5" s="108" t="str">
        <f>"vSphere Distributed Switch = Two (2)          /          Physical NICs = Four (4)
Primary vDS - "&amp;vds_primary_name&amp;"
     - Traffic for Management,  vMotion, vSAN - e.g. "&amp;vds_primary_vmnics&amp;"
Secondary vDS -"&amp;vds_secondary_name&amp;"
     - Traffic for Host Overlay - e.g. "&amp;vds_secondary_vmnics</f>
        <v>vSphere Distributed Switch = Two (2)          /          Physical NICs = Four (4)
Primary vDS - sfo-m01-cluster-001-vds-001
     - Traffic for Management,  vMotion, vSAN - e.g. vmnic0,vmnic1
Secondary vDS -n/a
     - Traffic for Host Overlay - e.g. vmnic2,vmnic3</v>
      </c>
    </row>
    <row r="6" spans="1:3">
      <c r="A6" t="s">
        <v>106</v>
      </c>
      <c r="C6" s="108"/>
    </row>
    <row r="7" spans="1:3">
      <c r="A7" t="s">
        <v>107</v>
      </c>
    </row>
    <row r="8" spans="1:3">
      <c r="A8" t="s">
        <v>108</v>
      </c>
    </row>
    <row r="9" spans="1:3">
      <c r="A9" t="s">
        <v>109</v>
      </c>
    </row>
    <row r="10" spans="1:3">
      <c r="A10" t="s">
        <v>110</v>
      </c>
    </row>
    <row r="11" spans="1:3">
      <c r="A11" t="s">
        <v>111</v>
      </c>
    </row>
    <row r="12" spans="1:3">
      <c r="A12" t="s">
        <v>112</v>
      </c>
    </row>
    <row r="13" spans="1:3">
      <c r="A13" t="s">
        <v>113</v>
      </c>
    </row>
    <row r="14" spans="1:3">
      <c r="A14" t="s">
        <v>382</v>
      </c>
    </row>
    <row r="15" spans="1:3">
      <c r="A15" t="s">
        <v>114</v>
      </c>
    </row>
    <row r="16" spans="1:3">
      <c r="A16" t="s">
        <v>115</v>
      </c>
    </row>
    <row r="17" spans="1:1">
      <c r="A17" t="s">
        <v>116</v>
      </c>
    </row>
    <row r="18" spans="1:1">
      <c r="A18" t="s">
        <v>117</v>
      </c>
    </row>
    <row r="19" spans="1:1">
      <c r="A19" t="s">
        <v>118</v>
      </c>
    </row>
    <row r="20" spans="1:1">
      <c r="A20" t="s">
        <v>119</v>
      </c>
    </row>
    <row r="21" spans="1:1">
      <c r="A21" t="s">
        <v>120</v>
      </c>
    </row>
    <row r="22" spans="1:1">
      <c r="A22" t="s">
        <v>121</v>
      </c>
    </row>
    <row r="23" spans="1:1">
      <c r="A23" t="s">
        <v>122</v>
      </c>
    </row>
    <row r="24" spans="1:1">
      <c r="A24" t="s">
        <v>383</v>
      </c>
    </row>
    <row r="25" spans="1:1">
      <c r="A25" t="s">
        <v>384</v>
      </c>
    </row>
  </sheetData>
  <sheetProtection sheet="1" objects="1" scenarios="1"/>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87"/>
  <sheetViews>
    <sheetView topLeftCell="A151" zoomScale="140" zoomScaleNormal="140" workbookViewId="0">
      <selection activeCell="A155" sqref="A155"/>
    </sheetView>
  </sheetViews>
  <sheetFormatPr baseColWidth="10" defaultColWidth="8.83203125" defaultRowHeight="15"/>
  <cols>
    <col min="1" max="1" width="120.83203125" style="109" customWidth="1"/>
    <col min="2" max="2" width="78.83203125" style="109" customWidth="1"/>
    <col min="3" max="1024" width="8.83203125" style="109"/>
  </cols>
  <sheetData>
    <row r="1" spans="1:2">
      <c r="A1" s="109" t="s">
        <v>123</v>
      </c>
    </row>
    <row r="2" spans="1:2">
      <c r="A2" s="110" t="str">
        <f>"workflow-type=VCF"</f>
        <v>workflow-type=VCF</v>
      </c>
      <c r="B2" s="109" t="s">
        <v>433</v>
      </c>
    </row>
    <row r="3" spans="1:2">
      <c r="A3" s="110" t="str">
        <f>(IF('Deploy Parameters'!K8="Yes","CeipEnabled=true","CeipEnabled=false"))</f>
        <v>CeipEnabled=false</v>
      </c>
      <c r="B3" s="109" t="s">
        <v>124</v>
      </c>
    </row>
    <row r="4" spans="1:2">
      <c r="A4" s="110" t="str">
        <f>(IF('Deploy Parameters'!K9="Yes","FipsEnabled=true","FipsEnabled=false"))</f>
        <v>FipsEnabled=false</v>
      </c>
      <c r="B4" s="109" t="s">
        <v>125</v>
      </c>
    </row>
    <row r="5" spans="1:2">
      <c r="A5" s="110" t="str">
        <f>"workflowVersion.vcf-ems="&amp;RIGHT(Introduction!F3,5)</f>
        <v>workflowVersion.vcf-ems=5.2.0</v>
      </c>
      <c r="B5" s="109" t="s">
        <v>126</v>
      </c>
    </row>
    <row r="6" spans="1:2">
      <c r="A6" s="110" t="str">
        <f>(IF('Deploy Parameters'!F11="Yes","DeployWithoutLicenseKeys=false",IF('Deploy Parameters'!F11="No","DeployWithoutLicenseKeys=true","")))</f>
        <v>DeployWithoutLicenseKeys=true</v>
      </c>
      <c r="B6" s="109" t="s">
        <v>467</v>
      </c>
    </row>
    <row r="8" spans="1:2" s="109" customFormat="1">
      <c r="A8" s="109" t="s">
        <v>127</v>
      </c>
    </row>
    <row r="9" spans="1:2" s="109" customFormat="1">
      <c r="A9" s="109" t="s">
        <v>128</v>
      </c>
    </row>
    <row r="10" spans="1:2">
      <c r="A10" s="110" t="str">
        <f>IF('Deploy Parameters'!F8="n/a","ntp-server@address=","ntp-server@address="&amp;'Deploy Parameters'!F8)</f>
        <v>ntp-server@address=192.168.0.1</v>
      </c>
      <c r="B10" s="109" t="s">
        <v>129</v>
      </c>
    </row>
    <row r="11" spans="1:2">
      <c r="A11" s="110" t="str">
        <f>IF('Deploy Parameters'!F9="n/a","remote-site-ntp-server@address=","remote-site-ntp-server@address="&amp;'Deploy Parameters'!F9)</f>
        <v>remote-site-ntp-server@address=</v>
      </c>
      <c r="B11" s="109" t="s">
        <v>129</v>
      </c>
    </row>
    <row r="12" spans="1:2">
      <c r="A12" s="109" t="s">
        <v>130</v>
      </c>
    </row>
    <row r="13" spans="1:2">
      <c r="A13" s="110" t="str">
        <f>IF('Deploy Parameters'!J7="child","root-dns-records@zoneName="&amp;'Deploy Parameters'!#REF!,"root-dns-records@zoneName="&amp;'Deploy Parameters'!J6)</f>
        <v>root-dns-records@zoneName=vcf.lab.local</v>
      </c>
      <c r="B13" s="109" t="s">
        <v>131</v>
      </c>
    </row>
    <row r="14" spans="1:2">
      <c r="A14" s="110" t="str">
        <f>"managementNetwork.primaryDns="&amp;'Deploy Parameters'!F6</f>
        <v>managementNetwork.primaryDns=192.168.0.250</v>
      </c>
      <c r="B14" s="109" t="s">
        <v>132</v>
      </c>
    </row>
    <row r="15" spans="1:2">
      <c r="A15" s="110" t="str">
        <f>IF('Deploy Parameters'!J6="n/a","local-dns-records@zoneName="&amp;'Deploy Parameters'!J6,"local-dns-records@zoneName="&amp;'Deploy Parameters'!J6)</f>
        <v>local-dns-records@zoneName=vcf.lab.local</v>
      </c>
      <c r="B15" s="109" t="s">
        <v>133</v>
      </c>
    </row>
    <row r="16" spans="1:2">
      <c r="A16" s="110" t="str">
        <f>IF('Deploy Parameters'!F7="n/a","managementNetwork.secondaryDns=","managementNetwork.secondaryDns="&amp;'Deploy Parameters'!F7)</f>
        <v>managementNetwork.secondaryDns=</v>
      </c>
      <c r="B16" s="109" t="s">
        <v>134</v>
      </c>
    </row>
    <row r="17" spans="1:2">
      <c r="A17" s="111"/>
    </row>
    <row r="18" spans="1:2">
      <c r="A18" s="109" t="s">
        <v>135</v>
      </c>
    </row>
    <row r="19" spans="1:2" s="109" customFormat="1">
      <c r="A19" s="110" t="str">
        <f>"sddc-manager-root-credentials="&amp;Credentials!C17</f>
        <v>sddc-manager-root-credentials=Pata2Pata1Pata!</v>
      </c>
      <c r="B19" s="109" t="s">
        <v>136</v>
      </c>
    </row>
    <row r="20" spans="1:2">
      <c r="A20" s="110" t="str">
        <f>"sddc-manager-superuser-credentials="&amp;Credentials!C18</f>
        <v>sddc-manager-superuser-credentials=Pata2Pata1Pata!</v>
      </c>
      <c r="B20" s="109" t="s">
        <v>137</v>
      </c>
    </row>
    <row r="21" spans="1:2">
      <c r="A21" s="110" t="str">
        <f>"sddc-manager-localUser-credentials="&amp;Credentials!C19</f>
        <v>sddc-manager-localUser-credentials=Pata2Pata1Pata!</v>
      </c>
      <c r="B21" s="109" t="s">
        <v>138</v>
      </c>
    </row>
    <row r="22" spans="1:2">
      <c r="A22" s="110" t="str">
        <f>IF('Deploy Parameters'!F46&lt;&gt;"n/a","sddcManagerIp.Address="&amp;'Deploy Parameters'!F46,"sddcManagerIp.Address=")</f>
        <v>sddcManagerIp.Address=192.168.10.203</v>
      </c>
      <c r="B22" s="109" t="s">
        <v>139</v>
      </c>
    </row>
    <row r="23" spans="1:2">
      <c r="A23" s="110" t="str">
        <f>"sddcManager-deployment-vmname="&amp;'Deploy Parameters'!F45</f>
        <v>sddcManager-deployment-vmname=sfo-vcf01</v>
      </c>
      <c r="B23" s="109" t="s">
        <v>140</v>
      </c>
    </row>
    <row r="24" spans="1:2">
      <c r="A24" s="110" t="str">
        <f>IF('Deploy Parameters'!F47&lt;&gt;"n/a","sddcManager-HostPoolName="&amp;'Deploy Parameters'!F47,"sddcManager-HostPoolName=")</f>
        <v>sddcManager-HostPoolName=networkpool-001</v>
      </c>
      <c r="B24" s="109" t="s">
        <v>141</v>
      </c>
    </row>
    <row r="25" spans="1:2">
      <c r="A25" s="110" t="str">
        <f>IF('Deploy Parameters'!F49="n/a","sddcManager-mgmt-domainName=","sddcManager-mgmt-domainName="&amp;'Deploy Parameters'!F49)</f>
        <v>sddcManager-mgmt-domainName=sfo-m01</v>
      </c>
    </row>
    <row r="27" spans="1:2">
      <c r="A27" s="109" t="s">
        <v>142</v>
      </c>
    </row>
    <row r="28" spans="1:2">
      <c r="A28" s="110" t="str">
        <f>IF('Deploy Parameters'!F14="n/a","mgmt-vcenter-6-license@key=","mgmt-vcenter-6-license@key="&amp;'Deploy Parameters'!F14)</f>
        <v>mgmt-vcenter-6-license@key=V50P1-LD116-K8XN1-LH88M-C1929</v>
      </c>
      <c r="B28" s="109" t="s">
        <v>143</v>
      </c>
    </row>
    <row r="29" spans="1:2">
      <c r="A29" s="110" t="str">
        <f>"vcenter-root-credentials@password="&amp;Credentials!C11</f>
        <v>vcenter-root-credentials@password=Pata2Pata1Pata!</v>
      </c>
      <c r="B29" s="109" t="s">
        <v>144</v>
      </c>
    </row>
    <row r="30" spans="1:2">
      <c r="A30" s="110" t="str">
        <f>IF('Deploy Parameters'!G18="n/a","vcenterManagementIp.address=","vcenterManagementIp.address="&amp;'Deploy Parameters'!G18)</f>
        <v>vcenterManagementIp.address=192.168.10.202</v>
      </c>
      <c r="B30" s="109" t="s">
        <v>145</v>
      </c>
    </row>
    <row r="31" spans="1:2">
      <c r="A31" s="110" t="str">
        <f>IF('Deploy Parameters'!F18&lt;&gt;"n/a","vcenter-mgmt-deployment-vmname="&amp;'Deploy Parameters'!F18,"vcenter-mgmt-deployment-vmname=")</f>
        <v>vcenter-mgmt-deployment-vmname=sfo-m01-vc01</v>
      </c>
      <c r="B31" s="109" t="s">
        <v>146</v>
      </c>
    </row>
    <row r="32" spans="1:2">
      <c r="A32" s="112" t="str">
        <f>"vcenter-mgmt-deployment@deploymentModel="&amp;'Deploy Parameters'!F19</f>
        <v>vcenter-mgmt-deployment@deploymentModel=small</v>
      </c>
      <c r="B32" s="109" t="s">
        <v>147</v>
      </c>
    </row>
    <row r="33" spans="1:2">
      <c r="A33" s="112" t="str">
        <f>IF('Deploy Parameters'!F20="default","vcenter-mgmt-deployment-storageSize=",IF('Deploy Parameters'!F20="large","vcenter-mgmt-deployment-storageSize=lstorage",IF('Deploy Parameters'!F20="xlarge","vcenter-mgmt-deployment-storageSize=xlstorage","vcenter-mgmt-deployment-storageSize=")))</f>
        <v>vcenter-mgmt-deployment-storageSize=</v>
      </c>
    </row>
    <row r="34" spans="1:2">
      <c r="A34" s="109" t="s">
        <v>148</v>
      </c>
    </row>
    <row r="35" spans="1:2">
      <c r="A35" s="110" t="str">
        <f>"vcenter-admin-credentials@password="&amp;Credentials!C10</f>
        <v>vcenter-admin-credentials@password=Pata2Pata1Pata!</v>
      </c>
      <c r="B35" s="109" t="s">
        <v>149</v>
      </c>
    </row>
    <row r="36" spans="1:2">
      <c r="A36" s="111"/>
    </row>
    <row r="37" spans="1:2">
      <c r="A37" s="109" t="s">
        <v>150</v>
      </c>
    </row>
    <row r="38" spans="1:2">
      <c r="A38" s="110" t="str">
        <f>IF('Deploy Parameters'!F13="n/a","vsan-license@key=","vsan-license@key="&amp;'Deploy Parameters'!F13)</f>
        <v>vsan-license@key=CM4YL-JD046-K8TN0-LC18K-0J327</v>
      </c>
      <c r="B38" s="109" t="s">
        <v>151</v>
      </c>
    </row>
    <row r="39" spans="1:2">
      <c r="A39" s="112" t="str">
        <f>IF('Deploy Parameters'!J19="n/a","management-vsan-datastore-name@value=","management-vsan-datastore-name@value="&amp;'Deploy Parameters'!J19)</f>
        <v>management-vsan-datastore-name@value=sfo-m01-cluster-001-vsan</v>
      </c>
      <c r="B39" s="109" t="s">
        <v>152</v>
      </c>
    </row>
    <row r="40" spans="1:2">
      <c r="A40" s="113" t="str">
        <f>IF(AND('Deploy Parameters'!J20="Yes",'Deploy Parameters'!J21="No"),"enableVsanDeduplication=true","enableVsanDeduplication=false")</f>
        <v>enableVsanDeduplication=false</v>
      </c>
      <c r="B40" s="109" t="s">
        <v>153</v>
      </c>
    </row>
    <row r="41" spans="1:2">
      <c r="A41" s="113" t="str">
        <f>IF(AND('Deploy Parameters'!J21="Yes",'Deploy Parameters'!F25="Yes"),"enable-vsan-esa=true","enable-vsan-esa=false")</f>
        <v>enable-vsan-esa=true</v>
      </c>
      <c r="B41" s="109" t="s">
        <v>390</v>
      </c>
    </row>
    <row r="42" spans="1:2">
      <c r="A42" s="113" t="str">
        <f>IF(AND('Deploy Parameters'!J21="Yes",'Deploy Parameters'!J22&lt;&gt;"n/a"),"hcl-file-path="&amp;'Deploy Parameters'!J22,"hcl-file-path=")</f>
        <v>hcl-file-path=/home/admin/nested-esxi-vsan-esa-hcl.json</v>
      </c>
      <c r="B42" s="109" t="s">
        <v>391</v>
      </c>
    </row>
    <row r="43" spans="1:2">
      <c r="A43" s="113" t="str">
        <f>IF(AND('Deploy Parameters'!J26="Yes",'Deploy Parameters'!J27&lt;&gt;"n/a"),"proxy-host="&amp;'Deploy Parameters'!J27,"proxy-host=")</f>
        <v>proxy-host=</v>
      </c>
      <c r="B43" s="109" t="s">
        <v>392</v>
      </c>
    </row>
    <row r="44" spans="1:2">
      <c r="A44" s="113" t="str">
        <f>IF(AND('Deploy Parameters'!J26="Yes",'Deploy Parameters'!J28&lt;&gt;"n/a"),"proxy-port="&amp;'Deploy Parameters'!J28,"proxy-port=")</f>
        <v>proxy-port=</v>
      </c>
      <c r="B44" s="109" t="s">
        <v>393</v>
      </c>
    </row>
    <row r="45" spans="1:2">
      <c r="A45" s="113" t="str">
        <f>IF(AND('Deploy Parameters'!J26="Yes",'Deploy Parameters'!J29&lt;&gt;"n/a"),"proxy-username="&amp;'Deploy Parameters'!J29,"proxy-username=")</f>
        <v>proxy-username=</v>
      </c>
      <c r="B45" s="109" t="s">
        <v>404</v>
      </c>
    </row>
    <row r="46" spans="1:2">
      <c r="A46" s="113" t="str">
        <f>IF(AND('Deploy Parameters'!J26="Yes",'Deploy Parameters'!J30&lt;&gt;"n/a"),"proxy-password="&amp;'Deploy Parameters'!J30,"proxy-password=")</f>
        <v>proxy-password=</v>
      </c>
      <c r="B46" s="109" t="s">
        <v>405</v>
      </c>
    </row>
    <row r="47" spans="1:2">
      <c r="A47" s="113" t="str">
        <f>IF('Deploy Parameters'!J26="Yes","proxy-transfer-protocol="&amp;'Deploy Parameters'!J31,"proxy-transfer-protocol=")</f>
        <v>proxy-transfer-protocol=</v>
      </c>
      <c r="B47" s="109" t="s">
        <v>406</v>
      </c>
    </row>
    <row r="48" spans="1:2">
      <c r="A48" s="113" t="str">
        <f>IF(AND('Deploy Parameters'!J26="Yes",'Deploy Parameters'!J31="HTTPS",'Deploy Parameters'!J32&lt;&gt;"n/a"),"proxy-certificate="&amp;'Deploy Parameters'!L34,"proxy-certificate=")</f>
        <v>proxy-certificate=</v>
      </c>
      <c r="B48" s="109" t="s">
        <v>419</v>
      </c>
    </row>
    <row r="50" spans="1:2" s="109" customFormat="1">
      <c r="A50" s="109" t="s">
        <v>154</v>
      </c>
    </row>
    <row r="51" spans="1:2" s="109" customFormat="1">
      <c r="A51" s="109" t="s">
        <v>155</v>
      </c>
    </row>
    <row r="52" spans="1:2">
      <c r="A52" s="110" t="str">
        <f>"cloud-subscription-license@key="</f>
        <v>cloud-subscription-license@key=</v>
      </c>
    </row>
    <row r="53" spans="1:2">
      <c r="A53" s="109" t="s">
        <v>156</v>
      </c>
    </row>
    <row r="54" spans="1:2">
      <c r="A54" s="110" t="str">
        <f>IF('Deploy Parameters'!F12="n/a","vcloud-suite-license@key=","vcloud-suite-license@key="&amp;'Deploy Parameters'!F12)</f>
        <v>vcloud-suite-license@key=ZJ6LV-ZD2DM-P8RN0-LH1K4-2EV39</v>
      </c>
      <c r="B54" s="109" t="s">
        <v>157</v>
      </c>
    </row>
    <row r="55" spans="1:2">
      <c r="A55" s="109" t="s">
        <v>158</v>
      </c>
    </row>
    <row r="56" spans="1:2" s="109" customFormat="1">
      <c r="A56" s="110" t="str">
        <f>"esxi.username="&amp;Credentials!B8</f>
        <v>esxi.username=root</v>
      </c>
      <c r="B56" s="109" t="s">
        <v>159</v>
      </c>
    </row>
    <row r="57" spans="1:2" s="109" customFormat="1">
      <c r="A57" s="110" t="str">
        <f>"esxi.password="&amp;Credentials!C8</f>
        <v>esxi.password=Pata2Pata1Pata!</v>
      </c>
      <c r="B57" s="109" t="s">
        <v>160</v>
      </c>
    </row>
    <row r="58" spans="1:2" s="109" customFormat="1">
      <c r="A58" s="109" t="s">
        <v>161</v>
      </c>
    </row>
    <row r="59" spans="1:2" s="109" customFormat="1">
      <c r="A59" s="110" t="str">
        <f>IF('Hosts and Networks'!I7="n/a","esxi.mgmt-1.address=","esxi.mgmt-1.address="&amp;'Hosts and Networks'!I7)</f>
        <v>esxi.mgmt-1.address=192.168.10.100</v>
      </c>
      <c r="B59" s="109" t="s">
        <v>162</v>
      </c>
    </row>
    <row r="60" spans="1:2">
      <c r="A60" s="110" t="str">
        <f>IF('Hosts and Networks'!I6="n/a","esxi.mgmt-1.hostname=","esxi.mgmt-1.hostname="&amp;'Hosts and Networks'!I6)</f>
        <v>esxi.mgmt-1.hostname=vcf42-esx01</v>
      </c>
      <c r="B60" s="109" t="s">
        <v>163</v>
      </c>
    </row>
    <row r="61" spans="1:2">
      <c r="A61" s="110" t="str">
        <f>IF('Hosts and Networks'!J7="n/a","esxi.mgmt-2.address=","esxi.mgmt-2.address="&amp;'Hosts and Networks'!J7)</f>
        <v>esxi.mgmt-2.address=192.168.10.101</v>
      </c>
      <c r="B61" s="109" t="s">
        <v>162</v>
      </c>
    </row>
    <row r="62" spans="1:2">
      <c r="A62" s="110" t="str">
        <f>IF('Hosts and Networks'!J6="n/a","esxi.mgmt-2.hostname=","esxi.mgmt-2.hostname="&amp;'Hosts and Networks'!J6)</f>
        <v>esxi.mgmt-2.hostname=vcf42-esx02</v>
      </c>
      <c r="B62" s="109" t="s">
        <v>163</v>
      </c>
    </row>
    <row r="63" spans="1:2">
      <c r="A63" s="110" t="str">
        <f>IF('Hosts and Networks'!K7="n/a","esxi.mgmt-3.address=","esxi.mgmt-3.address="&amp;'Hosts and Networks'!K7)</f>
        <v>esxi.mgmt-3.address=192.168.10.102</v>
      </c>
      <c r="B63" s="109" t="s">
        <v>162</v>
      </c>
    </row>
    <row r="64" spans="1:2">
      <c r="A64" s="110" t="str">
        <f>IF('Hosts and Networks'!K6="n/a","esxi.mgmt-3.hostname=","esxi.mgmt-3.hostname="&amp;'Hosts and Networks'!K6)</f>
        <v>esxi.mgmt-3.hostname=vcf42-esx03</v>
      </c>
      <c r="B64" s="109" t="s">
        <v>163</v>
      </c>
    </row>
    <row r="65" spans="1:2">
      <c r="A65" s="110" t="str">
        <f>IF('Hosts and Networks'!L7="n/a","esxi.mgmt-4.address=","esxi.mgmt-4.address="&amp;'Hosts and Networks'!L7)</f>
        <v>esxi.mgmt-4.address=192.168.10.103</v>
      </c>
      <c r="B65" s="109" t="s">
        <v>162</v>
      </c>
    </row>
    <row r="66" spans="1:2">
      <c r="A66" s="110" t="str">
        <f>IF('Hosts and Networks'!L6="n/a","esxi.mgmt-4.hostname=","esxi.mgmt-4.hostname="&amp;'Hosts and Networks'!L6)</f>
        <v>esxi.mgmt-4.hostname=vcf42-esx04</v>
      </c>
      <c r="B66" s="109" t="s">
        <v>163</v>
      </c>
    </row>
    <row r="67" spans="1:2">
      <c r="A67" s="109" t="s">
        <v>164</v>
      </c>
    </row>
    <row r="68" spans="1:2">
      <c r="A68" s="110" t="str">
        <f>IF('Hosts and Networks'!K12="Yes","skipThumbprintValidation=false",IF('Hosts and Networks'!K12="No","skipThumbprintValidation=true"))</f>
        <v>skipThumbprintValidation=true</v>
      </c>
      <c r="B68" s="109" t="s">
        <v>165</v>
      </c>
    </row>
    <row r="69" spans="1:2">
      <c r="A69" s="109" t="s">
        <v>166</v>
      </c>
    </row>
    <row r="70" spans="1:2">
      <c r="A70" s="110" t="str">
        <f>IF('Hosts and Networks'!J15="n/a","esxi.mgmt-1.sshThumbprint=","esxi.mgmt-1.sshThumbprint="&amp;'Hosts and Networks'!J15)</f>
        <v>esxi.mgmt-1.sshThumbprint=</v>
      </c>
    </row>
    <row r="71" spans="1:2">
      <c r="A71" s="110" t="str">
        <f>IF('Hosts and Networks'!J16="n/a","esxi.mgmt-2.sshThumbprint=","esxi.mgmt-2.sshThumbprint="&amp;'Hosts and Networks'!J16)</f>
        <v>esxi.mgmt-2.sshThumbprint=</v>
      </c>
    </row>
    <row r="72" spans="1:2">
      <c r="A72" s="110" t="str">
        <f>IF('Hosts and Networks'!J17="n/a","esxi.mgmt-3.sshThumbprint=","esxi.mgmt-3.sshThumbprint="&amp;'Hosts and Networks'!J17)</f>
        <v>esxi.mgmt-3.sshThumbprint=</v>
      </c>
    </row>
    <row r="73" spans="1:2">
      <c r="A73" s="110" t="str">
        <f>IF('Hosts and Networks'!J18="n/a","esxi.mgmt-4.sshThumbprint=","esxi.mgmt-4.sshThumbprint="&amp;'Hosts and Networks'!J18)</f>
        <v>esxi.mgmt-4.sshThumbprint=</v>
      </c>
    </row>
    <row r="74" spans="1:2">
      <c r="A74" s="109" t="s">
        <v>167</v>
      </c>
    </row>
    <row r="75" spans="1:2">
      <c r="A75" s="110" t="str">
        <f>IF('Hosts and Networks'!L15="n/a","esxi.mgmt-1.sslThumbprint=","esxi.mgmt-1.sslThumbprint="&amp;'Hosts and Networks'!L15)</f>
        <v>esxi.mgmt-1.sslThumbprint=</v>
      </c>
    </row>
    <row r="76" spans="1:2">
      <c r="A76" s="110" t="str">
        <f>IF('Hosts and Networks'!L16="n/a","esxi.mgmt-2.sslThumbprint=","esxi.mgmt-2.sslThumbprint="&amp;'Hosts and Networks'!L16)</f>
        <v>esxi.mgmt-2.sslThumbprint=</v>
      </c>
    </row>
    <row r="77" spans="1:2">
      <c r="A77" s="110" t="str">
        <f>IF('Hosts and Networks'!L17="n/a","esxi.mgmt-3.sslThumbprint=","esxi.mgmt-3.sslThumbprint="&amp;'Hosts and Networks'!L17)</f>
        <v>esxi.mgmt-3.sslThumbprint=</v>
      </c>
    </row>
    <row r="78" spans="1:2">
      <c r="A78" s="110" t="str">
        <f>IF('Hosts and Networks'!L18="n/a","esxi.mgmt-4.sslThumbprint=","esxi.mgmt-4.sslThumbprint="&amp;'Hosts and Networks'!L18)</f>
        <v>esxi.mgmt-4.sslThumbprint=</v>
      </c>
    </row>
    <row r="80" spans="1:2">
      <c r="A80" s="109" t="s">
        <v>168</v>
      </c>
    </row>
    <row r="81" spans="1:2">
      <c r="A81" s="110" t="str">
        <f>IF('Deploy Parameters'!F23="n/a","mgmt-datacenter-name=","mgmt-datacenter-name="&amp;'Deploy Parameters'!F23)</f>
        <v>mgmt-datacenter-name=sfo-m01-datacenter</v>
      </c>
      <c r="B81" s="109" t="s">
        <v>169</v>
      </c>
    </row>
    <row r="82" spans="1:2">
      <c r="A82" s="110" t="str">
        <f>IF('Deploy Parameters'!F24="n/a","management-cluster-name=","management-cluster-name="&amp;'Deploy Parameters'!F24)</f>
        <v>management-cluster-name=sfo-m01-cluster-001</v>
      </c>
      <c r="B82" s="109" t="s">
        <v>170</v>
      </c>
    </row>
    <row r="83" spans="1:2">
      <c r="A83" s="110" t="str">
        <f>IF('Deploy Parameters'!F26="n/a","evc-mode-management-cluster@value=","evc-mode-management-cluster@value="&amp;'Deploy Parameters'!F26)</f>
        <v>evc-mode-management-cluster@value=amd-zen</v>
      </c>
      <c r="B83" s="109" t="s">
        <v>171</v>
      </c>
    </row>
    <row r="84" spans="1:2">
      <c r="A84" s="110" t="str">
        <f>(IF('Deploy Parameters'!F25="Yes","cluster_image_enabled=true","cluster_image_enabled=false"))</f>
        <v>cluster_image_enabled=true</v>
      </c>
      <c r="B84" s="109" t="s">
        <v>377</v>
      </c>
    </row>
    <row r="85" spans="1:2">
      <c r="A85" s="109" t="s">
        <v>172</v>
      </c>
    </row>
    <row r="86" spans="1:2">
      <c r="A86" s="110" t="str">
        <f>IF('Deploy Parameters'!F28="Standard","skipResourcePoolCreation=true","skipResourcePoolCreation=false")</f>
        <v>skipResourcePoolCreation=true</v>
      </c>
    </row>
    <row r="87" spans="1:2">
      <c r="A87" s="112" t="str">
        <f>IF(OR('Deploy Parameters'!F28="Standard",'Deploy Parameters'!F30="n/a"),"vsphere-resource-pools[1]=","vsphere-resource-pools[1]="&amp;'Deploy Parameters'!F30)</f>
        <v>vsphere-resource-pools[1]=</v>
      </c>
      <c r="B87" s="109" t="s">
        <v>173</v>
      </c>
    </row>
    <row r="88" spans="1:2">
      <c r="A88" s="112" t="str">
        <f>IF(OR('Deploy Parameters'!F28="Standard",'Deploy Parameters'!F31="n/a"),"vsphere-resource-pools[2]=","vsphere-resource-pools[2]="&amp;'Deploy Parameters'!F31)</f>
        <v>vsphere-resource-pools[2]=</v>
      </c>
      <c r="B88" s="109" t="s">
        <v>173</v>
      </c>
    </row>
    <row r="89" spans="1:2">
      <c r="A89" s="112" t="str">
        <f>IF(OR('Deploy Parameters'!F28="Standard",'Deploy Parameters'!F32="n/a"),"vsphere-resource-pools[3]=","vsphere-resource-pools[3]="&amp;'Deploy Parameters'!F32)</f>
        <v>vsphere-resource-pools[3]=</v>
      </c>
      <c r="B89" s="109" t="s">
        <v>173</v>
      </c>
    </row>
    <row r="90" spans="1:2">
      <c r="A90"/>
    </row>
    <row r="91" spans="1:2">
      <c r="A91" s="109" t="s">
        <v>174</v>
      </c>
    </row>
    <row r="92" spans="1:2">
      <c r="A92" s="112" t="str">
        <f>IF('Hosts and Networks'!E13="n/a","vds-primary-switchName=","vds-primary-switchName="&amp;'Hosts and Networks'!E13)</f>
        <v>vds-primary-switchName=sfo-m01-cluster-001-vds-001</v>
      </c>
      <c r="B92" s="109" t="s">
        <v>175</v>
      </c>
    </row>
    <row r="93" spans="1:2">
      <c r="A93" s="112" t="str">
        <f>IF('Hosts and Networks'!E14="n/a","vds-primary-vmnics=","vds-primary-vmnics="&amp;'Hosts and Networks'!E14)</f>
        <v>vds-primary-vmnics=vmnic0,vmnic1</v>
      </c>
      <c r="B93" s="109" t="s">
        <v>176</v>
      </c>
    </row>
    <row r="94" spans="1:2">
      <c r="A94" s="112" t="str">
        <f>IF('Hosts and Networks'!E15="n/a","vds-primary-mtu=","vds-primary-mtu="&amp;'Hosts and Networks'!E15)</f>
        <v>vds-primary-mtu=9000</v>
      </c>
      <c r="B94" s="109" t="s">
        <v>177</v>
      </c>
    </row>
    <row r="95" spans="1:2">
      <c r="A95" s="112" t="str">
        <f>IF(OR('Hosts and Networks'!E16="Overlay/VLAN",'Hosts and Networks'!E16="Overlay"),"vds-primary-tz-overlay=true","vds-primary-tz-overlay=false")</f>
        <v>vds-primary-tz-overlay=true</v>
      </c>
    </row>
    <row r="96" spans="1:2">
      <c r="A96" s="112" t="str">
        <f>IF(OR('Hosts and Networks'!E16="Overlay/VLAN",'Hosts and Networks'!E16="VLAN"),"vds-primary-tz-vlan=true","vds-primary-tz-vlan=false")</f>
        <v>vds-primary-tz-vlan=true</v>
      </c>
    </row>
    <row r="97" spans="1:2">
      <c r="A97" s="112" t="str">
        <f>IF('Hosts and Networks'!E18="n/a","vds-secondary-switchName=","vds-secondary-switchName="&amp;'Hosts and Networks'!E18)</f>
        <v>vds-secondary-switchName=</v>
      </c>
      <c r="B97" s="109" t="s">
        <v>175</v>
      </c>
    </row>
    <row r="98" spans="1:2">
      <c r="A98" s="112" t="str">
        <f>IF('Hosts and Networks'!E18="n/a","vds-secondary-vmnics=","vds-secondary-vmnics="&amp;'Hosts and Networks'!E20)</f>
        <v>vds-secondary-vmnics=</v>
      </c>
      <c r="B98" s="109" t="s">
        <v>176</v>
      </c>
    </row>
    <row r="99" spans="1:2">
      <c r="A99" s="112" t="str">
        <f>IF('Hosts and Networks'!E18="n/a","vds-secondary-mtu=","vds-secondary-mtu="&amp;'Hosts and Networks'!E21)</f>
        <v>vds-secondary-mtu=</v>
      </c>
      <c r="B99" s="109" t="s">
        <v>177</v>
      </c>
    </row>
    <row r="100" spans="1:2">
      <c r="A100" s="112" t="str">
        <f>IF('Hosts and Networks'!E23&lt;&gt;"Profile-1",IF(OR('Hosts and Networks'!E19="Overlay/VLAN",'Hosts and Networks'!E19="Overlay"),"vds-secondary-tz-overlay=true","vds-secondary-tz-overlay=false"),"vds-secondary-tz-overlay=false")</f>
        <v>vds-secondary-tz-overlay=false</v>
      </c>
    </row>
    <row r="101" spans="1:2">
      <c r="A101" s="112" t="str">
        <f>IF('Hosts and Networks'!E23&lt;&gt;"Profile-1",IF(OR('Hosts and Networks'!E19="Overlay/VLAN",'Hosts and Networks'!E19="VLAN"),"vds-secondary-tz-vlan=true","vds-secondary-tz-vlan=false"),"vds-secondary-tz-vlan=false")</f>
        <v>vds-secondary-tz-vlan=false</v>
      </c>
    </row>
    <row r="102" spans="1:2">
      <c r="A102" s="110" t="str">
        <f>"vds-profile="&amp;'Hosts and Networks'!E23</f>
        <v>vds-profile=Profile-1</v>
      </c>
    </row>
    <row r="103" spans="1:2">
      <c r="A103"/>
    </row>
    <row r="104" spans="1:2">
      <c r="A104" s="109" t="s">
        <v>178</v>
      </c>
    </row>
    <row r="105" spans="1:2">
      <c r="A105" s="110" t="str">
        <f>"managementNetwork.cidrNotation="&amp;'Hosts and Networks'!E8</f>
        <v>managementNetwork.cidrNotation=192.168.10.0/24</v>
      </c>
      <c r="B105" s="109" t="s">
        <v>179</v>
      </c>
    </row>
    <row r="106" spans="1:2">
      <c r="A106" s="110" t="str">
        <f>IF('Hosts and Networks'!F8="n/a","managementNetwork.gateway=","managementNetwork.gateway="&amp;'Hosts and Networks'!F8)</f>
        <v>managementNetwork.gateway=192.168.10.254</v>
      </c>
      <c r="B106" s="109" t="s">
        <v>180</v>
      </c>
    </row>
    <row r="107" spans="1:2">
      <c r="A107" s="110" t="str">
        <f>"vlan-mgmt-management.vlanId="&amp;'Hosts and Networks'!C8</f>
        <v>vlan-mgmt-management.vlanId=10</v>
      </c>
      <c r="B107" s="109" t="s">
        <v>181</v>
      </c>
    </row>
    <row r="108" spans="1:2">
      <c r="A108" s="110" t="str">
        <f>"vlan-mgmt-management-mtu@mtu="&amp;'Hosts and Networks'!G8</f>
        <v>vlan-mgmt-management-mtu@mtu=9000</v>
      </c>
      <c r="B108" s="109" t="s">
        <v>182</v>
      </c>
    </row>
    <row r="109" spans="1:2">
      <c r="A109" s="110" t="str">
        <f>IF('Hosts and Networks'!D8="n/a","vds-management-initial-configuration@dvPortGroups[1].name=","vds-management-initial-configuration@dvPortGroups[1].name="&amp;'Hosts and Networks'!D8)</f>
        <v>vds-management-initial-configuration@dvPortGroups[1].name=SDDC-DPortGroup-Mgmt</v>
      </c>
      <c r="B109" s="109" t="s">
        <v>183</v>
      </c>
    </row>
    <row r="111" spans="1:2" s="109" customFormat="1">
      <c r="A111" s="109" t="s">
        <v>184</v>
      </c>
    </row>
    <row r="112" spans="1:2">
      <c r="A112" s="110" t="str">
        <f>IF('Hosts and Networks'!E10="n/a","mgmtVsanNetwork.cidrNotation=","mgmtVsanNetwork.cidrNotation="&amp;'Hosts and Networks'!E10)</f>
        <v>mgmtVsanNetwork.cidrNotation=192.168.12.0/24</v>
      </c>
      <c r="B112" s="109" t="s">
        <v>179</v>
      </c>
    </row>
    <row r="113" spans="1:2">
      <c r="A113" s="110" t="str">
        <f>IF('Hosts and Networks'!F10="n/a","mgmtVsanNetwork.gateway=","mgmtVsanNetwork.gateway="&amp;'Hosts and Networks'!F10)</f>
        <v>mgmtVsanNetwork.gateway=192.168.12.254</v>
      </c>
      <c r="B113" s="109" t="s">
        <v>180</v>
      </c>
    </row>
    <row r="114" spans="1:2">
      <c r="A114" s="110" t="str">
        <f>IF('Hosts and Networks'!C10="n/a","vlan-management-vsan.vlanId=","vlan-management-vsan.vlanId="&amp;'Hosts and Networks'!C10)</f>
        <v>vlan-management-vsan.vlanId=12</v>
      </c>
      <c r="B114" s="109" t="s">
        <v>181</v>
      </c>
    </row>
    <row r="115" spans="1:2">
      <c r="A115" s="110" t="str">
        <f>IF('Hosts and Networks'!G10="n/a","vlan-management-vsan-mtu@mtu=","vlan-management-vsan-mtu@mtu="&amp;'Hosts and Networks'!G10)</f>
        <v>vlan-management-vsan-mtu@mtu=9000</v>
      </c>
      <c r="B115" s="109" t="s">
        <v>182</v>
      </c>
    </row>
    <row r="116" spans="1:2">
      <c r="A116" s="110" t="str">
        <f>IF('Hosts and Networks'!D10="n/a","vds-management-initial-configuration@dvPortGroups[2].name=","vds-management-initial-configuration@dvPortGroups[2].name="&amp;'Hosts and Networks'!D10)</f>
        <v>vds-management-initial-configuration@dvPortGroups[2].name=SDDC-DPortGroup-VSAN</v>
      </c>
      <c r="B116" s="109" t="s">
        <v>183</v>
      </c>
    </row>
    <row r="118" spans="1:2" s="109" customFormat="1">
      <c r="A118" s="109" t="s">
        <v>185</v>
      </c>
    </row>
    <row r="119" spans="1:2">
      <c r="A119" s="110" t="str">
        <f>"mgmtVmotionNetwork.cidrNotation="&amp;'Hosts and Networks'!E9</f>
        <v>mgmtVmotionNetwork.cidrNotation=192.168.11.0/24</v>
      </c>
      <c r="B119" s="109" t="s">
        <v>179</v>
      </c>
    </row>
    <row r="120" spans="1:2">
      <c r="A120" s="110" t="str">
        <f>"mgmtVmotionNetwork.gateway="&amp;'Hosts and Networks'!F9</f>
        <v>mgmtVmotionNetwork.gateway=192.168.11.254</v>
      </c>
      <c r="B120" s="109" t="s">
        <v>180</v>
      </c>
    </row>
    <row r="121" spans="1:2">
      <c r="A121" s="110" t="str">
        <f>IF('Hosts and Networks'!C9="n/a","vlan-management-vmotion.vlanId=","vlan-management-vmotion.vlanId="&amp;'Hosts and Networks'!C9)</f>
        <v>vlan-management-vmotion.vlanId=11</v>
      </c>
      <c r="B121" s="109" t="s">
        <v>181</v>
      </c>
    </row>
    <row r="122" spans="1:2">
      <c r="A122" s="110" t="str">
        <f>"vlan-management-vmotion-mtu@mtu="&amp;'Hosts and Networks'!G9</f>
        <v>vlan-management-vmotion-mtu@mtu=9000</v>
      </c>
      <c r="B122" s="109" t="s">
        <v>182</v>
      </c>
    </row>
    <row r="123" spans="1:2">
      <c r="A123" s="110" t="str">
        <f>IF('Hosts and Networks'!D9="n/a","vds-management-initial-configuration@dvPortGroups[3].name=","vds-management-initial-configuration@dvPortGroups[3].name="&amp;'Hosts and Networks'!D9)</f>
        <v>vds-management-initial-configuration@dvPortGroups[3].name=SDDC-DPortGroup-vMotion</v>
      </c>
      <c r="B123" s="109" t="s">
        <v>183</v>
      </c>
    </row>
    <row r="124" spans="1:2">
      <c r="A124"/>
    </row>
    <row r="125" spans="1:2">
      <c r="A125" s="122" t="s">
        <v>395</v>
      </c>
      <c r="B125" s="123"/>
    </row>
    <row r="126" spans="1:2">
      <c r="A126" s="110" t="str">
        <f>"vmManagementNetwork.cidrNotation="&amp;'Hosts and Networks'!E7</f>
        <v>vmManagementNetwork.cidrNotation=192.168.10.0/24</v>
      </c>
      <c r="B126" s="123" t="s">
        <v>179</v>
      </c>
    </row>
    <row r="127" spans="1:2">
      <c r="A127" s="110" t="str">
        <f>"vmManagementNetwork.gateway="&amp;'Hosts and Networks'!F7</f>
        <v>vmManagementNetwork.gateway=192.168.10.254</v>
      </c>
      <c r="B127" s="123" t="s">
        <v>180</v>
      </c>
    </row>
    <row r="128" spans="1:2">
      <c r="A128" s="110" t="str">
        <f>IF('Hosts and Networks'!C7="n/a","vlan-mgmt-vm-management.vlanId=","vlan-mgmt-vm-management.vlanId="&amp;'Hosts and Networks'!C7)</f>
        <v>vlan-mgmt-vm-management.vlanId=10</v>
      </c>
      <c r="B128" s="123" t="s">
        <v>181</v>
      </c>
    </row>
    <row r="129" spans="1:2">
      <c r="A129" s="110" t="str">
        <f>"vlan-mgmt-vm-management-mtu@mtu="&amp;'Hosts and Networks'!G7</f>
        <v>vlan-mgmt-vm-management-mtu@mtu=9000</v>
      </c>
      <c r="B129" s="123" t="s">
        <v>182</v>
      </c>
    </row>
    <row r="130" spans="1:2">
      <c r="A130" s="110" t="str">
        <f>IF('Hosts and Networks'!D7="n/a","vds-management-initial-configuration@dvPortGroups[4].name=","vds-management-initial-configuration@dvPortGroups[4].name="&amp;'Hosts and Networks'!D7)</f>
        <v>vds-management-initial-configuration@dvPortGroups[4].name=SDDC-DPortGroup-VM-Mgmt</v>
      </c>
      <c r="B130" s="123" t="s">
        <v>183</v>
      </c>
    </row>
    <row r="132" spans="1:2" s="109" customFormat="1">
      <c r="A132" s="109" t="s">
        <v>186</v>
      </c>
    </row>
    <row r="133" spans="1:2">
      <c r="A133" s="110" t="str">
        <f>IF('Hosts and Networks'!J8="n/a","inclusion-range-start-vmotion01=","inclusion-range-start-vmotion01="&amp;'Hosts and Networks'!J8)</f>
        <v>inclusion-range-start-vmotion01=192.168.11.10</v>
      </c>
      <c r="B133" s="109" t="s">
        <v>187</v>
      </c>
    </row>
    <row r="134" spans="1:2">
      <c r="A134" s="110" t="str">
        <f>IF('Hosts and Networks'!L8="n/a","inclusion-range-end-vmotion01=","inclusion-range-end-vmotion01="&amp;'Hosts and Networks'!L8)</f>
        <v>inclusion-range-end-vmotion01=192.168.11.100</v>
      </c>
      <c r="B134" s="109" t="s">
        <v>187</v>
      </c>
    </row>
    <row r="135" spans="1:2">
      <c r="A135" s="110" t="str">
        <f>IF('Hosts and Networks'!J9="n/a","inclusion-range-start-vsan01=","inclusion-range-start-vsan01="&amp;'Hosts and Networks'!J9)</f>
        <v>inclusion-range-start-vsan01=192.168.12.10</v>
      </c>
      <c r="B135" s="109" t="s">
        <v>187</v>
      </c>
    </row>
    <row r="136" spans="1:2">
      <c r="A136" s="110" t="str">
        <f>IF('Hosts and Networks'!L9="n/a","inclusion-range-end-vsan01=","inclusion-range-end-vsan01="&amp;'Hosts and Networks'!L9)</f>
        <v>inclusion-range-end-vsan01=192.168.12.100</v>
      </c>
      <c r="B136" s="109" t="s">
        <v>187</v>
      </c>
    </row>
    <row r="138" spans="1:2">
      <c r="A138" s="109" t="s">
        <v>188</v>
      </c>
    </row>
    <row r="139" spans="1:2">
      <c r="A139" s="112" t="str">
        <f>IF('Deploy Parameters'!F49="n/a","mgmt-vm-folder-name@value=","mgmt-vm-folder-name@value="&amp;'Deploy Parameters'!F49&amp;"-fd-mgmt")</f>
        <v>mgmt-vm-folder-name@value=sfo-m01-fd-mgmt</v>
      </c>
      <c r="B139" s="109" t="s">
        <v>189</v>
      </c>
    </row>
    <row r="140" spans="1:2">
      <c r="A140" s="112" t="str">
        <f>IF('Deploy Parameters'!F49="n/a","nsx-vm-folder-name@value=","nsx-vm-folder-name@value="&amp;'Deploy Parameters'!F49&amp;"-fd-nsx")</f>
        <v>nsx-vm-folder-name@value=sfo-m01-fd-nsx</v>
      </c>
      <c r="B140" s="109" t="s">
        <v>190</v>
      </c>
    </row>
    <row r="141" spans="1:2">
      <c r="A141" s="112" t="str">
        <f>IF('Deploy Parameters'!F49="n/a","edge-vm-folder-name@value=","edge-vm-folder-name@value="&amp;'Deploy Parameters'!F49&amp;"-fd-edge")</f>
        <v>edge-vm-folder-name@value=sfo-m01-fd-edge</v>
      </c>
      <c r="B141" s="109" t="s">
        <v>191</v>
      </c>
    </row>
    <row r="142" spans="1:2">
      <c r="A142"/>
    </row>
    <row r="143" spans="1:2">
      <c r="A143" s="109" t="s">
        <v>192</v>
      </c>
    </row>
    <row r="144" spans="1:2">
      <c r="A144" s="109" t="s">
        <v>193</v>
      </c>
    </row>
    <row r="145" spans="1:2">
      <c r="A145" s="110" t="str">
        <f>IF('Deploy Parameters'!F15="n/a","nsxt-license@key=","nsxt-license@key="&amp;'Deploy Parameters'!F15)</f>
        <v>nsxt-license@key=A02XX-JD30Q-28TN9-L3906-C17M2</v>
      </c>
      <c r="B145" s="109" t="s">
        <v>194</v>
      </c>
    </row>
    <row r="146" spans="1:2">
      <c r="A146" s="109" t="s">
        <v>463</v>
      </c>
    </row>
    <row r="147" spans="1:2">
      <c r="A147" s="110" t="str">
        <f>"nsxt-va-deployment-size="&amp;'Deploy Parameters'!F42</f>
        <v>nsxt-va-deployment-size=small</v>
      </c>
      <c r="B147" s="109" t="s">
        <v>195</v>
      </c>
    </row>
    <row r="148" spans="1:2" s="109" customFormat="1">
      <c r="A148" s="109" t="s">
        <v>196</v>
      </c>
    </row>
    <row r="149" spans="1:2">
      <c r="A149" s="110" t="str">
        <f>"nsxt-root-credentials@password="&amp;Credentials!C13</f>
        <v>nsxt-root-credentials@password=Pata2Pata1Pata!</v>
      </c>
      <c r="B149" s="109" t="s">
        <v>197</v>
      </c>
    </row>
    <row r="150" spans="1:2">
      <c r="A150" s="110" t="str">
        <f>"nsxt-admin-credentials@password="&amp;Credentials!C14</f>
        <v>nsxt-admin-credentials@password=Pata2Pata1Pata!</v>
      </c>
      <c r="B150" s="109" t="s">
        <v>198</v>
      </c>
    </row>
    <row r="151" spans="1:2">
      <c r="A151" s="110" t="str">
        <f>"nsxt-cli-privilege-credentials@password="&amp;Credentials!C15</f>
        <v>nsxt-cli-privilege-credentials@password=Pata2Pata1Pata!</v>
      </c>
      <c r="B151" s="109" t="s">
        <v>199</v>
      </c>
    </row>
    <row r="152" spans="1:2">
      <c r="A152" s="109" t="s">
        <v>200</v>
      </c>
      <c r="B152" s="109" t="s">
        <v>201</v>
      </c>
    </row>
    <row r="153" spans="1:2">
      <c r="A153" s="109" t="s">
        <v>202</v>
      </c>
      <c r="B153" s="109" t="s">
        <v>203</v>
      </c>
    </row>
    <row r="154" spans="1:2">
      <c r="A154" s="109" t="s">
        <v>204</v>
      </c>
    </row>
    <row r="155" spans="1:2">
      <c r="A155" s="110" t="str">
        <f>IF('Deploy Parameters'!F38="n/a","nsxt-vip-hostname=","nsxt-vip-hostname="&amp;'Deploy Parameters'!F38)</f>
        <v>nsxt-vip-hostname=sfo-m01-nsx01</v>
      </c>
      <c r="B155" s="109" t="s">
        <v>205</v>
      </c>
    </row>
    <row r="156" spans="1:2">
      <c r="A156" s="110" t="str">
        <f>IF('Deploy Parameters'!G38="n/a","nsxt-vip-address=","nsxt-vip-address="&amp;'Deploy Parameters'!G38)</f>
        <v>nsxt-vip-address=192.168.10.211</v>
      </c>
      <c r="B156" s="109" t="s">
        <v>206</v>
      </c>
    </row>
    <row r="157" spans="1:2">
      <c r="A157" s="110" t="str">
        <f>IF('Deploy Parameters'!F39="n/a","nsxt-node1-hostname=","nsxt-node1-hostname="&amp;'Deploy Parameters'!F39)</f>
        <v>nsxt-node1-hostname=sfo-m01-nsx01a</v>
      </c>
      <c r="B157" s="109" t="s">
        <v>207</v>
      </c>
    </row>
    <row r="158" spans="1:2">
      <c r="A158" s="110" t="str">
        <f>IF('Deploy Parameters'!G39="n/a","nsxt-node1-address=","nsxt-node1-address="&amp;'Deploy Parameters'!G39)</f>
        <v>nsxt-node1-address=192.168.10.212</v>
      </c>
      <c r="B158" s="109" t="s">
        <v>207</v>
      </c>
    </row>
    <row r="159" spans="1:2">
      <c r="A159" s="110" t="str">
        <f>IF('Deploy Parameters'!F40="n/a","nsxt-node2-hostname=","nsxt-node2-hostname="&amp;'Deploy Parameters'!F40)</f>
        <v>nsxt-node2-hostname=</v>
      </c>
      <c r="B159" s="109" t="s">
        <v>207</v>
      </c>
    </row>
    <row r="160" spans="1:2">
      <c r="A160" s="110" t="str">
        <f>IF('Deploy Parameters'!G40="n/a","nsxt-node2-address=","nsxt-node2-address="&amp;'Deploy Parameters'!G40)</f>
        <v>nsxt-node2-address=</v>
      </c>
      <c r="B160" s="109" t="s">
        <v>207</v>
      </c>
    </row>
    <row r="161" spans="1:2">
      <c r="A161" s="110" t="str">
        <f>IF('Deploy Parameters'!F41="n/a","nsxt-node3-hostname=","nsxt-node3-hostname="&amp;'Deploy Parameters'!F41)</f>
        <v>nsxt-node3-hostname=</v>
      </c>
      <c r="B161" s="109" t="s">
        <v>207</v>
      </c>
    </row>
    <row r="162" spans="1:2">
      <c r="A162" s="110" t="str">
        <f>IF('Deploy Parameters'!G41="n/a","nsxt-node3-address=","nsxt-node3-address="&amp;'Deploy Parameters'!G41)</f>
        <v>nsxt-node3-address=</v>
      </c>
      <c r="B162" s="109" t="s">
        <v>207</v>
      </c>
    </row>
    <row r="163" spans="1:2">
      <c r="A163" s="109" t="s">
        <v>208</v>
      </c>
    </row>
    <row r="164" spans="1:2">
      <c r="A164" s="110" t="str">
        <f>IF('Deploy Parameters'!F49="n/a","nsxt-transport-vlan-zoneName-1=","nsxt-transport-vlan-zoneName-1="&amp;'Deploy Parameters'!F49&amp;"-tz-vlan01")</f>
        <v>nsxt-transport-vlan-zoneName-1=sfo-m01-tz-vlan01</v>
      </c>
      <c r="B164" s="109" t="s">
        <v>209</v>
      </c>
    </row>
    <row r="165" spans="1:2">
      <c r="A165" s="110" t="str">
        <f>IF('Deploy Parameters'!F49="n/a","nsxt-transport-vlan-zoneName-2=","nsxt-transport-vlan-zoneName-2="&amp;'Deploy Parameters'!F49&amp;"-tz-vlan02")</f>
        <v>nsxt-transport-vlan-zoneName-2=sfo-m01-tz-vlan02</v>
      </c>
    </row>
    <row r="166" spans="1:2">
      <c r="A166" s="110" t="s">
        <v>210</v>
      </c>
      <c r="B166" s="109" t="s">
        <v>211</v>
      </c>
    </row>
    <row r="167" spans="1:2">
      <c r="A167" s="110" t="str">
        <f>"nsxt-transport-vlanid="&amp;'Hosts and Networks'!J22</f>
        <v>nsxt-transport-vlanid=13</v>
      </c>
      <c r="B167" s="109" t="s">
        <v>212</v>
      </c>
    </row>
    <row r="168" spans="1:2">
      <c r="A168" s="110" t="str">
        <f>"nsxt-transport-overlay-zoneName="&amp;'Deploy Parameters'!F49&amp;"-tz-overlay01"</f>
        <v>nsxt-transport-overlay-zoneName=sfo-m01-tz-overlay01</v>
      </c>
      <c r="B168" s="109" t="s">
        <v>213</v>
      </c>
    </row>
    <row r="169" spans="1:2">
      <c r="A169" s="109" t="s">
        <v>214</v>
      </c>
      <c r="B169" s="109" t="s">
        <v>215</v>
      </c>
    </row>
    <row r="171" spans="1:2">
      <c r="A171" s="109" t="s">
        <v>216</v>
      </c>
    </row>
    <row r="172" spans="1:2">
      <c r="A172" s="110" t="str">
        <f>IF('Hosts and Networks'!K24="Yes","nsxt-hostStaticIpPool=true","nsxt-hostStaticIpPool=false")</f>
        <v>nsxt-hostStaticIpPool=true</v>
      </c>
    </row>
    <row r="173" spans="1:2">
      <c r="A173" s="110" t="str">
        <f>IF('Hosts and Networks'!K24="No","nsxt-hostStaticIpPool-name=","nsxt-hostStaticIpPool-name="&amp;'Hosts and Networks'!J26)</f>
        <v>nsxt-hostStaticIpPool-name=sfo01-m01-cl01-tep01</v>
      </c>
      <c r="B173" s="109" t="s">
        <v>217</v>
      </c>
    </row>
    <row r="174" spans="1:2">
      <c r="A174" s="110" t="str">
        <f>IF('Hosts and Networks'!K24="No","nsxt-hostStaticIpPool-description=","nsxt-hostStaticIpPool-description="&amp;'Hosts and Networks'!J25)</f>
        <v>nsxt-hostStaticIpPool-description=ESXi Host Overlay TEP IP Pool</v>
      </c>
      <c r="B174" s="109" t="s">
        <v>218</v>
      </c>
    </row>
    <row r="175" spans="1:2">
      <c r="A175" s="110" t="str">
        <f>IF('Hosts and Networks'!K24="No","nsxt-hostStaticIpPool-ipStart=","nsxt-hostStaticIpPool-ipStart="&amp;'Hosts and Networks'!J28)</f>
        <v>nsxt-hostStaticIpPool-ipStart=192.168.13.1</v>
      </c>
      <c r="B175" s="109" t="s">
        <v>219</v>
      </c>
    </row>
    <row r="176" spans="1:2">
      <c r="A176" s="110" t="str">
        <f>IF('Hosts and Networks'!K24="No","nsxt-hostStaticIpPool-ipEnd=","nsxt-hostStaticIpPool-ipEnd="&amp;'Hosts and Networks'!L28)</f>
        <v>nsxt-hostStaticIpPool-ipEnd=192.168.13.8</v>
      </c>
      <c r="B176" s="109" t="s">
        <v>220</v>
      </c>
    </row>
    <row r="177" spans="1:2">
      <c r="A177" s="110" t="str">
        <f>IF('Hosts and Networks'!K24="No","nsxt-hostStaticIpPool-ipCidr=","nsxt-hostStaticIpPool-ipCidr="&amp;'Hosts and Networks'!J27)</f>
        <v>nsxt-hostStaticIpPool-ipCidr=192.168.13.0/24</v>
      </c>
      <c r="B177" s="109" t="s">
        <v>221</v>
      </c>
    </row>
    <row r="178" spans="1:2">
      <c r="A178" s="110" t="str">
        <f>IF('Hosts and Networks'!K24="No","nsxt-hostStaticIpPool-ipGateway=","nsxt-hostStaticIpPool-ipGateway="&amp;'Hosts and Networks'!L27)</f>
        <v>nsxt-hostStaticIpPool-ipGateway=192.168.13.254</v>
      </c>
      <c r="B178" s="109" t="s">
        <v>222</v>
      </c>
    </row>
    <row r="180" spans="1:2">
      <c r="A180" s="109" t="s">
        <v>223</v>
      </c>
    </row>
    <row r="181" spans="1:2">
      <c r="A181" s="114" t="s">
        <v>224</v>
      </c>
    </row>
    <row r="182" spans="1:2">
      <c r="A182" s="114" t="s">
        <v>225</v>
      </c>
    </row>
    <row r="183" spans="1:2">
      <c r="A183" s="114" t="s">
        <v>226</v>
      </c>
    </row>
    <row r="184" spans="1:2">
      <c r="A184" s="114" t="s">
        <v>227</v>
      </c>
    </row>
    <row r="185" spans="1:2">
      <c r="A185" s="114" t="s">
        <v>228</v>
      </c>
    </row>
    <row r="186" spans="1:2">
      <c r="A186" s="114"/>
    </row>
    <row r="187" spans="1:2">
      <c r="A187" s="109" t="s">
        <v>229</v>
      </c>
    </row>
  </sheetData>
  <sheetProtection sheet="1" objects="1" scenarios="1"/>
  <autoFilter ref="A80:B89" xr:uid="{00000000-0001-0000-0500-000000000000}"/>
  <conditionalFormatting sqref="A1:A78 A80:A103 A105:A110 A112:A117 A119:A123 A126:A180 A187:A1048576">
    <cfRule type="containsText" dxfId="10" priority="4" operator="containsText" text="#">
      <formula>NOT(ISERROR(SEARCH("#",A1)))</formula>
    </cfRule>
  </conditionalFormatting>
  <conditionalFormatting sqref="A104:A108 A170:A178">
    <cfRule type="beginsWith" dxfId="9" priority="5" operator="beginsWith" text="#">
      <formula>LEFT(A104,LEN("#"))="#"</formula>
    </cfRule>
  </conditionalFormatting>
  <conditionalFormatting sqref="A111:A115">
    <cfRule type="beginsWith" dxfId="8" priority="6" operator="beginsWith" text="#">
      <formula>LEFT(A111,LEN("#"))="#"</formula>
    </cfRule>
  </conditionalFormatting>
  <conditionalFormatting sqref="A118:A122">
    <cfRule type="beginsWith" dxfId="7" priority="7" operator="beginsWith" text="#">
      <formula>LEFT(A118,LEN("#"))="#"</formula>
    </cfRule>
  </conditionalFormatting>
  <conditionalFormatting sqref="A126:A129">
    <cfRule type="beginsWith" dxfId="6" priority="1" operator="beginsWith" text="#">
      <formula>LEFT(A126,LEN("#"))="#"</formula>
    </cfRule>
  </conditionalFormatting>
  <hyperlinks>
    <hyperlink ref="A94" r:id="rId1" display="mailto:physical-nic-dedicated-to-dvs@value%3Dvmnic1" xr:uid="{00000000-0004-0000-0500-000000000000}"/>
    <hyperlink ref="A99" r:id="rId2" display="mailto:physical-nic-dedicated-to-dvs@value%3Dvmnic1" xr:uid="{00000000-0004-0000-0500-000001000000}"/>
  </hyperlink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7"/>
  <sheetViews>
    <sheetView zoomScale="115" zoomScaleNormal="115" workbookViewId="0">
      <pane ySplit="1" topLeftCell="A138" activePane="bottomLeft" state="frozen"/>
      <selection pane="bottomLeft" activeCell="B156" sqref="B156"/>
    </sheetView>
  </sheetViews>
  <sheetFormatPr baseColWidth="10" defaultColWidth="11.33203125" defaultRowHeight="15"/>
  <cols>
    <col min="1" max="1" width="11.33203125" style="115"/>
    <col min="2" max="2" width="139.1640625" style="108" customWidth="1"/>
    <col min="23" max="23" width="131.1640625" customWidth="1"/>
  </cols>
  <sheetData>
    <row r="1" spans="1:2" ht="16">
      <c r="A1" s="115" t="s">
        <v>230</v>
      </c>
      <c r="B1" s="108" t="s">
        <v>7</v>
      </c>
    </row>
    <row r="2" spans="1:2" ht="335">
      <c r="A2" s="115">
        <v>43236</v>
      </c>
      <c r="B2" s="108" t="s">
        <v>231</v>
      </c>
    </row>
    <row r="3" spans="1:2" ht="176">
      <c r="A3" s="115">
        <v>43207</v>
      </c>
      <c r="B3" s="108" t="s">
        <v>232</v>
      </c>
    </row>
    <row r="4" spans="1:2" ht="32">
      <c r="A4" s="115">
        <v>43252</v>
      </c>
      <c r="B4" s="108" t="s">
        <v>233</v>
      </c>
    </row>
    <row r="5" spans="1:2" ht="96">
      <c r="A5" s="115">
        <v>43255</v>
      </c>
      <c r="B5" s="108" t="s">
        <v>234</v>
      </c>
    </row>
    <row r="6" spans="1:2" ht="32">
      <c r="A6" s="115">
        <v>43258</v>
      </c>
      <c r="B6" s="108" t="s">
        <v>235</v>
      </c>
    </row>
    <row r="7" spans="1:2" ht="80">
      <c r="A7" s="115">
        <v>43260</v>
      </c>
      <c r="B7" s="108" t="s">
        <v>236</v>
      </c>
    </row>
    <row r="8" spans="1:2" ht="80">
      <c r="A8" s="115">
        <v>43271</v>
      </c>
      <c r="B8" s="108" t="s">
        <v>237</v>
      </c>
    </row>
    <row r="9" spans="1:2" ht="48">
      <c r="A9" s="115">
        <v>43273</v>
      </c>
      <c r="B9" s="108" t="s">
        <v>238</v>
      </c>
    </row>
    <row r="10" spans="1:2" ht="16">
      <c r="A10" s="115">
        <v>43273</v>
      </c>
      <c r="B10" s="108" t="s">
        <v>239</v>
      </c>
    </row>
    <row r="11" spans="1:2" ht="224">
      <c r="A11" s="115">
        <v>43280</v>
      </c>
      <c r="B11" s="108" t="s">
        <v>240</v>
      </c>
    </row>
    <row r="12" spans="1:2" ht="48">
      <c r="A12" s="115">
        <v>43284</v>
      </c>
      <c r="B12" s="108" t="s">
        <v>241</v>
      </c>
    </row>
    <row r="13" spans="1:2" ht="32">
      <c r="A13" s="115">
        <v>43300</v>
      </c>
      <c r="B13" s="108" t="s">
        <v>242</v>
      </c>
    </row>
    <row r="14" spans="1:2" ht="16">
      <c r="A14" s="115">
        <v>43301</v>
      </c>
      <c r="B14" s="108" t="s">
        <v>243</v>
      </c>
    </row>
    <row r="15" spans="1:2" ht="48">
      <c r="A15" s="115">
        <v>43304</v>
      </c>
      <c r="B15" s="108" t="s">
        <v>244</v>
      </c>
    </row>
    <row r="16" spans="1:2" ht="64">
      <c r="A16" s="115">
        <v>43305</v>
      </c>
      <c r="B16" s="108" t="s">
        <v>245</v>
      </c>
    </row>
    <row r="17" spans="1:2" ht="48">
      <c r="A17" s="115">
        <v>43311</v>
      </c>
      <c r="B17" s="108" t="s">
        <v>246</v>
      </c>
    </row>
    <row r="18" spans="1:2" ht="48">
      <c r="A18" s="115">
        <v>43320</v>
      </c>
      <c r="B18" s="108" t="s">
        <v>247</v>
      </c>
    </row>
    <row r="19" spans="1:2" ht="16">
      <c r="A19" s="115">
        <v>43321</v>
      </c>
      <c r="B19" s="108" t="s">
        <v>248</v>
      </c>
    </row>
    <row r="20" spans="1:2" ht="32">
      <c r="A20" s="115">
        <v>43322</v>
      </c>
      <c r="B20" s="108" t="s">
        <v>249</v>
      </c>
    </row>
    <row r="21" spans="1:2" ht="16">
      <c r="A21" s="115">
        <v>43354</v>
      </c>
      <c r="B21" s="108" t="s">
        <v>250</v>
      </c>
    </row>
    <row r="22" spans="1:2" ht="32">
      <c r="A22" s="115">
        <v>43363</v>
      </c>
      <c r="B22" s="108" t="s">
        <v>251</v>
      </c>
    </row>
    <row r="23" spans="1:2" ht="16">
      <c r="A23" s="115">
        <v>43364</v>
      </c>
      <c r="B23" s="108" t="s">
        <v>252</v>
      </c>
    </row>
    <row r="24" spans="1:2" ht="48">
      <c r="A24" s="115">
        <v>43370</v>
      </c>
      <c r="B24" s="108" t="s">
        <v>253</v>
      </c>
    </row>
    <row r="25" spans="1:2" ht="16">
      <c r="A25" s="115">
        <v>43371</v>
      </c>
      <c r="B25" s="108" t="s">
        <v>254</v>
      </c>
    </row>
    <row r="26" spans="1:2" ht="48">
      <c r="A26" s="115">
        <v>43377</v>
      </c>
      <c r="B26" s="108" t="s">
        <v>255</v>
      </c>
    </row>
    <row r="27" spans="1:2" ht="64">
      <c r="A27" s="115">
        <v>43382</v>
      </c>
      <c r="B27" s="108" t="s">
        <v>256</v>
      </c>
    </row>
    <row r="28" spans="1:2" ht="16">
      <c r="A28" s="115">
        <v>43383</v>
      </c>
      <c r="B28" s="108" t="s">
        <v>257</v>
      </c>
    </row>
    <row r="29" spans="1:2" ht="16">
      <c r="A29" s="115">
        <v>43389</v>
      </c>
      <c r="B29" s="108" t="s">
        <v>258</v>
      </c>
    </row>
    <row r="30" spans="1:2" ht="16">
      <c r="A30" s="115">
        <v>43397</v>
      </c>
      <c r="B30" s="108" t="s">
        <v>259</v>
      </c>
    </row>
    <row r="31" spans="1:2" ht="16">
      <c r="A31" s="115">
        <v>43402</v>
      </c>
      <c r="B31" s="108" t="s">
        <v>260</v>
      </c>
    </row>
    <row r="32" spans="1:2" ht="32">
      <c r="A32" s="115">
        <v>43404</v>
      </c>
      <c r="B32" s="108" t="s">
        <v>261</v>
      </c>
    </row>
    <row r="33" spans="1:2" ht="96">
      <c r="A33" s="115">
        <v>43405</v>
      </c>
      <c r="B33" s="108" t="s">
        <v>262</v>
      </c>
    </row>
    <row r="34" spans="1:2" ht="16">
      <c r="A34" s="115">
        <v>43406</v>
      </c>
      <c r="B34" s="108" t="s">
        <v>263</v>
      </c>
    </row>
    <row r="35" spans="1:2" ht="16">
      <c r="A35" s="115">
        <v>43409</v>
      </c>
      <c r="B35" s="108" t="s">
        <v>264</v>
      </c>
    </row>
    <row r="36" spans="1:2" ht="16">
      <c r="A36" s="115">
        <v>43413</v>
      </c>
      <c r="B36" s="108" t="s">
        <v>265</v>
      </c>
    </row>
    <row r="37" spans="1:2" ht="64">
      <c r="A37" s="115">
        <v>43416</v>
      </c>
      <c r="B37" s="108" t="s">
        <v>266</v>
      </c>
    </row>
    <row r="38" spans="1:2" ht="16">
      <c r="A38" s="115">
        <v>43417</v>
      </c>
      <c r="B38" s="108" t="s">
        <v>267</v>
      </c>
    </row>
    <row r="39" spans="1:2" ht="16">
      <c r="A39" s="115">
        <v>43430</v>
      </c>
      <c r="B39" s="108" t="s">
        <v>268</v>
      </c>
    </row>
    <row r="40" spans="1:2" ht="16">
      <c r="A40" s="115">
        <v>43385</v>
      </c>
      <c r="B40" s="108" t="s">
        <v>269</v>
      </c>
    </row>
    <row r="41" spans="1:2" ht="16">
      <c r="A41" s="115">
        <v>43446</v>
      </c>
      <c r="B41" s="108" t="s">
        <v>270</v>
      </c>
    </row>
    <row r="42" spans="1:2" ht="16">
      <c r="A42" s="115">
        <v>43447</v>
      </c>
      <c r="B42" s="108" t="s">
        <v>271</v>
      </c>
    </row>
    <row r="43" spans="1:2" ht="32">
      <c r="A43" s="115">
        <v>43448</v>
      </c>
      <c r="B43" s="108" t="s">
        <v>272</v>
      </c>
    </row>
    <row r="44" spans="1:2" ht="16">
      <c r="A44" s="115">
        <v>43467</v>
      </c>
      <c r="B44" s="108" t="s">
        <v>273</v>
      </c>
    </row>
    <row r="45" spans="1:2" ht="48">
      <c r="A45" s="115">
        <v>43472</v>
      </c>
      <c r="B45" s="108" t="s">
        <v>274</v>
      </c>
    </row>
    <row r="46" spans="1:2" ht="16">
      <c r="A46" s="115">
        <v>43480</v>
      </c>
      <c r="B46" s="108" t="s">
        <v>275</v>
      </c>
    </row>
    <row r="47" spans="1:2" ht="16">
      <c r="A47" s="115">
        <v>43481</v>
      </c>
      <c r="B47" s="108" t="s">
        <v>276</v>
      </c>
    </row>
    <row r="48" spans="1:2" ht="16">
      <c r="A48" s="115">
        <v>43483</v>
      </c>
      <c r="B48" s="108" t="s">
        <v>277</v>
      </c>
    </row>
    <row r="49" spans="1:2" ht="32">
      <c r="A49" s="115">
        <v>43496</v>
      </c>
      <c r="B49" s="108" t="s">
        <v>278</v>
      </c>
    </row>
    <row r="50" spans="1:2" ht="16">
      <c r="A50" s="115">
        <v>43502</v>
      </c>
      <c r="B50" s="108" t="s">
        <v>279</v>
      </c>
    </row>
    <row r="51" spans="1:2" ht="16">
      <c r="A51" s="115">
        <v>43503</v>
      </c>
      <c r="B51" s="108" t="s">
        <v>280</v>
      </c>
    </row>
    <row r="52" spans="1:2" ht="16">
      <c r="A52" s="115">
        <v>43517</v>
      </c>
      <c r="B52" s="108" t="s">
        <v>281</v>
      </c>
    </row>
    <row r="53" spans="1:2" ht="16">
      <c r="A53" s="115">
        <v>43523</v>
      </c>
      <c r="B53" s="108" t="s">
        <v>282</v>
      </c>
    </row>
    <row r="54" spans="1:2" ht="16">
      <c r="A54" s="115">
        <v>43532</v>
      </c>
      <c r="B54" s="108" t="s">
        <v>283</v>
      </c>
    </row>
    <row r="55" spans="1:2" ht="32">
      <c r="A55" s="115">
        <v>43557</v>
      </c>
      <c r="B55" s="108" t="s">
        <v>284</v>
      </c>
    </row>
    <row r="56" spans="1:2" ht="16">
      <c r="A56" s="115">
        <v>43564</v>
      </c>
      <c r="B56" s="108" t="s">
        <v>285</v>
      </c>
    </row>
    <row r="57" spans="1:2" ht="16">
      <c r="A57" s="115">
        <v>43579</v>
      </c>
      <c r="B57" s="108" t="s">
        <v>270</v>
      </c>
    </row>
    <row r="58" spans="1:2" ht="16">
      <c r="A58" s="115">
        <v>43613</v>
      </c>
      <c r="B58" s="108" t="s">
        <v>286</v>
      </c>
    </row>
    <row r="59" spans="1:2" ht="16">
      <c r="A59" s="115">
        <v>43614</v>
      </c>
      <c r="B59" s="108" t="s">
        <v>287</v>
      </c>
    </row>
    <row r="60" spans="1:2" ht="16">
      <c r="A60" s="115">
        <v>43621</v>
      </c>
      <c r="B60" s="108" t="s">
        <v>288</v>
      </c>
    </row>
    <row r="61" spans="1:2" ht="32">
      <c r="A61" s="115">
        <v>43622</v>
      </c>
      <c r="B61" s="108" t="s">
        <v>289</v>
      </c>
    </row>
    <row r="62" spans="1:2" ht="16">
      <c r="A62" s="115">
        <v>43634</v>
      </c>
      <c r="B62" s="108" t="s">
        <v>290</v>
      </c>
    </row>
    <row r="63" spans="1:2" ht="32">
      <c r="A63" s="115">
        <v>43640</v>
      </c>
      <c r="B63" s="108" t="s">
        <v>291</v>
      </c>
    </row>
    <row r="64" spans="1:2" ht="16">
      <c r="A64" s="115">
        <v>43664</v>
      </c>
      <c r="B64" s="108" t="s">
        <v>292</v>
      </c>
    </row>
    <row r="65" spans="1:2" ht="16">
      <c r="A65" s="115">
        <v>43684</v>
      </c>
      <c r="B65" s="108" t="s">
        <v>293</v>
      </c>
    </row>
    <row r="66" spans="1:2" ht="16">
      <c r="A66" s="115">
        <v>43719</v>
      </c>
      <c r="B66" s="108" t="s">
        <v>294</v>
      </c>
    </row>
    <row r="67" spans="1:2" ht="16">
      <c r="A67" s="115">
        <v>43738</v>
      </c>
      <c r="B67" s="108" t="s">
        <v>295</v>
      </c>
    </row>
    <row r="68" spans="1:2" ht="16">
      <c r="A68" s="115">
        <v>43747</v>
      </c>
      <c r="B68" s="108" t="s">
        <v>296</v>
      </c>
    </row>
    <row r="69" spans="1:2" ht="15" customHeight="1">
      <c r="A69" s="115">
        <v>43756</v>
      </c>
      <c r="B69" s="108" t="s">
        <v>297</v>
      </c>
    </row>
    <row r="70" spans="1:2" ht="15" customHeight="1">
      <c r="A70" s="115">
        <v>43762</v>
      </c>
      <c r="B70" s="108" t="s">
        <v>298</v>
      </c>
    </row>
    <row r="71" spans="1:2" ht="15" customHeight="1">
      <c r="A71" s="115">
        <v>43762</v>
      </c>
      <c r="B71" s="108" t="s">
        <v>299</v>
      </c>
    </row>
    <row r="72" spans="1:2" ht="15" customHeight="1">
      <c r="A72" s="115">
        <v>43777</v>
      </c>
      <c r="B72" s="108" t="s">
        <v>300</v>
      </c>
    </row>
    <row r="73" spans="1:2" ht="15" customHeight="1">
      <c r="A73" s="115">
        <v>43781</v>
      </c>
      <c r="B73" s="108" t="s">
        <v>301</v>
      </c>
    </row>
    <row r="74" spans="1:2" ht="15" customHeight="1">
      <c r="A74" s="115">
        <v>43783</v>
      </c>
      <c r="B74" s="108" t="s">
        <v>302</v>
      </c>
    </row>
    <row r="75" spans="1:2" ht="80">
      <c r="A75" s="115">
        <v>43811</v>
      </c>
      <c r="B75" s="108" t="s">
        <v>303</v>
      </c>
    </row>
    <row r="76" spans="1:2" ht="224">
      <c r="A76" s="115">
        <v>43832</v>
      </c>
      <c r="B76" s="108" t="s">
        <v>304</v>
      </c>
    </row>
    <row r="77" spans="1:2" ht="64">
      <c r="A77" s="115">
        <v>43864</v>
      </c>
      <c r="B77" s="108" t="s">
        <v>305</v>
      </c>
    </row>
    <row r="78" spans="1:2" ht="32">
      <c r="A78" s="115">
        <v>43838</v>
      </c>
      <c r="B78" s="108" t="s">
        <v>306</v>
      </c>
    </row>
    <row r="79" spans="1:2" ht="32">
      <c r="A79" s="115">
        <v>43843</v>
      </c>
      <c r="B79" s="108" t="s">
        <v>307</v>
      </c>
    </row>
    <row r="80" spans="1:2" ht="16">
      <c r="A80" s="115">
        <v>43845</v>
      </c>
      <c r="B80" s="108" t="s">
        <v>308</v>
      </c>
    </row>
    <row r="81" spans="1:2" ht="16">
      <c r="A81" s="115">
        <v>43857</v>
      </c>
      <c r="B81" s="108" t="s">
        <v>309</v>
      </c>
    </row>
    <row r="82" spans="1:2" ht="16">
      <c r="A82" s="115">
        <v>43878</v>
      </c>
      <c r="B82" s="108" t="s">
        <v>310</v>
      </c>
    </row>
    <row r="83" spans="1:2" ht="48">
      <c r="A83" s="115">
        <v>43882</v>
      </c>
      <c r="B83" s="108" t="s">
        <v>311</v>
      </c>
    </row>
    <row r="84" spans="1:2" ht="32">
      <c r="A84" s="115">
        <v>43887</v>
      </c>
      <c r="B84" s="108" t="s">
        <v>312</v>
      </c>
    </row>
    <row r="85" spans="1:2" ht="16">
      <c r="A85" s="115">
        <v>43893</v>
      </c>
      <c r="B85" s="108" t="s">
        <v>313</v>
      </c>
    </row>
    <row r="86" spans="1:2" ht="16">
      <c r="A86" s="115">
        <v>43894</v>
      </c>
      <c r="B86" s="108" t="s">
        <v>314</v>
      </c>
    </row>
    <row r="87" spans="1:2" ht="16">
      <c r="A87" s="115">
        <v>43895</v>
      </c>
      <c r="B87" s="108" t="s">
        <v>315</v>
      </c>
    </row>
    <row r="88" spans="1:2" ht="16">
      <c r="A88" s="115">
        <v>43896</v>
      </c>
      <c r="B88" s="108" t="s">
        <v>316</v>
      </c>
    </row>
    <row r="89" spans="1:2" ht="32">
      <c r="A89" s="115">
        <v>43900</v>
      </c>
      <c r="B89" s="108" t="s">
        <v>317</v>
      </c>
    </row>
    <row r="90" spans="1:2" ht="16">
      <c r="A90" s="115">
        <v>43903</v>
      </c>
      <c r="B90" s="108" t="s">
        <v>318</v>
      </c>
    </row>
    <row r="91" spans="1:2" ht="16">
      <c r="A91" s="115">
        <v>43907</v>
      </c>
      <c r="B91" s="108" t="s">
        <v>319</v>
      </c>
    </row>
    <row r="92" spans="1:2" ht="16">
      <c r="A92" s="115">
        <v>43915</v>
      </c>
      <c r="B92" s="108" t="s">
        <v>320</v>
      </c>
    </row>
    <row r="93" spans="1:2" ht="32">
      <c r="A93" s="115">
        <v>43916</v>
      </c>
      <c r="B93" s="108" t="s">
        <v>321</v>
      </c>
    </row>
    <row r="94" spans="1:2" ht="48">
      <c r="A94" s="115">
        <v>43929</v>
      </c>
      <c r="B94" s="108" t="s">
        <v>322</v>
      </c>
    </row>
    <row r="95" spans="1:2" ht="16">
      <c r="A95" s="115">
        <v>43935</v>
      </c>
      <c r="B95" s="108" t="s">
        <v>323</v>
      </c>
    </row>
    <row r="96" spans="1:2" ht="64">
      <c r="A96" s="115">
        <v>43942</v>
      </c>
      <c r="B96" s="108" t="s">
        <v>324</v>
      </c>
    </row>
    <row r="97" spans="1:2" ht="32">
      <c r="A97" s="115">
        <v>43955</v>
      </c>
      <c r="B97" s="108" t="s">
        <v>325</v>
      </c>
    </row>
    <row r="98" spans="1:2" ht="16">
      <c r="A98" s="115">
        <v>43956</v>
      </c>
      <c r="B98" s="108" t="s">
        <v>326</v>
      </c>
    </row>
    <row r="99" spans="1:2" ht="16">
      <c r="A99" s="115">
        <v>43957</v>
      </c>
      <c r="B99" s="108" t="s">
        <v>327</v>
      </c>
    </row>
    <row r="100" spans="1:2" ht="16">
      <c r="A100" s="115">
        <v>43958</v>
      </c>
      <c r="B100" s="108" t="s">
        <v>328</v>
      </c>
    </row>
    <row r="101" spans="1:2" ht="16">
      <c r="A101" s="115">
        <v>43965</v>
      </c>
      <c r="B101" s="108" t="s">
        <v>329</v>
      </c>
    </row>
    <row r="102" spans="1:2" ht="16">
      <c r="A102" s="115">
        <v>43984</v>
      </c>
      <c r="B102" s="108" t="s">
        <v>330</v>
      </c>
    </row>
    <row r="103" spans="1:2" ht="16">
      <c r="A103" s="115">
        <v>43986</v>
      </c>
      <c r="B103" s="108" t="s">
        <v>331</v>
      </c>
    </row>
    <row r="104" spans="1:2" ht="16">
      <c r="A104" s="115">
        <v>43987</v>
      </c>
      <c r="B104" s="108" t="s">
        <v>332</v>
      </c>
    </row>
    <row r="105" spans="1:2" ht="16">
      <c r="A105" s="115">
        <v>44001</v>
      </c>
      <c r="B105" s="108" t="s">
        <v>333</v>
      </c>
    </row>
    <row r="106" spans="1:2" ht="32">
      <c r="A106" s="115">
        <v>44021</v>
      </c>
      <c r="B106" s="108" t="s">
        <v>334</v>
      </c>
    </row>
    <row r="107" spans="1:2" ht="16">
      <c r="A107" s="115">
        <v>44039</v>
      </c>
      <c r="B107" s="108" t="s">
        <v>335</v>
      </c>
    </row>
    <row r="108" spans="1:2" ht="32">
      <c r="A108" s="115">
        <v>44054</v>
      </c>
      <c r="B108" s="108" t="s">
        <v>336</v>
      </c>
    </row>
    <row r="109" spans="1:2" ht="16">
      <c r="A109" s="115">
        <v>44055</v>
      </c>
      <c r="B109" s="108" t="s">
        <v>337</v>
      </c>
    </row>
    <row r="110" spans="1:2" ht="16">
      <c r="A110" s="115">
        <v>44061</v>
      </c>
      <c r="B110" s="108" t="s">
        <v>338</v>
      </c>
    </row>
    <row r="111" spans="1:2" ht="64">
      <c r="A111" s="115">
        <v>44092</v>
      </c>
      <c r="B111" s="108" t="s">
        <v>339</v>
      </c>
    </row>
    <row r="112" spans="1:2" ht="16">
      <c r="A112" s="115">
        <v>44096</v>
      </c>
      <c r="B112" s="108" t="s">
        <v>340</v>
      </c>
    </row>
    <row r="113" spans="1:2" ht="32">
      <c r="A113" s="115">
        <v>44102</v>
      </c>
      <c r="B113" s="108" t="s">
        <v>341</v>
      </c>
    </row>
    <row r="114" spans="1:2" ht="16">
      <c r="A114" s="115">
        <v>44104</v>
      </c>
      <c r="B114" s="108" t="s">
        <v>342</v>
      </c>
    </row>
    <row r="115" spans="1:2" ht="16">
      <c r="A115" s="115">
        <v>44105</v>
      </c>
      <c r="B115" s="108" t="s">
        <v>343</v>
      </c>
    </row>
    <row r="116" spans="1:2" ht="32">
      <c r="A116" s="115">
        <v>44116</v>
      </c>
      <c r="B116" s="108" t="s">
        <v>344</v>
      </c>
    </row>
    <row r="117" spans="1:2" ht="112">
      <c r="A117" s="115">
        <v>44130</v>
      </c>
      <c r="B117" s="108" t="s">
        <v>345</v>
      </c>
    </row>
    <row r="118" spans="1:2" ht="16">
      <c r="A118" s="115">
        <v>44140</v>
      </c>
      <c r="B118" s="108" t="s">
        <v>346</v>
      </c>
    </row>
    <row r="119" spans="1:2" ht="32">
      <c r="A119" s="115">
        <v>44147</v>
      </c>
      <c r="B119" s="108" t="s">
        <v>347</v>
      </c>
    </row>
    <row r="120" spans="1:2" ht="16">
      <c r="A120" s="115">
        <v>44155</v>
      </c>
      <c r="B120" s="108" t="s">
        <v>348</v>
      </c>
    </row>
    <row r="121" spans="1:2" ht="48">
      <c r="A121" s="115">
        <v>44166</v>
      </c>
      <c r="B121" s="108" t="s">
        <v>349</v>
      </c>
    </row>
    <row r="122" spans="1:2" ht="32">
      <c r="A122" s="115">
        <v>44215</v>
      </c>
      <c r="B122" s="108" t="s">
        <v>350</v>
      </c>
    </row>
    <row r="123" spans="1:2" ht="16">
      <c r="A123" s="115">
        <v>44246</v>
      </c>
      <c r="B123" s="108" t="s">
        <v>351</v>
      </c>
    </row>
    <row r="124" spans="1:2" ht="48">
      <c r="A124" s="115">
        <v>44271</v>
      </c>
      <c r="B124" s="108" t="s">
        <v>352</v>
      </c>
    </row>
    <row r="125" spans="1:2" ht="16">
      <c r="A125" s="115">
        <v>44342</v>
      </c>
      <c r="B125" s="108" t="s">
        <v>353</v>
      </c>
    </row>
    <row r="126" spans="1:2" ht="16">
      <c r="A126" s="115">
        <v>44473</v>
      </c>
      <c r="B126" s="108" t="s">
        <v>354</v>
      </c>
    </row>
    <row r="127" spans="1:2" ht="16" customHeight="1">
      <c r="A127" s="115">
        <v>44615</v>
      </c>
      <c r="B127" s="108" t="s">
        <v>355</v>
      </c>
    </row>
    <row r="128" spans="1:2" ht="16" customHeight="1">
      <c r="A128" s="115">
        <v>44740</v>
      </c>
      <c r="B128" s="108" t="s">
        <v>356</v>
      </c>
    </row>
    <row r="129" spans="1:2" ht="16" customHeight="1">
      <c r="A129" s="115">
        <v>44753</v>
      </c>
      <c r="B129" s="108" t="s">
        <v>357</v>
      </c>
    </row>
    <row r="130" spans="1:2" ht="16" customHeight="1">
      <c r="A130" s="115">
        <v>44846</v>
      </c>
      <c r="B130" s="108" t="s">
        <v>358</v>
      </c>
    </row>
    <row r="131" spans="1:2" ht="16" customHeight="1">
      <c r="A131" s="115">
        <v>44873</v>
      </c>
      <c r="B131" s="108" t="s">
        <v>359</v>
      </c>
    </row>
    <row r="132" spans="1:2" ht="16" customHeight="1">
      <c r="A132" s="115">
        <v>44887</v>
      </c>
      <c r="B132" s="108" t="s">
        <v>360</v>
      </c>
    </row>
    <row r="133" spans="1:2" ht="16" customHeight="1">
      <c r="A133" s="115">
        <v>44896</v>
      </c>
      <c r="B133" s="108" t="s">
        <v>373</v>
      </c>
    </row>
    <row r="134" spans="1:2" ht="16" customHeight="1">
      <c r="A134" s="115">
        <v>44951</v>
      </c>
      <c r="B134" s="108" t="s">
        <v>375</v>
      </c>
    </row>
    <row r="135" spans="1:2" ht="16">
      <c r="A135" s="115">
        <v>44960</v>
      </c>
      <c r="B135" s="108" t="s">
        <v>378</v>
      </c>
    </row>
    <row r="136" spans="1:2" ht="16">
      <c r="A136" s="115">
        <v>44965</v>
      </c>
      <c r="B136" s="108" t="s">
        <v>379</v>
      </c>
    </row>
    <row r="137" spans="1:2" ht="16">
      <c r="A137" s="115">
        <v>44977</v>
      </c>
      <c r="B137" s="108" t="s">
        <v>380</v>
      </c>
    </row>
    <row r="138" spans="1:2" ht="16">
      <c r="A138" s="115">
        <v>44978</v>
      </c>
      <c r="B138" s="108" t="s">
        <v>381</v>
      </c>
    </row>
    <row r="139" spans="1:2" ht="16">
      <c r="A139" s="115">
        <v>45013</v>
      </c>
      <c r="B139" s="108" t="s">
        <v>389</v>
      </c>
    </row>
    <row r="140" spans="1:2" ht="16">
      <c r="A140" s="115">
        <v>45023</v>
      </c>
      <c r="B140" s="108" t="s">
        <v>396</v>
      </c>
    </row>
    <row r="141" spans="1:2" ht="16">
      <c r="A141" s="115">
        <v>45041</v>
      </c>
      <c r="B141" s="108" t="s">
        <v>401</v>
      </c>
    </row>
    <row r="142" spans="1:2" ht="16">
      <c r="A142" s="115">
        <v>45042</v>
      </c>
      <c r="B142" s="108" t="s">
        <v>407</v>
      </c>
    </row>
    <row r="143" spans="1:2" ht="16">
      <c r="A143" s="115">
        <v>45093</v>
      </c>
      <c r="B143" s="108" t="s">
        <v>412</v>
      </c>
    </row>
    <row r="144" spans="1:2" ht="16">
      <c r="A144" s="115">
        <v>45097</v>
      </c>
      <c r="B144" s="108" t="s">
        <v>411</v>
      </c>
    </row>
    <row r="145" spans="1:2" ht="16">
      <c r="A145" s="115">
        <v>45162</v>
      </c>
      <c r="B145" s="108" t="s">
        <v>414</v>
      </c>
    </row>
    <row r="146" spans="1:2" ht="16">
      <c r="A146" s="115">
        <v>45183</v>
      </c>
      <c r="B146" s="108" t="s">
        <v>415</v>
      </c>
    </row>
    <row r="147" spans="1:2" ht="16">
      <c r="A147" s="115">
        <v>45194</v>
      </c>
      <c r="B147" s="108" t="s">
        <v>416</v>
      </c>
    </row>
    <row r="148" spans="1:2" ht="16">
      <c r="A148" s="115">
        <v>45246</v>
      </c>
      <c r="B148" s="108" t="s">
        <v>417</v>
      </c>
    </row>
    <row r="149" spans="1:2" ht="16">
      <c r="A149" s="115">
        <v>45302</v>
      </c>
      <c r="B149" s="108" t="s">
        <v>418</v>
      </c>
    </row>
    <row r="150" spans="1:2" ht="16">
      <c r="A150" s="115">
        <v>45314</v>
      </c>
      <c r="B150" s="108" t="s">
        <v>422</v>
      </c>
    </row>
    <row r="151" spans="1:2" ht="16">
      <c r="A151" s="115">
        <v>45330</v>
      </c>
      <c r="B151" s="108" t="s">
        <v>462</v>
      </c>
    </row>
    <row r="152" spans="1:2" ht="16">
      <c r="A152" s="115">
        <v>45341</v>
      </c>
      <c r="B152" s="108" t="s">
        <v>464</v>
      </c>
    </row>
    <row r="153" spans="1:2" ht="16">
      <c r="A153" s="115">
        <v>45356</v>
      </c>
      <c r="B153" s="108" t="s">
        <v>466</v>
      </c>
    </row>
    <row r="154" spans="1:2" ht="16">
      <c r="A154" s="115">
        <v>45373</v>
      </c>
      <c r="B154" s="108" t="s">
        <v>469</v>
      </c>
    </row>
    <row r="155" spans="1:2" ht="16">
      <c r="A155" s="115">
        <v>45407</v>
      </c>
      <c r="B155" s="108" t="s">
        <v>470</v>
      </c>
    </row>
    <row r="156" spans="1:2" ht="16">
      <c r="A156" s="115">
        <v>45429</v>
      </c>
      <c r="B156" s="108" t="s">
        <v>471</v>
      </c>
    </row>
    <row r="157" spans="1:2">
      <c r="A157" s="116" t="s">
        <v>415</v>
      </c>
      <c r="B157" s="117"/>
    </row>
  </sheetData>
  <sheetProtection sheet="1" objects="1" scenarios="1"/>
  <pageMargins left="0.7" right="0.7" top="0.75" bottom="0.75" header="0.51180555555555496" footer="0.51180555555555496"/>
  <pageSetup paperSize="9" firstPageNumber="0"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8</TotalTime>
  <Application>Microsoft Macintosh Excel</Application>
  <DocSecurity>0</DocSecurity>
  <ScaleCrop>false</ScaleCrop>
  <HeadingPairs>
    <vt:vector size="4" baseType="variant">
      <vt:variant>
        <vt:lpstr>Worksheets</vt:lpstr>
      </vt:variant>
      <vt:variant>
        <vt:i4>8</vt:i4>
      </vt:variant>
      <vt:variant>
        <vt:lpstr>Named Ranges</vt:lpstr>
      </vt:variant>
      <vt:variant>
        <vt:i4>61</vt:i4>
      </vt:variant>
    </vt:vector>
  </HeadingPairs>
  <TitlesOfParts>
    <vt:vector size="69" baseType="lpstr">
      <vt:lpstr>Introduction</vt:lpstr>
      <vt:lpstr>Credentials</vt:lpstr>
      <vt:lpstr>Hosts and Networks</vt:lpstr>
      <vt:lpstr>Deploy Parameters</vt:lpstr>
      <vt:lpstr>Virtual Deployment</vt:lpstr>
      <vt:lpstr>Lookup_Lists</vt:lpstr>
      <vt:lpstr>Config_File_Build</vt:lpstr>
      <vt:lpstr>Change Log</vt:lpstr>
      <vt:lpstr>enable_vlcm_mgmt_domain</vt:lpstr>
      <vt:lpstr>esx_host1_ip</vt:lpstr>
      <vt:lpstr>esx_host1_name</vt:lpstr>
      <vt:lpstr>esx_host1_ssh</vt:lpstr>
      <vt:lpstr>esx_host1_ssl</vt:lpstr>
      <vt:lpstr>esx_host2_ip</vt:lpstr>
      <vt:lpstr>esx_host2_name</vt:lpstr>
      <vt:lpstr>esx_host2_ssh</vt:lpstr>
      <vt:lpstr>esx_host2_ssl</vt:lpstr>
      <vt:lpstr>esx_host3_ip</vt:lpstr>
      <vt:lpstr>esx_host3_name</vt:lpstr>
      <vt:lpstr>esx_host3_ssh</vt:lpstr>
      <vt:lpstr>esx_host3_ssl</vt:lpstr>
      <vt:lpstr>esx_host4_ip</vt:lpstr>
      <vt:lpstr>esx_host4_name</vt:lpstr>
      <vt:lpstr>esx_host4_ssh</vt:lpstr>
      <vt:lpstr>esx_license_std</vt:lpstr>
      <vt:lpstr>esx_root_password</vt:lpstr>
      <vt:lpstr>esxi_host4_ssl</vt:lpstr>
      <vt:lpstr>EVC_Settings</vt:lpstr>
      <vt:lpstr>host_overlay_cidr</vt:lpstr>
      <vt:lpstr>host_overlay_description</vt:lpstr>
      <vt:lpstr>host_overlay_gw</vt:lpstr>
      <vt:lpstr>host_overlay_ip_end</vt:lpstr>
      <vt:lpstr>host_overlay_ip_start</vt:lpstr>
      <vt:lpstr>host_overlay_poolname</vt:lpstr>
      <vt:lpstr>host_overlay_vlan</vt:lpstr>
      <vt:lpstr>nsx_root_password</vt:lpstr>
      <vt:lpstr>nsxt_admin_password</vt:lpstr>
      <vt:lpstr>nsxt_audit_password</vt:lpstr>
      <vt:lpstr>nsxt_license</vt:lpstr>
      <vt:lpstr>Credentials!Print_Area</vt:lpstr>
      <vt:lpstr>'Deploy Parameters'!Print_Area</vt:lpstr>
      <vt:lpstr>Credentials!Print_Area_0</vt:lpstr>
      <vt:lpstr>sso_admin_password</vt:lpstr>
      <vt:lpstr>vc_license</vt:lpstr>
      <vt:lpstr>vcenter_root_password</vt:lpstr>
      <vt:lpstr>vcf_admin_password</vt:lpstr>
      <vt:lpstr>vcf_root_password</vt:lpstr>
      <vt:lpstr>vcf_user_password</vt:lpstr>
      <vt:lpstr>vds_primary_mtu</vt:lpstr>
      <vt:lpstr>vds_primary_name</vt:lpstr>
      <vt:lpstr>vds_primary_vmnics</vt:lpstr>
      <vt:lpstr>vds_secondary_mtu</vt:lpstr>
      <vt:lpstr>vds_secondary_name</vt:lpstr>
      <vt:lpstr>vds_secondary_vmnics</vt:lpstr>
      <vt:lpstr>vmotion_cidr</vt:lpstr>
      <vt:lpstr>vmotion_gw</vt:lpstr>
      <vt:lpstr>vmotion_ip_end</vt:lpstr>
      <vt:lpstr>vmotion_ip_start</vt:lpstr>
      <vt:lpstr>vmotion_mtu</vt:lpstr>
      <vt:lpstr>vmotion_portgroup</vt:lpstr>
      <vt:lpstr>vmotion_vlan</vt:lpstr>
      <vt:lpstr>vsan_cidr</vt:lpstr>
      <vt:lpstr>vsan_gw</vt:lpstr>
      <vt:lpstr>vsan_ip_end</vt:lpstr>
      <vt:lpstr>vsan_ip_start</vt:lpstr>
      <vt:lpstr>vsan_license</vt:lpstr>
      <vt:lpstr>vsan_mtu</vt:lpstr>
      <vt:lpstr>vsan_portgroup</vt:lpstr>
      <vt:lpstr>vsan_vlan</vt:lpstr>
    </vt:vector>
  </TitlesOfParts>
  <Manager/>
  <Company>VMware,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VMware Cloud Foundation</dc:title>
  <dc:subject>Deployment Parameter Workbook</dc:subject>
  <dc:creator>Cloud Infrastructure Business Group (CIBG)</dc:creator>
  <cp:keywords>v5.2.0</cp:keywords>
  <dc:description/>
  <cp:lastModifiedBy>Max Daneri</cp:lastModifiedBy>
  <cp:revision>1</cp:revision>
  <cp:lastPrinted>2021-01-19T11:12:54Z</cp:lastPrinted>
  <dcterms:created xsi:type="dcterms:W3CDTF">2015-04-26T05:38:09Z</dcterms:created>
  <dcterms:modified xsi:type="dcterms:W3CDTF">2024-10-08T20:31:08Z</dcterms:modified>
  <cp:category/>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Ids_UIVersion_14848">
    <vt:lpwstr>11,26</vt:lpwstr>
  </property>
  <property fmtid="{D5CDD505-2E9C-101B-9397-08002B2CF9AE}" pid="4" name="Company">
    <vt:lpwstr>VMware, Inc.</vt:lpwstr>
  </property>
  <property fmtid="{D5CDD505-2E9C-101B-9397-08002B2CF9AE}" pid="5" name="ContentTypeId">
    <vt:lpwstr>0x0101004385A577933F924685E4DAD91140489E</vt:lpwstr>
  </property>
  <property fmtid="{D5CDD505-2E9C-101B-9397-08002B2CF9AE}" pid="6" name="DocSecurity">
    <vt:i4>0</vt:i4>
  </property>
  <property fmtid="{D5CDD505-2E9C-101B-9397-08002B2CF9AE}" pid="7" name="HyperlinksChanged">
    <vt:bool>false</vt:bool>
  </property>
  <property fmtid="{D5CDD505-2E9C-101B-9397-08002B2CF9AE}" pid="8" name="LinksUpToDate">
    <vt:bool>false</vt:bool>
  </property>
  <property fmtid="{D5CDD505-2E9C-101B-9397-08002B2CF9AE}" pid="9" name="ScaleCrop">
    <vt:bool>false</vt:bool>
  </property>
  <property fmtid="{D5CDD505-2E9C-101B-9397-08002B2CF9AE}" pid="10" name="ShareDoc">
    <vt:bool>false</vt:bool>
  </property>
</Properties>
</file>