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2800" yWindow="320" windowWidth="23100" windowHeight="1484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1" l="1"/>
  <c r="I12" i="1"/>
  <c r="K12" i="1"/>
  <c r="L12" i="1"/>
  <c r="M12" i="1"/>
  <c r="Q12" i="1"/>
  <c r="O12" i="1"/>
  <c r="J12" i="1"/>
  <c r="C12" i="1"/>
  <c r="E8" i="1"/>
  <c r="F8" i="1"/>
  <c r="H8" i="1"/>
  <c r="G8" i="1"/>
  <c r="C8" i="1"/>
  <c r="I8" i="1"/>
  <c r="K8" i="1"/>
  <c r="L8" i="1"/>
  <c r="J8" i="1"/>
  <c r="O8" i="1"/>
  <c r="F4" i="1"/>
  <c r="E4" i="1"/>
  <c r="G4" i="1"/>
  <c r="H4" i="1"/>
  <c r="I4" i="1"/>
  <c r="J4" i="1"/>
  <c r="K4" i="1"/>
  <c r="C4" i="1"/>
  <c r="L4" i="1"/>
  <c r="M4" i="1"/>
  <c r="Q4" i="1"/>
  <c r="O4" i="1"/>
  <c r="V4" i="1"/>
  <c r="U12" i="1"/>
  <c r="N12" i="1"/>
  <c r="S12" i="1"/>
  <c r="M8" i="1"/>
  <c r="N8" i="1"/>
  <c r="S8" i="1"/>
  <c r="Q8" i="1"/>
  <c r="U8" i="1"/>
  <c r="S4" i="1"/>
  <c r="N4" i="1"/>
  <c r="P4" i="1"/>
  <c r="U4" i="1"/>
</calcChain>
</file>

<file path=xl/sharedStrings.xml><?xml version="1.0" encoding="utf-8"?>
<sst xmlns="http://schemas.openxmlformats.org/spreadsheetml/2006/main" count="88" uniqueCount="53">
  <si>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</si>
  <si>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</si>
  <si>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</si>
  <si>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</si>
  <si>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</si>
  <si>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</si>
  <si>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</si>
  <si>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</si>
  <si>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Electrons</t>
  </si>
  <si>
    <t>dft [V/cm]</t>
  </si>
  <si>
    <t>keVnr</t>
  </si>
  <si>
    <t>totQuant</t>
  </si>
  <si>
    <t>'k' factor</t>
  </si>
  <si>
    <t>Nex/Ni</t>
  </si>
  <si>
    <t># ions</t>
  </si>
  <si>
    <t>NUCLEAR RECOIL</t>
  </si>
  <si>
    <t>rho [g/cc]</t>
  </si>
  <si>
    <t>ALPHAS</t>
  </si>
  <si>
    <t>bi-Exc</t>
  </si>
  <si>
    <t>S1 gain</t>
  </si>
  <si>
    <t>S2 gain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</si>
  <si>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</si>
  <si>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</si>
  <si>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</si>
  <si>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</si>
  <si>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</si>
  <si>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</si>
  <si>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</si>
  <si>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</si>
  <si>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</si>
  <si>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</si>
  <si>
    <t>L_eff * Snr</t>
  </si>
  <si>
    <t>NEST v0.99</t>
  </si>
  <si>
    <t>NEST v1.00</t>
  </si>
  <si>
    <t>keVee Obs</t>
  </si>
  <si>
    <t>ELECTRON RECOIL (Works for high energy now, but not zero field, for which still use v0.98)</t>
  </si>
  <si>
    <t>A(tomic) Number</t>
  </si>
  <si>
    <t>keVee True</t>
  </si>
  <si>
    <t>tibFieldDep</t>
  </si>
  <si>
    <t>tibEnrgDep</t>
  </si>
  <si>
    <t>tibCurl-A</t>
  </si>
  <si>
    <t>tibCurl-Z</t>
  </si>
  <si>
    <t>S1 [PE]</t>
  </si>
  <si>
    <t>S2 [PE]</t>
  </si>
  <si>
    <t>"g1" or "alpha1"</t>
  </si>
  <si>
    <t>"g2" or "alpha2" (extraction efficiency x SE size)</t>
  </si>
  <si>
    <t>NEST v0.98</t>
  </si>
  <si>
    <t>PE/electron</t>
  </si>
  <si>
    <t>PE/photon (LCE x QE)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</si>
  <si>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original e-)</t>
    </r>
  </si>
  <si>
    <t>Zero electric field is a special case: instead of inputing 0 V/cm, input 1.03 V/cm to avoid numerical blow-ups. For some energies and fields for ER (low and low), if NaN strikes, just put in 0 for "Recomb"</t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</si>
  <si>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and/or interesting outputs.</t>
    </r>
  </si>
  <si>
    <t>The S2s here are the "real," orginial S2s, so you must adjust them as a function of detector height for your e- mfp, as well as electron extraction efficiency for your extraction field, if not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</si>
</sst>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7" fillId="0" borderId="0" xfId="0" applyFont="1"/>
    <xf numFmtId="0" fontId="8" fillId="0" borderId="0" xfId="0" applyFont="1"/>
    <xf numFmtId="0" fontId="0" fillId="4" borderId="0" xfId="0" applyFill="1"/>
    <xf numFmtId="0" fontId="1" fillId="0" borderId="0" xfId="0" applyFont="1"/>
    <xf numFmtId="0" fontId="9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D5" sqref="D5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3">
      <c r="D1" s="9" t="s">
        <v>21</v>
      </c>
    </row>
    <row r="2" spans="1:23">
      <c r="A2" t="s">
        <v>33</v>
      </c>
      <c r="B2" t="s">
        <v>15</v>
      </c>
      <c r="R2" t="s">
        <v>44</v>
      </c>
      <c r="T2" t="s">
        <v>45</v>
      </c>
    </row>
    <row r="3" spans="1:23">
      <c r="A3" s="6" t="s">
        <v>16</v>
      </c>
      <c r="B3" s="6" t="s">
        <v>9</v>
      </c>
      <c r="C3" t="s">
        <v>0</v>
      </c>
      <c r="D3" s="1" t="s">
        <v>10</v>
      </c>
      <c r="E3" t="s">
        <v>1</v>
      </c>
      <c r="F3" s="2" t="s">
        <v>12</v>
      </c>
      <c r="G3" t="s">
        <v>2</v>
      </c>
      <c r="H3" t="s">
        <v>3</v>
      </c>
      <c r="I3" t="s">
        <v>11</v>
      </c>
      <c r="J3" t="s">
        <v>13</v>
      </c>
      <c r="K3" t="s">
        <v>14</v>
      </c>
      <c r="L3" t="s">
        <v>4</v>
      </c>
      <c r="M3" s="3" t="s">
        <v>5</v>
      </c>
      <c r="N3" s="3" t="s">
        <v>6</v>
      </c>
      <c r="O3" s="3" t="s">
        <v>34</v>
      </c>
      <c r="P3" s="3" t="s">
        <v>31</v>
      </c>
      <c r="Q3" s="3" t="s">
        <v>8</v>
      </c>
      <c r="R3" s="6" t="s">
        <v>19</v>
      </c>
      <c r="S3" s="3" t="s">
        <v>42</v>
      </c>
      <c r="T3" s="6" t="s">
        <v>20</v>
      </c>
      <c r="U3" s="3" t="s">
        <v>43</v>
      </c>
      <c r="V3" s="29" t="s">
        <v>37</v>
      </c>
      <c r="W3" s="30" t="s">
        <v>36</v>
      </c>
    </row>
    <row r="4" spans="1:23">
      <c r="A4">
        <v>2.9</v>
      </c>
      <c r="B4">
        <v>500</v>
      </c>
      <c r="C4" s="4">
        <f>(0.0554*B4^-0.062)*(A4/2.888)^0.3</f>
        <v>3.7732351122495358E-2</v>
      </c>
      <c r="D4" s="5">
        <v>1</v>
      </c>
      <c r="E4">
        <f>11.5*D4*((54)^(-7/3))</f>
        <v>1.0433877513508396E-3</v>
      </c>
      <c r="F4" s="31">
        <f>0.1394*SQRT(W4/131.293)</f>
        <v>0.13924436712943464</v>
      </c>
      <c r="G4">
        <f>3*(E4^(0.15))+0.7*(E4^(0.6))+E4</f>
        <v>1.0836672866797783</v>
      </c>
      <c r="H4">
        <f>(F4*G4)/(1+F4*G4)</f>
        <v>0.13111067688932074</v>
      </c>
      <c r="I4">
        <f>D4*H4*1000/(21.717-2.7759*A4)</f>
        <v>9.593307393951422</v>
      </c>
      <c r="J4">
        <f>1.24*B4^-0.0472*(1-EXP(-239*E4))</f>
        <v>0.20410267486702427</v>
      </c>
      <c r="K4">
        <f>I4/(1+J4)</f>
        <v>7.9671838574819747</v>
      </c>
      <c r="L4">
        <f>1-LN(1+(C4/4)*K4)/((C4/4)*K4)</f>
        <v>3.5794926520332337E-2</v>
      </c>
      <c r="M4">
        <f>(I4*(J4/(1+J4))+K4*L4)/(1+3.32*E4^1.141)</f>
        <v>1.9087967326445123</v>
      </c>
      <c r="N4">
        <f>M4/D4</f>
        <v>1.9087967326445123</v>
      </c>
      <c r="O4">
        <f>(M4+Q4)*(21.717-2.7759*A4)*0.001</f>
        <v>0.13107635161251241</v>
      </c>
      <c r="P4">
        <f>N4/63</f>
        <v>3.0298360835627178E-2</v>
      </c>
      <c r="Q4">
        <f>(1-L4)*K4</f>
        <v>7.6819990967294292</v>
      </c>
      <c r="R4">
        <v>0.09</v>
      </c>
      <c r="S4">
        <f>M4*R4</f>
        <v>0.17179170593800611</v>
      </c>
      <c r="T4">
        <v>22</v>
      </c>
      <c r="U4">
        <f>Q4*T4</f>
        <v>169.00398012804743</v>
      </c>
      <c r="V4">
        <f>D4*H4</f>
        <v>0.13111067688932074</v>
      </c>
      <c r="W4">
        <v>131</v>
      </c>
    </row>
    <row r="5" spans="1:23">
      <c r="R5" t="s">
        <v>48</v>
      </c>
      <c r="T5" t="s">
        <v>47</v>
      </c>
    </row>
    <row r="6" spans="1:23">
      <c r="A6" t="s">
        <v>32</v>
      </c>
      <c r="B6" t="s">
        <v>35</v>
      </c>
    </row>
    <row r="7" spans="1:23">
      <c r="A7" s="6" t="s">
        <v>16</v>
      </c>
      <c r="B7" s="6" t="s">
        <v>9</v>
      </c>
      <c r="C7" t="s">
        <v>0</v>
      </c>
      <c r="D7" s="1" t="s">
        <v>7</v>
      </c>
      <c r="E7" t="s">
        <v>38</v>
      </c>
      <c r="F7" s="8" t="s">
        <v>39</v>
      </c>
      <c r="G7" s="8" t="s">
        <v>40</v>
      </c>
      <c r="H7" s="8" t="s">
        <v>41</v>
      </c>
      <c r="I7" t="s">
        <v>11</v>
      </c>
      <c r="J7" t="s">
        <v>13</v>
      </c>
      <c r="K7" t="s">
        <v>14</v>
      </c>
      <c r="L7" t="s">
        <v>4</v>
      </c>
      <c r="M7" s="3" t="s">
        <v>5</v>
      </c>
      <c r="N7" s="3" t="s">
        <v>6</v>
      </c>
      <c r="O7" s="3" t="s">
        <v>34</v>
      </c>
      <c r="P7" s="7"/>
      <c r="Q7" s="3" t="s">
        <v>8</v>
      </c>
      <c r="R7" s="6" t="s">
        <v>19</v>
      </c>
      <c r="S7" s="3" t="s">
        <v>42</v>
      </c>
      <c r="T7" s="6" t="s">
        <v>20</v>
      </c>
      <c r="U7" s="3" t="s">
        <v>43</v>
      </c>
    </row>
    <row r="8" spans="1:23">
      <c r="A8">
        <v>2.9</v>
      </c>
      <c r="B8">
        <v>210</v>
      </c>
      <c r="C8" s="4">
        <f>(E8*D8^-F8)*(1-EXP(-POWER(((D8-H8)/G8),0.188*B8^0.333333333)))*(A8/2.888)^0.3</f>
        <v>6.4580802798365599E-3</v>
      </c>
      <c r="D8" s="5">
        <v>40</v>
      </c>
      <c r="E8">
        <f>0.6347*EXP(-0.00014*B8)</f>
        <v>0.61631145610302185</v>
      </c>
      <c r="F8">
        <f>-0.373*EXP(-B8*0.001/E8)+1.5</f>
        <v>1.2347052136987409</v>
      </c>
      <c r="G8">
        <f>10*B8^-0.04*EXP(18/B8)</f>
        <v>8.7970380313526189</v>
      </c>
      <c r="H8">
        <f>1-B8^0.2147+3</f>
        <v>0.84804155932068293</v>
      </c>
      <c r="I8">
        <f>D8*1000/(21.717-2.7759*A8)</f>
        <v>2926.7814404008523</v>
      </c>
      <c r="J8">
        <f>0.059813+0.031228*A8</f>
        <v>0.15037419999999999</v>
      </c>
      <c r="K8">
        <f>I8/(1+J8)</f>
        <v>2544.1994790919794</v>
      </c>
      <c r="L8">
        <f>1-LN(1+(C8/4)*K8)/((C8/4)*K8)</f>
        <v>0.60299996880409368</v>
      </c>
      <c r="M8">
        <f>I8*(J8/(1+J8))+K8*L8</f>
        <v>1916.734167832728</v>
      </c>
      <c r="N8">
        <f>M8/D8</f>
        <v>47.918354195818196</v>
      </c>
      <c r="O8" s="5">
        <f>D8</f>
        <v>40</v>
      </c>
      <c r="Q8">
        <f>(I8-M8)</f>
        <v>1010.0472725681243</v>
      </c>
      <c r="R8">
        <v>0.1</v>
      </c>
      <c r="S8">
        <f>M8*R8</f>
        <v>191.67341678327281</v>
      </c>
      <c r="T8">
        <v>24</v>
      </c>
      <c r="U8">
        <f>Q8*T8</f>
        <v>24241.134541634983</v>
      </c>
    </row>
    <row r="10" spans="1:23">
      <c r="A10" t="s">
        <v>46</v>
      </c>
      <c r="B10" s="10" t="s">
        <v>17</v>
      </c>
    </row>
    <row r="11" spans="1:23">
      <c r="A11" s="6" t="s">
        <v>16</v>
      </c>
      <c r="B11" s="6" t="s">
        <v>9</v>
      </c>
      <c r="C11" t="s">
        <v>0</v>
      </c>
      <c r="D11" s="1" t="s">
        <v>7</v>
      </c>
      <c r="F11" s="2"/>
      <c r="H11" t="s">
        <v>18</v>
      </c>
      <c r="I11" t="s">
        <v>11</v>
      </c>
      <c r="J11" t="s">
        <v>13</v>
      </c>
      <c r="K11" t="s">
        <v>14</v>
      </c>
      <c r="L11" t="s">
        <v>4</v>
      </c>
      <c r="M11" s="3" t="s">
        <v>5</v>
      </c>
      <c r="N11" s="3" t="s">
        <v>6</v>
      </c>
      <c r="O11" s="3" t="s">
        <v>34</v>
      </c>
      <c r="P11" s="7"/>
      <c r="Q11" s="3" t="s">
        <v>8</v>
      </c>
      <c r="R11" s="6" t="s">
        <v>19</v>
      </c>
      <c r="S11" s="3" t="s">
        <v>42</v>
      </c>
      <c r="T11" s="6" t="s">
        <v>20</v>
      </c>
      <c r="U11" s="3" t="s">
        <v>43</v>
      </c>
      <c r="V11" s="29" t="s">
        <v>37</v>
      </c>
    </row>
    <row r="12" spans="1:23">
      <c r="A12">
        <v>2.9</v>
      </c>
      <c r="B12">
        <v>1000</v>
      </c>
      <c r="C12" s="4">
        <f>(0.057675*B12^-0.49362)*(A12/2.888)^0.3</f>
        <v>1.9083931362177632E-3</v>
      </c>
      <c r="D12" s="8">
        <v>662</v>
      </c>
      <c r="H12">
        <v>0.77</v>
      </c>
      <c r="I12">
        <f>D12*1000/(21.717-2.7759*A12)</f>
        <v>48438.232838634103</v>
      </c>
      <c r="J12">
        <f>0.059813+0.031228*A12</f>
        <v>0.15037419999999999</v>
      </c>
      <c r="K12">
        <f>I12/(1+J12)</f>
        <v>42106.501378972258</v>
      </c>
      <c r="L12">
        <f>1-LN(1+(C12/4)*K12)/((C12/4)*K12)</f>
        <v>0.84823744912238253</v>
      </c>
      <c r="M12">
        <f>(I12*(J12/(1+J12))+K12*L12)*H12</f>
        <v>32376.992941238608</v>
      </c>
      <c r="N12">
        <f>M12/D12</f>
        <v>48.907844322112702</v>
      </c>
      <c r="O12">
        <f>(M12+Q12)*(21.717-2.7759*A12)*0.001</f>
        <v>529.82682565779555</v>
      </c>
      <c r="Q12">
        <f>(I12-M12/H12)</f>
        <v>6390.1900578047425</v>
      </c>
      <c r="R12">
        <v>0.1</v>
      </c>
      <c r="S12">
        <f>M12*R12</f>
        <v>3237.6992941238609</v>
      </c>
      <c r="T12">
        <v>24</v>
      </c>
      <c r="U12">
        <f>Q12*T12</f>
        <v>153364.56138731382</v>
      </c>
      <c r="V12">
        <f>D12</f>
        <v>662</v>
      </c>
    </row>
    <row r="15" spans="1:23">
      <c r="C15" t="s">
        <v>49</v>
      </c>
    </row>
    <row r="16" spans="1:23">
      <c r="C16" t="s">
        <v>51</v>
      </c>
    </row>
    <row r="18" spans="3:3">
      <c r="C18" t="s">
        <v>50</v>
      </c>
    </row>
    <row r="20" spans="3:3">
      <c r="C20" t="s">
        <v>52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workbookViewId="0">
      <selection activeCell="N6" sqref="N6"/>
    </sheetView>
  </sheetViews>
  <sheetFormatPr baseColWidth="10" defaultRowHeight="14" x14ac:dyDescent="0"/>
  <sheetData>
    <row r="1" spans="1:21" ht="15" thickBot="1">
      <c r="B1" t="s">
        <v>23</v>
      </c>
    </row>
    <row r="2" spans="1:21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25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26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27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28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29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workbookViewId="0">
      <selection activeCell="K7" sqref="K7"/>
    </sheetView>
  </sheetViews>
  <sheetFormatPr baseColWidth="10" defaultRowHeight="14" x14ac:dyDescent="0"/>
  <sheetData>
    <row r="1" spans="1:9" ht="15" thickBot="1">
      <c r="B1" t="s">
        <v>23</v>
      </c>
    </row>
    <row r="2" spans="1:9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8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8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8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8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8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8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8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8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8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8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8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8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</row>
    <row r="7325" spans="1:8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8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8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8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8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8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8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8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8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8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8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8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8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8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8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8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</row>
    <row r="7629" spans="1:8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8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8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8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2016-02-18T16:29:25Z</dcterms:modified>
</cp:coreProperties>
</file>