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400" yWindow="240" windowWidth="24420" windowHeight="1372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I12" i="1"/>
  <c r="C12" i="1"/>
  <c r="J12" i="1"/>
  <c r="J8" i="1"/>
  <c r="K12" i="1"/>
  <c r="L12" i="1"/>
  <c r="M12" i="1"/>
  <c r="Q12" i="1"/>
  <c r="C8" i="1"/>
  <c r="C4" i="1"/>
  <c r="O8" i="1"/>
  <c r="I8" i="1"/>
  <c r="J4" i="1"/>
  <c r="F4" i="1"/>
  <c r="E4" i="1"/>
  <c r="G4" i="1"/>
  <c r="U12" i="1"/>
  <c r="N12" i="1"/>
  <c r="S12" i="1"/>
  <c r="K8" i="1"/>
  <c r="L8" i="1"/>
  <c r="H4" i="1"/>
  <c r="M8" i="1"/>
  <c r="O4" i="1"/>
  <c r="I4" i="1"/>
  <c r="K4" i="1"/>
  <c r="L4" i="1"/>
  <c r="N8" i="1"/>
  <c r="S8" i="1"/>
  <c r="Q8" i="1"/>
  <c r="U8" i="1"/>
  <c r="M4" i="1"/>
  <c r="S4" i="1"/>
  <c r="N4" i="1"/>
  <c r="P4" i="1"/>
  <c r="Q4" i="1"/>
  <c r="U4" i="1"/>
</calcChain>
</file>

<file path=xl/sharedStrings.xml><?xml version="1.0" encoding="utf-8"?>
<sst xmlns="http://schemas.openxmlformats.org/spreadsheetml/2006/main" count="75" uniqueCount="39">
  <si>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</si>
  <si>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</si>
  <si>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</si>
  <si>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</si>
  <si>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</si>
  <si>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</si>
  <si>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</si>
  <si>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</si>
  <si>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L_eff_122</t>
  </si>
  <si>
    <t>Electrons</t>
  </si>
  <si>
    <t>dft [V/cm]</t>
  </si>
  <si>
    <t>keVnr</t>
  </si>
  <si>
    <t>totQuant</t>
  </si>
  <si>
    <t>'k' factor</t>
  </si>
  <si>
    <t>Nex/Ni</t>
  </si>
  <si>
    <t># ions</t>
  </si>
  <si>
    <t>S1 [phe]</t>
  </si>
  <si>
    <t>NUCLEAR RECOIL</t>
  </si>
  <si>
    <t>rho [g/cc]</t>
  </si>
  <si>
    <t>S2 [phe]</t>
  </si>
  <si>
    <t>ALPHAS</t>
  </si>
  <si>
    <t>bi-Exc</t>
  </si>
  <si>
    <t>ELECTRON RECOIL ( ~&lt;10 keVee only. Otherwise need full sim.)</t>
  </si>
  <si>
    <t>S1 gain</t>
  </si>
  <si>
    <t>S2 gain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</si>
  <si>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e-)</t>
    </r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</si>
  <si>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or intesting outputs.</t>
    </r>
  </si>
  <si>
    <r>
      <t>Zero electric field is a special case: in addition to inputing 0 V/cm, make the T-I param equal to</t>
    </r>
    <r>
      <rPr>
        <b/>
        <sz val="11"/>
        <color theme="1"/>
        <rFont val="Calibri"/>
        <family val="2"/>
        <scheme val="minor"/>
      </rPr>
      <t xml:space="preserve"> 0.19</t>
    </r>
    <r>
      <rPr>
        <sz val="11"/>
        <color theme="1"/>
        <rFont val="Calibri"/>
        <family val="2"/>
        <scheme val="minor"/>
      </rPr>
      <t xml:space="preserve"> for NR and </t>
    </r>
    <r>
      <rPr>
        <b/>
        <sz val="11"/>
        <color theme="1"/>
        <rFont val="Calibri"/>
        <family val="2"/>
        <scheme val="minor"/>
      </rPr>
      <t xml:space="preserve">0.05 </t>
    </r>
    <r>
      <rPr>
        <sz val="11"/>
        <color theme="1"/>
        <rFont val="Calibri"/>
        <family val="2"/>
        <scheme val="minor"/>
      </rPr>
      <t>for ER</t>
    </r>
  </si>
  <si>
    <t>The S2s here are the "real," orginial S2s, so you must adjust them as a function of detector height for your e- purity, as well as electron extraction efficiency for your extraction field.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</si>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</sst>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8" fillId="0" borderId="0" xfId="0" applyFont="1"/>
    <xf numFmtId="0" fontId="9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T4" sqref="T4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1">
      <c r="D1" s="9" t="s">
        <v>29</v>
      </c>
    </row>
    <row r="2" spans="1:21">
      <c r="B2" t="s">
        <v>17</v>
      </c>
    </row>
    <row r="3" spans="1:21">
      <c r="A3" s="6" t="s">
        <v>18</v>
      </c>
      <c r="B3" s="6" t="s">
        <v>10</v>
      </c>
      <c r="C3" t="s">
        <v>0</v>
      </c>
      <c r="D3" s="1" t="s">
        <v>11</v>
      </c>
      <c r="E3" t="s">
        <v>1</v>
      </c>
      <c r="F3" s="2" t="s">
        <v>13</v>
      </c>
      <c r="G3" t="s">
        <v>2</v>
      </c>
      <c r="H3" t="s">
        <v>3</v>
      </c>
      <c r="I3" t="s">
        <v>12</v>
      </c>
      <c r="J3" t="s">
        <v>14</v>
      </c>
      <c r="K3" t="s">
        <v>15</v>
      </c>
      <c r="L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6" t="s">
        <v>23</v>
      </c>
      <c r="S3" s="3" t="s">
        <v>16</v>
      </c>
      <c r="T3" s="6" t="s">
        <v>24</v>
      </c>
      <c r="U3" s="3" t="s">
        <v>19</v>
      </c>
    </row>
    <row r="4" spans="1:21">
      <c r="A4">
        <v>2.9</v>
      </c>
      <c r="B4">
        <v>500</v>
      </c>
      <c r="C4" s="4">
        <f>(-0.15169*(B4+215.25)^0.01811+0.20952)*(A4/2.84)^0.3</f>
        <v>3.8898969424133255E-2</v>
      </c>
      <c r="D4" s="5">
        <v>10</v>
      </c>
      <c r="E4">
        <f>11.5*D4*((54)^(-7/3))</f>
        <v>1.0433877513508395E-2</v>
      </c>
      <c r="F4">
        <f>(2/3)*0.133*54^(2/3)*131.293^(-1/2)</f>
        <v>0.11055255120147953</v>
      </c>
      <c r="G4">
        <f>3*(E4^(0.15))+0.7*(E4^(0.6))+E4</f>
        <v>1.5689122629496655</v>
      </c>
      <c r="H4">
        <f>(F4*G4)/(1+F4*G4)</f>
        <v>0.14781001258940288</v>
      </c>
      <c r="I4">
        <f>D4*H4*1000*(48.814+0.80877*A4+2.6721*A4^2)*0.001</f>
        <v>108.83516398120318</v>
      </c>
      <c r="J4">
        <f>0.69337+0.3065*EXP(-0.008806*B4^0.76313)</f>
        <v>0.80497136978488626</v>
      </c>
      <c r="K4">
        <f>I4/(1+J4)</f>
        <v>60.297446155156457</v>
      </c>
      <c r="L4">
        <f>1-LN(1+(C4/4)*K4)/((C4/4)*K4)</f>
        <v>0.21304420236760124</v>
      </c>
      <c r="M4">
        <f>I4*(J4/(1+J4))+K4*L4</f>
        <v>61.383739146975408</v>
      </c>
      <c r="N4">
        <f>M4/D4</f>
        <v>6.1383739146975405</v>
      </c>
      <c r="O4">
        <f>D4*H4</f>
        <v>1.4781001258940287</v>
      </c>
      <c r="P4">
        <f>N4/63</f>
        <v>9.7434506582500649E-2</v>
      </c>
      <c r="Q4">
        <f>(I4-M4)</f>
        <v>47.451424834227772</v>
      </c>
      <c r="R4">
        <v>0.12</v>
      </c>
      <c r="S4">
        <f>M4*R4</f>
        <v>7.3660486976370487</v>
      </c>
      <c r="T4">
        <v>32</v>
      </c>
      <c r="U4">
        <f>Q4*T4</f>
        <v>1518.4455946952887</v>
      </c>
    </row>
    <row r="6" spans="1:21">
      <c r="B6" t="s">
        <v>22</v>
      </c>
    </row>
    <row r="7" spans="1:21">
      <c r="A7" s="6" t="s">
        <v>18</v>
      </c>
      <c r="B7" s="6" t="s">
        <v>10</v>
      </c>
      <c r="C7" t="s">
        <v>0</v>
      </c>
      <c r="D7" s="1" t="s">
        <v>7</v>
      </c>
      <c r="F7" s="2"/>
      <c r="H7" t="s">
        <v>3</v>
      </c>
      <c r="I7" t="s">
        <v>12</v>
      </c>
      <c r="J7" t="s">
        <v>14</v>
      </c>
      <c r="K7" t="s">
        <v>15</v>
      </c>
      <c r="L7" t="s">
        <v>4</v>
      </c>
      <c r="M7" s="3" t="s">
        <v>5</v>
      </c>
      <c r="N7" s="3" t="s">
        <v>6</v>
      </c>
      <c r="O7" s="3" t="s">
        <v>7</v>
      </c>
      <c r="P7" s="7"/>
      <c r="Q7" s="3" t="s">
        <v>9</v>
      </c>
      <c r="R7" s="6" t="s">
        <v>23</v>
      </c>
      <c r="S7" s="3" t="s">
        <v>16</v>
      </c>
      <c r="T7" s="6" t="s">
        <v>24</v>
      </c>
      <c r="U7" s="3" t="s">
        <v>19</v>
      </c>
    </row>
    <row r="8" spans="1:21">
      <c r="A8">
        <v>2.9</v>
      </c>
      <c r="B8">
        <v>1000</v>
      </c>
      <c r="C8" s="4">
        <f>(0.056776*B8^-0.11844)*(A8/2.84)^0.3</f>
        <v>2.5209758747151909E-2</v>
      </c>
      <c r="D8" s="5">
        <v>1</v>
      </c>
      <c r="H8">
        <v>1</v>
      </c>
      <c r="I8">
        <f>D8*H8*1000*(48.814+0.80877*A8+2.6721*A8^2)*0.001</f>
        <v>73.631793999999999</v>
      </c>
      <c r="J8">
        <f>0.4-0.11131*A8-0.0026651*A8^2</f>
        <v>5.4787509000000019E-2</v>
      </c>
      <c r="K8">
        <f>I8/(1+J8)</f>
        <v>69.807229770674113</v>
      </c>
      <c r="L8">
        <f>1-LN(1+(C8/4)*K8)/((C8/4)*K8)</f>
        <v>0.17125217750882626</v>
      </c>
      <c r="M8">
        <f>I8*(J8/(1+J8))+K8*L8</f>
        <v>15.779204333412782</v>
      </c>
      <c r="N8">
        <f>M8/D8</f>
        <v>15.779204333412782</v>
      </c>
      <c r="O8">
        <f>D8*H8</f>
        <v>1</v>
      </c>
      <c r="Q8">
        <f>(I8-M8)</f>
        <v>57.852589666587221</v>
      </c>
      <c r="R8">
        <v>0.1</v>
      </c>
      <c r="S8">
        <f>M8*R8</f>
        <v>1.5779204333412782</v>
      </c>
      <c r="T8">
        <v>20</v>
      </c>
      <c r="U8">
        <f>Q8*T8</f>
        <v>1157.0517933317444</v>
      </c>
    </row>
    <row r="10" spans="1:21">
      <c r="B10" s="10" t="s">
        <v>20</v>
      </c>
    </row>
    <row r="11" spans="1:21">
      <c r="A11" s="6" t="s">
        <v>18</v>
      </c>
      <c r="B11" s="6" t="s">
        <v>10</v>
      </c>
      <c r="C11" t="s">
        <v>0</v>
      </c>
      <c r="D11" s="1" t="s">
        <v>7</v>
      </c>
      <c r="F11" s="2"/>
      <c r="H11" t="s">
        <v>21</v>
      </c>
      <c r="I11" t="s">
        <v>12</v>
      </c>
      <c r="J11" t="s">
        <v>14</v>
      </c>
      <c r="K11" t="s">
        <v>15</v>
      </c>
      <c r="L11" t="s">
        <v>4</v>
      </c>
      <c r="M11" s="3" t="s">
        <v>5</v>
      </c>
      <c r="N11" s="3" t="s">
        <v>6</v>
      </c>
      <c r="O11" s="3" t="s">
        <v>7</v>
      </c>
      <c r="P11" s="7"/>
      <c r="Q11" s="3" t="s">
        <v>9</v>
      </c>
      <c r="R11" s="6" t="s">
        <v>23</v>
      </c>
      <c r="S11" s="3" t="s">
        <v>16</v>
      </c>
      <c r="T11" s="6" t="s">
        <v>24</v>
      </c>
      <c r="U11" s="3" t="s">
        <v>19</v>
      </c>
    </row>
    <row r="12" spans="1:21">
      <c r="A12">
        <v>2.9</v>
      </c>
      <c r="B12">
        <v>1000</v>
      </c>
      <c r="C12" s="4">
        <f>(0.057675*B12^-0.49362)*(A12/2.84)^0.3</f>
        <v>1.918012797385976E-3</v>
      </c>
      <c r="D12" s="8">
        <v>5000</v>
      </c>
      <c r="H12">
        <v>0.77</v>
      </c>
      <c r="I12">
        <f>D12*1000*(48.814+0.80877*A12+2.6721*A12^2)*0.001</f>
        <v>368158.97000000003</v>
      </c>
      <c r="J12">
        <f>0.4-0.11131*A12-0.0026651*A12^2</f>
        <v>5.4787509000000019E-2</v>
      </c>
      <c r="K12">
        <f>I12/(1+J12)</f>
        <v>349036.14885337063</v>
      </c>
      <c r="L12">
        <f>1-LN(1+(C12/4)*K12)/((C12/4)*K12)</f>
        <v>0.96937137296468412</v>
      </c>
      <c r="M12">
        <f>(I12*(J12/(1+J12))+K12*L12)*H12</f>
        <v>275250.72342069389</v>
      </c>
      <c r="N12">
        <f>M12/D12</f>
        <v>55.050144684138779</v>
      </c>
      <c r="O12">
        <f>D12*1</f>
        <v>5000</v>
      </c>
      <c r="Q12">
        <f>(I12-M12/H12)</f>
        <v>10690.498025072913</v>
      </c>
      <c r="R12">
        <v>0.1</v>
      </c>
      <c r="S12">
        <f>M12*R12</f>
        <v>27525.07234206939</v>
      </c>
      <c r="T12">
        <v>20</v>
      </c>
      <c r="U12">
        <f>Q12*T12</f>
        <v>213809.96050145826</v>
      </c>
    </row>
    <row r="15" spans="1:21">
      <c r="C15" t="s">
        <v>25</v>
      </c>
    </row>
    <row r="16" spans="1:21">
      <c r="C16" t="s">
        <v>26</v>
      </c>
    </row>
    <row r="18" spans="3:3">
      <c r="C18" t="s">
        <v>27</v>
      </c>
    </row>
    <row r="20" spans="3:3">
      <c r="C20" t="s">
        <v>28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31</v>
      </c>
    </row>
    <row r="2" spans="1:21" ht="15" thickBot="1">
      <c r="A2" s="11" t="s">
        <v>30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32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33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34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35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36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38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37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31</v>
      </c>
    </row>
    <row r="2" spans="1:9" ht="15" thickBot="1">
      <c r="A2" s="11" t="s">
        <v>30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32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2015-11-13T17:27:31Z</dcterms:modified>
</cp:coreProperties>
</file>